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35" windowWidth="15180" windowHeight="7710" firstSheet="2" activeTab="2"/>
  </bookViews>
  <sheets>
    <sheet name="Parametros" sheetId="16" state="hidden" r:id="rId1"/>
    <sheet name="PM FORMATO V1 Mar 2014" sheetId="17" state="hidden" r:id="rId2"/>
    <sheet name="PM 2016" sheetId="18" r:id="rId3"/>
    <sheet name="Resumen Vig2016" sheetId="23" r:id="rId4"/>
  </sheets>
  <externalReferences>
    <externalReference r:id="rId5"/>
  </externalReferences>
  <definedNames>
    <definedName name="_xlnm._FilterDatabase" localSheetId="2" hidden="1">'PM 2016'!$A$3:$Y$253</definedName>
    <definedName name="_xlnm._FilterDatabase" localSheetId="1" hidden="1">'PM FORMATO V1 Mar 2014'!$A$3:$R$129</definedName>
    <definedName name="_xlnm.Print_Area" localSheetId="2">'PM 2016'!$A$1:$T$235</definedName>
    <definedName name="_xlnm.Print_Area" localSheetId="3">'Resumen Vig2016'!$A$1:$M$19</definedName>
    <definedName name="Auditores">Parametros!$E$2:$E$10</definedName>
    <definedName name="Estado">'[1]LISTAS SOPORTE'!$A$2:$A$3</definedName>
    <definedName name="Proceso">Parametros!$A$2:$A$14</definedName>
    <definedName name="Procesos">#REF!</definedName>
    <definedName name="_xlnm.Print_Titles" localSheetId="2">'PM 2016'!$A:$B,'PM 2016'!$1:$3</definedName>
    <definedName name="_xlnm.Print_Titles" localSheetId="1">'PM FORMATO V1 Mar 2014'!$A:$B,'PM FORMATO V1 Mar 2014'!$1:$3</definedName>
  </definedNames>
  <calcPr calcId="144525"/>
</workbook>
</file>

<file path=xl/calcChain.xml><?xml version="1.0" encoding="utf-8"?>
<calcChain xmlns="http://schemas.openxmlformats.org/spreadsheetml/2006/main">
  <c r="K259" i="18" l="1"/>
  <c r="A9" i="18" l="1"/>
  <c r="A10" i="18" s="1"/>
  <c r="A12" i="18"/>
  <c r="A20" i="18" s="1"/>
  <c r="A21" i="18" s="1"/>
  <c r="A22" i="18" s="1"/>
  <c r="A23" i="18" s="1"/>
  <c r="A24" i="18" s="1"/>
  <c r="A25" i="18" s="1"/>
  <c r="A26" i="18" s="1"/>
  <c r="A27" i="18" s="1"/>
  <c r="A32" i="18" s="1"/>
  <c r="A33" i="18" s="1"/>
  <c r="O210" i="18" l="1"/>
  <c r="O211" i="18"/>
  <c r="U175" i="18"/>
  <c r="V175" i="18" s="1"/>
  <c r="W175" i="18"/>
  <c r="W165" i="18" l="1"/>
  <c r="W163" i="18"/>
  <c r="W161" i="18"/>
  <c r="U161" i="18"/>
  <c r="V161" i="18" s="1"/>
  <c r="N245" i="18" l="1"/>
  <c r="W222" i="18" l="1"/>
  <c r="U222" i="18"/>
  <c r="V222" i="18" s="1"/>
  <c r="W221" i="18"/>
  <c r="U221" i="18"/>
  <c r="V221" i="18" s="1"/>
  <c r="W220" i="18"/>
  <c r="U220" i="18"/>
  <c r="V220" i="18" s="1"/>
  <c r="W219" i="18"/>
  <c r="U219" i="18"/>
  <c r="V219" i="18" s="1"/>
  <c r="W218" i="18"/>
  <c r="U218" i="18"/>
  <c r="V218" i="18" s="1"/>
  <c r="W217" i="18"/>
  <c r="U217" i="18"/>
  <c r="V217" i="18" s="1"/>
  <c r="W216" i="18"/>
  <c r="U216" i="18"/>
  <c r="V216" i="18" s="1"/>
  <c r="W215" i="18"/>
  <c r="U215" i="18"/>
  <c r="V215" i="18" s="1"/>
  <c r="W214" i="18"/>
  <c r="U214" i="18"/>
  <c r="V214" i="18" s="1"/>
  <c r="W213" i="18"/>
  <c r="U213" i="18"/>
  <c r="V213" i="18" s="1"/>
  <c r="W207" i="18" l="1"/>
  <c r="U207" i="18"/>
  <c r="V207" i="18" s="1"/>
  <c r="W206" i="18"/>
  <c r="U206" i="18"/>
  <c r="V206" i="18" s="1"/>
  <c r="W205" i="18"/>
  <c r="U205" i="18"/>
  <c r="V205" i="18" s="1"/>
  <c r="W209" i="18" l="1"/>
  <c r="U209" i="18"/>
  <c r="V209" i="18" s="1"/>
  <c r="W211" i="18"/>
  <c r="U211" i="18"/>
  <c r="V211" i="18" s="1"/>
  <c r="W210" i="18"/>
  <c r="U210" i="18"/>
  <c r="V210" i="18" s="1"/>
  <c r="W89" i="18"/>
  <c r="U89" i="18"/>
  <c r="V89" i="18" s="1"/>
  <c r="W88" i="18"/>
  <c r="U88" i="18"/>
  <c r="V88" i="18" s="1"/>
  <c r="W87" i="18"/>
  <c r="U87" i="18"/>
  <c r="V87" i="18" s="1"/>
  <c r="W90" i="18"/>
  <c r="U90" i="18"/>
  <c r="V90" i="18" s="1"/>
  <c r="W86" i="18"/>
  <c r="U86" i="18"/>
  <c r="V86" i="18" s="1"/>
  <c r="W225" i="18" l="1"/>
  <c r="U225" i="18"/>
  <c r="V225" i="18" s="1"/>
  <c r="W224" i="18"/>
  <c r="U224" i="18"/>
  <c r="V224" i="18" s="1"/>
  <c r="W223" i="18"/>
  <c r="U223" i="18"/>
  <c r="V223" i="18" s="1"/>
  <c r="W208" i="18"/>
  <c r="U208" i="18"/>
  <c r="V208" i="18" s="1"/>
  <c r="W204" i="18"/>
  <c r="U204" i="18"/>
  <c r="V204" i="18" s="1"/>
  <c r="W203" i="18"/>
  <c r="U203" i="18"/>
  <c r="V203" i="18" s="1"/>
  <c r="W202" i="18"/>
  <c r="U202" i="18"/>
  <c r="V202" i="18" s="1"/>
  <c r="W201" i="18"/>
  <c r="U201" i="18"/>
  <c r="V201" i="18" s="1"/>
  <c r="W200" i="18"/>
  <c r="U200" i="18"/>
  <c r="V200" i="18" s="1"/>
  <c r="W199" i="18"/>
  <c r="U199" i="18"/>
  <c r="V199" i="18" s="1"/>
  <c r="W198" i="18"/>
  <c r="U198" i="18"/>
  <c r="V198" i="18" s="1"/>
  <c r="W197" i="18"/>
  <c r="U197" i="18"/>
  <c r="V197" i="18" s="1"/>
  <c r="Y229" i="18" l="1"/>
  <c r="D259" i="18"/>
  <c r="W179" i="18" l="1"/>
  <c r="U179" i="18"/>
  <c r="V179" i="18" s="1"/>
  <c r="W178" i="18"/>
  <c r="U178" i="18"/>
  <c r="V178" i="18" s="1"/>
  <c r="C19" i="23" l="1"/>
  <c r="D266" i="18" l="1"/>
  <c r="D251" i="18"/>
  <c r="W196" i="18"/>
  <c r="U196" i="18"/>
  <c r="V196" i="18" s="1"/>
  <c r="W191" i="18"/>
  <c r="U191" i="18"/>
  <c r="V191" i="18" s="1"/>
  <c r="W81" i="18" l="1"/>
  <c r="U81" i="18"/>
  <c r="V81" i="18" s="1"/>
  <c r="W35" i="18"/>
  <c r="U35" i="18"/>
  <c r="V35" i="18" s="1"/>
  <c r="W34" i="18"/>
  <c r="U34" i="18"/>
  <c r="V34" i="18" s="1"/>
  <c r="W33" i="18"/>
  <c r="U33" i="18"/>
  <c r="V33" i="18" s="1"/>
  <c r="W195" i="18" l="1"/>
  <c r="U195" i="18"/>
  <c r="V195" i="18" s="1"/>
  <c r="W193" i="18"/>
  <c r="U193" i="18"/>
  <c r="V193" i="18" s="1"/>
  <c r="W194" i="18"/>
  <c r="U194" i="18"/>
  <c r="V194" i="18" s="1"/>
  <c r="W192" i="18"/>
  <c r="U192" i="18"/>
  <c r="V192" i="18" s="1"/>
  <c r="W190" i="18"/>
  <c r="U190" i="18"/>
  <c r="V190" i="18" s="1"/>
  <c r="W189" i="18"/>
  <c r="U189" i="18"/>
  <c r="V189" i="18" s="1"/>
  <c r="W188" i="18"/>
  <c r="U188" i="18"/>
  <c r="V188" i="18" s="1"/>
  <c r="W187" i="18" l="1"/>
  <c r="U187" i="18"/>
  <c r="V187" i="18" s="1"/>
  <c r="W186" i="18"/>
  <c r="U186" i="18"/>
  <c r="V186" i="18" s="1"/>
  <c r="W185" i="18"/>
  <c r="U185" i="18"/>
  <c r="V185" i="18" s="1"/>
  <c r="W184" i="18"/>
  <c r="U184" i="18"/>
  <c r="V184" i="18" s="1"/>
  <c r="W183" i="18"/>
  <c r="U183" i="18"/>
  <c r="V183" i="18" s="1"/>
  <c r="W182" i="18"/>
  <c r="U182" i="18"/>
  <c r="V182" i="18" s="1"/>
  <c r="D233" i="18" l="1"/>
  <c r="E262" i="18" l="1"/>
  <c r="D262" i="18"/>
  <c r="A4" i="18"/>
  <c r="A7" i="18" s="1"/>
  <c r="W181" i="18"/>
  <c r="U181" i="18"/>
  <c r="V181" i="18" s="1"/>
  <c r="W154" i="18"/>
  <c r="U154" i="18"/>
  <c r="V154" i="18" s="1"/>
  <c r="W153" i="18"/>
  <c r="U153" i="18"/>
  <c r="V153" i="18" s="1"/>
  <c r="W152" i="18"/>
  <c r="U152" i="18"/>
  <c r="V152" i="18" s="1"/>
  <c r="W151" i="18"/>
  <c r="U151" i="18"/>
  <c r="V151" i="18" s="1"/>
  <c r="W150" i="18"/>
  <c r="U150" i="18"/>
  <c r="V150" i="18" s="1"/>
  <c r="W149" i="18"/>
  <c r="U149" i="18"/>
  <c r="V149" i="18" s="1"/>
  <c r="W148" i="18"/>
  <c r="U148" i="18"/>
  <c r="V148" i="18" s="1"/>
  <c r="W147" i="18"/>
  <c r="U147" i="18"/>
  <c r="V147" i="18" s="1"/>
  <c r="W77" i="18"/>
  <c r="U77" i="18"/>
  <c r="V77" i="18" s="1"/>
  <c r="W76" i="18"/>
  <c r="U76" i="18"/>
  <c r="V76" i="18" s="1"/>
  <c r="W169" i="18"/>
  <c r="U169" i="18"/>
  <c r="V169" i="18" s="1"/>
  <c r="W168" i="18"/>
  <c r="U168" i="18"/>
  <c r="V168" i="18" s="1"/>
  <c r="W166" i="18"/>
  <c r="U166" i="18"/>
  <c r="V166" i="18" s="1"/>
  <c r="W164" i="18"/>
  <c r="U164" i="18"/>
  <c r="V164" i="18" s="1"/>
  <c r="W162" i="18"/>
  <c r="U162" i="18"/>
  <c r="V162" i="18" s="1"/>
  <c r="W160" i="18"/>
  <c r="U160" i="18"/>
  <c r="V160" i="18" s="1"/>
  <c r="W158" i="18"/>
  <c r="U158" i="18"/>
  <c r="V158" i="18" s="1"/>
  <c r="W157" i="18"/>
  <c r="U157" i="18"/>
  <c r="V157" i="18" s="1"/>
  <c r="W156" i="18"/>
  <c r="U156" i="18"/>
  <c r="V156" i="18" s="1"/>
  <c r="W155" i="18"/>
  <c r="U155" i="18"/>
  <c r="V155" i="18" s="1"/>
  <c r="W171" i="18"/>
  <c r="U171" i="18"/>
  <c r="V171" i="18" s="1"/>
  <c r="W170" i="18"/>
  <c r="U170" i="18"/>
  <c r="V170" i="18" s="1"/>
  <c r="U174" i="18"/>
  <c r="V174" i="18" s="1"/>
  <c r="W174" i="18"/>
  <c r="P251" i="18"/>
  <c r="F16" i="23" s="1"/>
  <c r="P250" i="18"/>
  <c r="F15" i="23" s="1"/>
  <c r="P249" i="18"/>
  <c r="F14" i="23" s="1"/>
  <c r="P248" i="18"/>
  <c r="F13" i="23" s="1"/>
  <c r="P247" i="18"/>
  <c r="F12" i="23" s="1"/>
  <c r="P246" i="18"/>
  <c r="F11" i="23" s="1"/>
  <c r="P245" i="18"/>
  <c r="F10" i="23" s="1"/>
  <c r="P244" i="18"/>
  <c r="F9" i="23" s="1"/>
  <c r="P243" i="18"/>
  <c r="F8" i="23" s="1"/>
  <c r="P242" i="18"/>
  <c r="F7" i="23" s="1"/>
  <c r="P241" i="18"/>
  <c r="F6" i="23" s="1"/>
  <c r="P240" i="18"/>
  <c r="F5" i="23" s="1"/>
  <c r="P239" i="18"/>
  <c r="F4" i="23" s="1"/>
  <c r="I251" i="18"/>
  <c r="I250" i="18"/>
  <c r="I249" i="18"/>
  <c r="I248" i="18"/>
  <c r="I247" i="18"/>
  <c r="I246" i="18"/>
  <c r="I245" i="18"/>
  <c r="I244" i="18"/>
  <c r="I243" i="18"/>
  <c r="I242" i="18"/>
  <c r="I241" i="18"/>
  <c r="I240" i="18"/>
  <c r="I239" i="18"/>
  <c r="L233" i="18"/>
  <c r="L232" i="18"/>
  <c r="L231" i="18"/>
  <c r="D250" i="18"/>
  <c r="D249" i="18"/>
  <c r="D248" i="18"/>
  <c r="D247" i="18"/>
  <c r="D246" i="18"/>
  <c r="D245" i="18"/>
  <c r="D244" i="18"/>
  <c r="D243" i="18"/>
  <c r="D242" i="18"/>
  <c r="D241" i="18"/>
  <c r="D240" i="18"/>
  <c r="D239" i="18"/>
  <c r="E246" i="18"/>
  <c r="E239" i="18"/>
  <c r="W180" i="18"/>
  <c r="U180" i="18"/>
  <c r="V180" i="18" s="1"/>
  <c r="W177" i="18"/>
  <c r="U177" i="18"/>
  <c r="V177" i="18" s="1"/>
  <c r="W176" i="18"/>
  <c r="U176" i="18"/>
  <c r="V176" i="18" s="1"/>
  <c r="W146" i="18"/>
  <c r="U146" i="18"/>
  <c r="V146" i="18" s="1"/>
  <c r="W145" i="18"/>
  <c r="U145" i="18"/>
  <c r="V145" i="18" s="1"/>
  <c r="K233" i="18"/>
  <c r="J233" i="18"/>
  <c r="I233" i="18"/>
  <c r="U142" i="18"/>
  <c r="V142" i="18" s="1"/>
  <c r="U144" i="18"/>
  <c r="V144" i="18" s="1"/>
  <c r="W142" i="18"/>
  <c r="W140" i="18"/>
  <c r="W143" i="18"/>
  <c r="W117" i="18"/>
  <c r="U117" i="18"/>
  <c r="V117" i="18" s="1"/>
  <c r="W84" i="18"/>
  <c r="U84" i="18"/>
  <c r="V84" i="18" s="1"/>
  <c r="K267" i="18"/>
  <c r="L12" i="23" s="1"/>
  <c r="L267" i="18"/>
  <c r="M12" i="23" s="1"/>
  <c r="K268" i="18"/>
  <c r="L13" i="23" s="1"/>
  <c r="L268" i="18"/>
  <c r="M13" i="23" s="1"/>
  <c r="K269" i="18"/>
  <c r="L14" i="23" s="1"/>
  <c r="L269" i="18"/>
  <c r="M14" i="23" s="1"/>
  <c r="K270" i="18"/>
  <c r="L15" i="23" s="1"/>
  <c r="L270" i="18"/>
  <c r="M15" i="23" s="1"/>
  <c r="K271" i="18"/>
  <c r="L16" i="23" s="1"/>
  <c r="L271" i="18"/>
  <c r="M16" i="23" s="1"/>
  <c r="K266" i="18"/>
  <c r="L11" i="23" s="1"/>
  <c r="L266" i="18"/>
  <c r="M11" i="23" s="1"/>
  <c r="E266" i="18"/>
  <c r="F266" i="18"/>
  <c r="G266" i="18"/>
  <c r="C246" i="18"/>
  <c r="F246" i="18"/>
  <c r="G246" i="18"/>
  <c r="L246" i="18"/>
  <c r="I11" i="23" s="1"/>
  <c r="M246" i="18"/>
  <c r="J11" i="23" s="1"/>
  <c r="N246" i="18"/>
  <c r="D11" i="23" s="1"/>
  <c r="O246" i="18"/>
  <c r="E11" i="23" s="1"/>
  <c r="Q246" i="18"/>
  <c r="G11" i="23" s="1"/>
  <c r="R246" i="18"/>
  <c r="H11" i="23" s="1"/>
  <c r="W141" i="18"/>
  <c r="W30" i="18"/>
  <c r="U30" i="18"/>
  <c r="V30" i="18" s="1"/>
  <c r="W29" i="18"/>
  <c r="U29" i="18"/>
  <c r="V29" i="18" s="1"/>
  <c r="W28" i="18"/>
  <c r="U28" i="18"/>
  <c r="V28" i="18" s="1"/>
  <c r="W124" i="18"/>
  <c r="U124" i="18"/>
  <c r="W123" i="18"/>
  <c r="U123" i="18"/>
  <c r="W122" i="18"/>
  <c r="U122" i="18"/>
  <c r="W126" i="18"/>
  <c r="U126" i="18"/>
  <c r="W125" i="18"/>
  <c r="U125" i="18"/>
  <c r="W144" i="18"/>
  <c r="W134" i="18"/>
  <c r="U134" i="18"/>
  <c r="V134" i="18" s="1"/>
  <c r="W133" i="18"/>
  <c r="U133" i="18"/>
  <c r="V133" i="18" s="1"/>
  <c r="W132" i="18"/>
  <c r="U132" i="18"/>
  <c r="V132" i="18" s="1"/>
  <c r="W83" i="18"/>
  <c r="U83" i="18"/>
  <c r="V83" i="18" s="1"/>
  <c r="U131" i="18"/>
  <c r="V131" i="18" s="1"/>
  <c r="U130" i="18"/>
  <c r="V130" i="18" s="1"/>
  <c r="U129" i="18"/>
  <c r="U128" i="18"/>
  <c r="U127" i="18"/>
  <c r="W131" i="18"/>
  <c r="W130" i="18"/>
  <c r="W129" i="18"/>
  <c r="W128" i="18"/>
  <c r="W127" i="18"/>
  <c r="W118" i="18"/>
  <c r="U118" i="18"/>
  <c r="V118" i="18" s="1"/>
  <c r="U135" i="18"/>
  <c r="V135" i="18" s="1"/>
  <c r="U136" i="18"/>
  <c r="V136" i="18" s="1"/>
  <c r="U137" i="18"/>
  <c r="V137" i="18" s="1"/>
  <c r="U138" i="18"/>
  <c r="V138" i="18" s="1"/>
  <c r="U139" i="18"/>
  <c r="V139" i="18" s="1"/>
  <c r="W226" i="18"/>
  <c r="U226" i="18"/>
  <c r="W139" i="18"/>
  <c r="W138" i="18"/>
  <c r="W137" i="18"/>
  <c r="W136" i="18"/>
  <c r="W135" i="18"/>
  <c r="W115" i="18"/>
  <c r="U115" i="18"/>
  <c r="V115" i="18" s="1"/>
  <c r="W114" i="18"/>
  <c r="U114" i="18"/>
  <c r="V114" i="18" s="1"/>
  <c r="W113" i="18"/>
  <c r="U113" i="18"/>
  <c r="V113" i="18" s="1"/>
  <c r="W112" i="18"/>
  <c r="U112" i="18"/>
  <c r="V112" i="18" s="1"/>
  <c r="W111" i="18"/>
  <c r="U111" i="18"/>
  <c r="V111" i="18" s="1"/>
  <c r="W109" i="18"/>
  <c r="U109" i="18"/>
  <c r="V109" i="18" s="1"/>
  <c r="W108" i="18"/>
  <c r="U108" i="18"/>
  <c r="V108" i="18" s="1"/>
  <c r="W106" i="18"/>
  <c r="U106" i="18"/>
  <c r="V106" i="18" s="1"/>
  <c r="W105" i="18"/>
  <c r="U105" i="18"/>
  <c r="V105" i="18" s="1"/>
  <c r="W104" i="18"/>
  <c r="U104" i="18"/>
  <c r="V104" i="18" s="1"/>
  <c r="W60" i="18"/>
  <c r="U60" i="18"/>
  <c r="V60" i="18" s="1"/>
  <c r="W64" i="18"/>
  <c r="U64" i="18"/>
  <c r="V64" i="18" s="1"/>
  <c r="W63" i="18"/>
  <c r="U63" i="18"/>
  <c r="V63" i="18" s="1"/>
  <c r="W62" i="18"/>
  <c r="U62" i="18"/>
  <c r="V62" i="18" s="1"/>
  <c r="W61" i="18"/>
  <c r="U61" i="18"/>
  <c r="V61" i="18" s="1"/>
  <c r="W100" i="18"/>
  <c r="U100" i="18"/>
  <c r="V100" i="18" s="1"/>
  <c r="W120" i="18"/>
  <c r="U120" i="18"/>
  <c r="V120" i="18" s="1"/>
  <c r="W119" i="18"/>
  <c r="U119" i="18"/>
  <c r="V119" i="18" s="1"/>
  <c r="W97" i="18"/>
  <c r="U97" i="18"/>
  <c r="V97" i="18" s="1"/>
  <c r="W96" i="18"/>
  <c r="U96" i="18"/>
  <c r="V96" i="18" s="1"/>
  <c r="W95" i="18"/>
  <c r="U95" i="18"/>
  <c r="V95" i="18" s="1"/>
  <c r="W94" i="18"/>
  <c r="U94" i="18"/>
  <c r="V94" i="18" s="1"/>
  <c r="W92" i="18"/>
  <c r="U92" i="18"/>
  <c r="V92" i="18" s="1"/>
  <c r="W121" i="18"/>
  <c r="U121" i="18"/>
  <c r="V121" i="18" s="1"/>
  <c r="W116" i="18"/>
  <c r="U116" i="18"/>
  <c r="V116" i="18" s="1"/>
  <c r="W110" i="18"/>
  <c r="U110" i="18"/>
  <c r="V110" i="18" s="1"/>
  <c r="W107" i="18"/>
  <c r="U107" i="18"/>
  <c r="V107" i="18" s="1"/>
  <c r="W103" i="18"/>
  <c r="U103" i="18"/>
  <c r="V103" i="18" s="1"/>
  <c r="W102" i="18"/>
  <c r="U102" i="18"/>
  <c r="V102" i="18" s="1"/>
  <c r="W101" i="18"/>
  <c r="U101" i="18"/>
  <c r="V101" i="18" s="1"/>
  <c r="W99" i="18"/>
  <c r="U99" i="18"/>
  <c r="V99" i="18" s="1"/>
  <c r="W98" i="18"/>
  <c r="U98" i="18"/>
  <c r="V98" i="18" s="1"/>
  <c r="W93" i="18"/>
  <c r="U93" i="18"/>
  <c r="V93" i="18" s="1"/>
  <c r="W91" i="18"/>
  <c r="U91" i="18"/>
  <c r="V91" i="18" s="1"/>
  <c r="W85" i="18"/>
  <c r="U85" i="18"/>
  <c r="V85" i="18" s="1"/>
  <c r="U7" i="18"/>
  <c r="W75" i="18"/>
  <c r="U75" i="18"/>
  <c r="V75" i="18" s="1"/>
  <c r="W74" i="18"/>
  <c r="U74" i="18"/>
  <c r="V74" i="18" s="1"/>
  <c r="W73" i="18"/>
  <c r="U73" i="18"/>
  <c r="V73" i="18" s="1"/>
  <c r="W72" i="18"/>
  <c r="U72" i="18"/>
  <c r="V72" i="18" s="1"/>
  <c r="W71" i="18"/>
  <c r="U71" i="18"/>
  <c r="V71" i="18" s="1"/>
  <c r="W70" i="18"/>
  <c r="U70" i="18"/>
  <c r="V70" i="18" s="1"/>
  <c r="W69" i="18"/>
  <c r="U69" i="18"/>
  <c r="V69" i="18" s="1"/>
  <c r="W68" i="18"/>
  <c r="U68" i="18"/>
  <c r="V68" i="18" s="1"/>
  <c r="W67" i="18"/>
  <c r="U67" i="18"/>
  <c r="V67" i="18" s="1"/>
  <c r="W66" i="18"/>
  <c r="U66" i="18"/>
  <c r="V66" i="18" s="1"/>
  <c r="W79" i="18"/>
  <c r="U79" i="18"/>
  <c r="V79" i="18" s="1"/>
  <c r="W82" i="18"/>
  <c r="U82" i="18"/>
  <c r="V82" i="18" s="1"/>
  <c r="W80" i="18"/>
  <c r="U80" i="18"/>
  <c r="V80" i="18" s="1"/>
  <c r="W78" i="18"/>
  <c r="U78" i="18"/>
  <c r="V78" i="18" s="1"/>
  <c r="G251" i="18"/>
  <c r="F251" i="18"/>
  <c r="E251" i="18"/>
  <c r="C251" i="18"/>
  <c r="G250" i="18"/>
  <c r="F250" i="18"/>
  <c r="E250" i="18"/>
  <c r="C250" i="18"/>
  <c r="G249" i="18"/>
  <c r="F249" i="18"/>
  <c r="E249" i="18"/>
  <c r="C249" i="18"/>
  <c r="G248" i="18"/>
  <c r="F248" i="18"/>
  <c r="E248" i="18"/>
  <c r="C248" i="18"/>
  <c r="G247" i="18"/>
  <c r="F247" i="18"/>
  <c r="E247" i="18"/>
  <c r="C247" i="18"/>
  <c r="G245" i="18"/>
  <c r="F245" i="18"/>
  <c r="E245" i="18"/>
  <c r="C245" i="18"/>
  <c r="G244" i="18"/>
  <c r="F244" i="18"/>
  <c r="E244" i="18"/>
  <c r="C244" i="18"/>
  <c r="G243" i="18"/>
  <c r="F243" i="18"/>
  <c r="E243" i="18"/>
  <c r="C243" i="18"/>
  <c r="G242" i="18"/>
  <c r="F242" i="18"/>
  <c r="E242" i="18"/>
  <c r="C242" i="18"/>
  <c r="G241" i="18"/>
  <c r="F241" i="18"/>
  <c r="E241" i="18"/>
  <c r="C241" i="18"/>
  <c r="E240" i="18"/>
  <c r="C240" i="18"/>
  <c r="G239" i="18"/>
  <c r="F239" i="18"/>
  <c r="C239" i="18"/>
  <c r="R251" i="18"/>
  <c r="H16" i="23" s="1"/>
  <c r="Q251" i="18"/>
  <c r="G16" i="23" s="1"/>
  <c r="O251" i="18"/>
  <c r="E16" i="23" s="1"/>
  <c r="N251" i="18"/>
  <c r="D16" i="23" s="1"/>
  <c r="R250" i="18"/>
  <c r="H15" i="23" s="1"/>
  <c r="Q250" i="18"/>
  <c r="G15" i="23" s="1"/>
  <c r="O250" i="18"/>
  <c r="E15" i="23" s="1"/>
  <c r="N250" i="18"/>
  <c r="D15" i="23" s="1"/>
  <c r="R249" i="18"/>
  <c r="H14" i="23" s="1"/>
  <c r="Q249" i="18"/>
  <c r="G14" i="23" s="1"/>
  <c r="O249" i="18"/>
  <c r="E14" i="23" s="1"/>
  <c r="N249" i="18"/>
  <c r="D14" i="23" s="1"/>
  <c r="R248" i="18"/>
  <c r="H13" i="23" s="1"/>
  <c r="Q248" i="18"/>
  <c r="G13" i="23" s="1"/>
  <c r="O248" i="18"/>
  <c r="E13" i="23" s="1"/>
  <c r="N248" i="18"/>
  <c r="D13" i="23" s="1"/>
  <c r="R247" i="18"/>
  <c r="H12" i="23" s="1"/>
  <c r="Q247" i="18"/>
  <c r="G12" i="23" s="1"/>
  <c r="O247" i="18"/>
  <c r="E12" i="23" s="1"/>
  <c r="N247" i="18"/>
  <c r="D12" i="23" s="1"/>
  <c r="R245" i="18"/>
  <c r="H10" i="23" s="1"/>
  <c r="Q245" i="18"/>
  <c r="G10" i="23" s="1"/>
  <c r="O245" i="18"/>
  <c r="E10" i="23" s="1"/>
  <c r="D10" i="23"/>
  <c r="R244" i="18"/>
  <c r="H9" i="23" s="1"/>
  <c r="Q244" i="18"/>
  <c r="G9" i="23" s="1"/>
  <c r="O244" i="18"/>
  <c r="E9" i="23" s="1"/>
  <c r="N244" i="18"/>
  <c r="D9" i="23" s="1"/>
  <c r="R243" i="18"/>
  <c r="H8" i="23" s="1"/>
  <c r="Q243" i="18"/>
  <c r="G8" i="23" s="1"/>
  <c r="O243" i="18"/>
  <c r="E8" i="23" s="1"/>
  <c r="N243" i="18"/>
  <c r="D8" i="23" s="1"/>
  <c r="R242" i="18"/>
  <c r="H7" i="23" s="1"/>
  <c r="Q242" i="18"/>
  <c r="G7" i="23" s="1"/>
  <c r="O242" i="18"/>
  <c r="E7" i="23" s="1"/>
  <c r="N242" i="18"/>
  <c r="D7" i="23" s="1"/>
  <c r="R241" i="18"/>
  <c r="H6" i="23" s="1"/>
  <c r="Q241" i="18"/>
  <c r="G6" i="23" s="1"/>
  <c r="O241" i="18"/>
  <c r="E6" i="23" s="1"/>
  <c r="N241" i="18"/>
  <c r="D6" i="23" s="1"/>
  <c r="M251" i="18"/>
  <c r="J16" i="23" s="1"/>
  <c r="L251" i="18"/>
  <c r="I16" i="23" s="1"/>
  <c r="M250" i="18"/>
  <c r="J15" i="23" s="1"/>
  <c r="L250" i="18"/>
  <c r="I15" i="23" s="1"/>
  <c r="M249" i="18"/>
  <c r="J14" i="23" s="1"/>
  <c r="L249" i="18"/>
  <c r="I14" i="23" s="1"/>
  <c r="M248" i="18"/>
  <c r="J13" i="23" s="1"/>
  <c r="L248" i="18"/>
  <c r="I13" i="23" s="1"/>
  <c r="M247" i="18"/>
  <c r="J12" i="23" s="1"/>
  <c r="L247" i="18"/>
  <c r="I12" i="23" s="1"/>
  <c r="M245" i="18"/>
  <c r="J10" i="23" s="1"/>
  <c r="L245" i="18"/>
  <c r="I10" i="23" s="1"/>
  <c r="M244" i="18"/>
  <c r="J9" i="23" s="1"/>
  <c r="L244" i="18"/>
  <c r="I9" i="23" s="1"/>
  <c r="M243" i="18"/>
  <c r="J8" i="23" s="1"/>
  <c r="L243" i="18"/>
  <c r="I8" i="23" s="1"/>
  <c r="M242" i="18"/>
  <c r="J7" i="23" s="1"/>
  <c r="L242" i="18"/>
  <c r="I7" i="23" s="1"/>
  <c r="M241" i="18"/>
  <c r="J6" i="23" s="1"/>
  <c r="L241" i="18"/>
  <c r="I6" i="23" s="1"/>
  <c r="R240" i="18"/>
  <c r="H5" i="23" s="1"/>
  <c r="Q240" i="18"/>
  <c r="G5" i="23" s="1"/>
  <c r="O240" i="18"/>
  <c r="E5" i="23" s="1"/>
  <c r="N240" i="18"/>
  <c r="D5" i="23" s="1"/>
  <c r="M240" i="18"/>
  <c r="J5" i="23" s="1"/>
  <c r="L240" i="18"/>
  <c r="I5" i="23" s="1"/>
  <c r="R239" i="18"/>
  <c r="H4" i="23" s="1"/>
  <c r="Q239" i="18"/>
  <c r="G4" i="23" s="1"/>
  <c r="O239" i="18"/>
  <c r="E4" i="23" s="1"/>
  <c r="N239" i="18"/>
  <c r="D4" i="23" s="1"/>
  <c r="M239" i="18"/>
  <c r="J4" i="23" s="1"/>
  <c r="L239" i="18"/>
  <c r="I4" i="23" s="1"/>
  <c r="G271" i="18"/>
  <c r="F271" i="18"/>
  <c r="G270" i="18"/>
  <c r="F270" i="18"/>
  <c r="G269" i="18"/>
  <c r="F269" i="18"/>
  <c r="G268" i="18"/>
  <c r="F268" i="18"/>
  <c r="G267" i="18"/>
  <c r="F267" i="18"/>
  <c r="G265" i="18"/>
  <c r="F265" i="18"/>
  <c r="G264" i="18"/>
  <c r="F264" i="18"/>
  <c r="G263" i="18"/>
  <c r="F263" i="18"/>
  <c r="G262" i="18"/>
  <c r="F262" i="18"/>
  <c r="G261" i="18"/>
  <c r="F261" i="18"/>
  <c r="G260" i="18"/>
  <c r="F260" i="18"/>
  <c r="E271" i="18"/>
  <c r="E270" i="18"/>
  <c r="D270" i="18"/>
  <c r="E269" i="18"/>
  <c r="E268" i="18"/>
  <c r="D268" i="18"/>
  <c r="E267" i="18"/>
  <c r="E265" i="18"/>
  <c r="D265" i="18"/>
  <c r="E264" i="18"/>
  <c r="E263" i="18"/>
  <c r="D263" i="18"/>
  <c r="E261" i="18"/>
  <c r="D261" i="18"/>
  <c r="E260" i="18"/>
  <c r="D271" i="18"/>
  <c r="D269" i="18"/>
  <c r="D267" i="18"/>
  <c r="D264" i="18"/>
  <c r="D260" i="18"/>
  <c r="U4" i="18"/>
  <c r="V4" i="18" s="1"/>
  <c r="U5" i="18"/>
  <c r="V5" i="18" s="1"/>
  <c r="U6" i="18"/>
  <c r="V6" i="18" s="1"/>
  <c r="U8" i="18"/>
  <c r="V8" i="18" s="1"/>
  <c r="U9" i="18"/>
  <c r="V9" i="18" s="1"/>
  <c r="U10" i="18"/>
  <c r="V10" i="18" s="1"/>
  <c r="U11" i="18"/>
  <c r="V11" i="18" s="1"/>
  <c r="U12" i="18"/>
  <c r="V12" i="18" s="1"/>
  <c r="U13" i="18"/>
  <c r="V13" i="18" s="1"/>
  <c r="U14" i="18"/>
  <c r="V14" i="18" s="1"/>
  <c r="U15" i="18"/>
  <c r="V15" i="18" s="1"/>
  <c r="U16" i="18"/>
  <c r="V16" i="18" s="1"/>
  <c r="U17" i="18"/>
  <c r="V17" i="18" s="1"/>
  <c r="U18" i="18"/>
  <c r="V18" i="18" s="1"/>
  <c r="U19" i="18"/>
  <c r="V19" i="18" s="1"/>
  <c r="U20" i="18"/>
  <c r="V20" i="18" s="1"/>
  <c r="U21" i="18"/>
  <c r="V21" i="18" s="1"/>
  <c r="U22" i="18"/>
  <c r="V22" i="18" s="1"/>
  <c r="U23" i="18"/>
  <c r="V23" i="18" s="1"/>
  <c r="U24" i="18"/>
  <c r="V24" i="18" s="1"/>
  <c r="U25" i="18"/>
  <c r="V25" i="18" s="1"/>
  <c r="U26" i="18"/>
  <c r="V26" i="18" s="1"/>
  <c r="U27" i="18"/>
  <c r="V27" i="18" s="1"/>
  <c r="U31" i="18"/>
  <c r="V31" i="18" s="1"/>
  <c r="U32" i="18"/>
  <c r="V32" i="18" s="1"/>
  <c r="U36" i="18"/>
  <c r="V36" i="18" s="1"/>
  <c r="U37" i="18"/>
  <c r="V37" i="18" s="1"/>
  <c r="U38" i="18"/>
  <c r="V38" i="18" s="1"/>
  <c r="U39" i="18"/>
  <c r="V39" i="18" s="1"/>
  <c r="U40" i="18"/>
  <c r="V40" i="18" s="1"/>
  <c r="U41" i="18"/>
  <c r="V41" i="18" s="1"/>
  <c r="U42" i="18"/>
  <c r="V42" i="18" s="1"/>
  <c r="U43" i="18"/>
  <c r="V43" i="18" s="1"/>
  <c r="U44" i="18"/>
  <c r="V44" i="18" s="1"/>
  <c r="U45" i="18"/>
  <c r="V45" i="18" s="1"/>
  <c r="U46" i="18"/>
  <c r="V46" i="18" s="1"/>
  <c r="U47" i="18"/>
  <c r="V47" i="18" s="1"/>
  <c r="U48" i="18"/>
  <c r="V48" i="18" s="1"/>
  <c r="U49" i="18"/>
  <c r="V49" i="18" s="1"/>
  <c r="U50" i="18"/>
  <c r="V50" i="18" s="1"/>
  <c r="U51" i="18"/>
  <c r="V51" i="18" s="1"/>
  <c r="U52" i="18"/>
  <c r="V52" i="18" s="1"/>
  <c r="U53" i="18"/>
  <c r="V53" i="18" s="1"/>
  <c r="U54" i="18"/>
  <c r="V54" i="18" s="1"/>
  <c r="U55" i="18"/>
  <c r="V55" i="18" s="1"/>
  <c r="U56" i="18"/>
  <c r="V56" i="18" s="1"/>
  <c r="U57" i="18"/>
  <c r="V57" i="18" s="1"/>
  <c r="U58" i="18"/>
  <c r="V58" i="18" s="1"/>
  <c r="U59" i="18"/>
  <c r="V59" i="18" s="1"/>
  <c r="U65" i="18"/>
  <c r="V65" i="18" s="1"/>
  <c r="F240" i="18"/>
  <c r="G240" i="18"/>
  <c r="G259" i="18"/>
  <c r="F259" i="18"/>
  <c r="E259" i="18"/>
  <c r="W65" i="18"/>
  <c r="W59" i="18"/>
  <c r="W58" i="18"/>
  <c r="W57" i="18"/>
  <c r="W56" i="18"/>
  <c r="W55" i="18"/>
  <c r="W54" i="18"/>
  <c r="W53" i="18"/>
  <c r="W52" i="18"/>
  <c r="W51" i="18"/>
  <c r="W50" i="18"/>
  <c r="W49" i="18"/>
  <c r="W48" i="18"/>
  <c r="W47" i="18"/>
  <c r="W46" i="18"/>
  <c r="W45" i="18"/>
  <c r="W44" i="18"/>
  <c r="W43" i="18"/>
  <c r="W42" i="18"/>
  <c r="W41" i="18"/>
  <c r="W40" i="18"/>
  <c r="W39" i="18"/>
  <c r="W38" i="18"/>
  <c r="W37" i="18"/>
  <c r="W36" i="18"/>
  <c r="W32" i="18"/>
  <c r="W31" i="18"/>
  <c r="W27" i="18"/>
  <c r="W26" i="18"/>
  <c r="W25" i="18"/>
  <c r="W24" i="18"/>
  <c r="W23" i="18"/>
  <c r="W22" i="18"/>
  <c r="W21" i="18"/>
  <c r="W20" i="18"/>
  <c r="W19" i="18"/>
  <c r="W18" i="18"/>
  <c r="W17" i="18"/>
  <c r="W16" i="18"/>
  <c r="W15" i="18"/>
  <c r="W14" i="18"/>
  <c r="W13" i="18"/>
  <c r="W12" i="18"/>
  <c r="W11" i="18"/>
  <c r="W10" i="18"/>
  <c r="W9" i="18"/>
  <c r="W8" i="18"/>
  <c r="W6" i="18"/>
  <c r="W5" i="18"/>
  <c r="W4" i="18"/>
  <c r="K260" i="18"/>
  <c r="L5" i="23" s="1"/>
  <c r="L265" i="18"/>
  <c r="M10" i="23" s="1"/>
  <c r="L264" i="18"/>
  <c r="M9" i="23" s="1"/>
  <c r="L263" i="18"/>
  <c r="M8" i="23" s="1"/>
  <c r="L262" i="18"/>
  <c r="M7" i="23" s="1"/>
  <c r="L261" i="18"/>
  <c r="M6" i="23" s="1"/>
  <c r="L260" i="18"/>
  <c r="M5" i="23" s="1"/>
  <c r="K265" i="18"/>
  <c r="L10" i="23" s="1"/>
  <c r="K264" i="18"/>
  <c r="L9" i="23" s="1"/>
  <c r="K263" i="18"/>
  <c r="L8" i="23" s="1"/>
  <c r="K262" i="18"/>
  <c r="L7" i="23" s="1"/>
  <c r="K261" i="18"/>
  <c r="L6" i="23" s="1"/>
  <c r="L259" i="18"/>
  <c r="M4" i="23" s="1"/>
  <c r="L4" i="23"/>
  <c r="D231" i="18"/>
  <c r="W227" i="18"/>
  <c r="D236" i="18"/>
  <c r="K232" i="18"/>
  <c r="J232" i="18"/>
  <c r="I232" i="18"/>
  <c r="F232" i="18"/>
  <c r="D232" i="18"/>
  <c r="K231" i="18"/>
  <c r="J231" i="18"/>
  <c r="I231" i="18"/>
  <c r="F231" i="18"/>
  <c r="J144" i="17"/>
  <c r="I144" i="17"/>
  <c r="H144" i="17"/>
  <c r="E144" i="17"/>
  <c r="D144" i="17"/>
  <c r="C144" i="17"/>
  <c r="J143" i="17"/>
  <c r="I143" i="17"/>
  <c r="H143" i="17"/>
  <c r="E143" i="17"/>
  <c r="D143" i="17"/>
  <c r="C143" i="17"/>
  <c r="J142" i="17"/>
  <c r="I142" i="17"/>
  <c r="H142" i="17"/>
  <c r="E142" i="17"/>
  <c r="D142" i="17"/>
  <c r="C142" i="17"/>
  <c r="J141" i="17"/>
  <c r="I141" i="17"/>
  <c r="H141" i="17"/>
  <c r="E141" i="17"/>
  <c r="D141" i="17"/>
  <c r="C141" i="17"/>
  <c r="J140" i="17"/>
  <c r="I140" i="17"/>
  <c r="H140" i="17"/>
  <c r="E140" i="17"/>
  <c r="D140" i="17"/>
  <c r="C140" i="17"/>
  <c r="J139" i="17"/>
  <c r="I139" i="17"/>
  <c r="H139" i="17"/>
  <c r="E139" i="17"/>
  <c r="D139" i="17"/>
  <c r="C139" i="17"/>
  <c r="J138" i="17"/>
  <c r="I138" i="17"/>
  <c r="H138" i="17"/>
  <c r="E138" i="17"/>
  <c r="D138" i="17"/>
  <c r="C138" i="17"/>
  <c r="J137" i="17"/>
  <c r="I137" i="17"/>
  <c r="H137" i="17"/>
  <c r="E137" i="17"/>
  <c r="D137" i="17"/>
  <c r="C137" i="17"/>
  <c r="J136" i="17"/>
  <c r="I136" i="17"/>
  <c r="H136" i="17"/>
  <c r="E136" i="17"/>
  <c r="D136" i="17"/>
  <c r="C136" i="17"/>
  <c r="J135" i="17"/>
  <c r="I135" i="17"/>
  <c r="H135" i="17"/>
  <c r="E135" i="17"/>
  <c r="D135" i="17"/>
  <c r="C135" i="17"/>
  <c r="J134" i="17"/>
  <c r="I134" i="17"/>
  <c r="I145" i="17" s="1"/>
  <c r="H134" i="17"/>
  <c r="E134" i="17"/>
  <c r="D134" i="17"/>
  <c r="C134" i="17"/>
  <c r="C145" i="17" s="1"/>
  <c r="J133" i="17"/>
  <c r="I133" i="17"/>
  <c r="H133" i="17"/>
  <c r="E133" i="17"/>
  <c r="D133" i="17"/>
  <c r="C133" i="17"/>
  <c r="K127" i="17"/>
  <c r="J127" i="17"/>
  <c r="I127" i="17"/>
  <c r="H127" i="17"/>
  <c r="F127" i="17"/>
  <c r="E127" i="17"/>
  <c r="D127" i="17"/>
  <c r="C127" i="17"/>
  <c r="K126" i="17"/>
  <c r="J126" i="17"/>
  <c r="I126" i="17"/>
  <c r="H126" i="17"/>
  <c r="F126" i="17"/>
  <c r="E126" i="17"/>
  <c r="D126" i="17"/>
  <c r="C126" i="17"/>
  <c r="K125" i="17"/>
  <c r="J125" i="17"/>
  <c r="I125" i="17"/>
  <c r="H125" i="17"/>
  <c r="F125" i="17"/>
  <c r="E125" i="17"/>
  <c r="D125" i="17"/>
  <c r="C125" i="17"/>
  <c r="K124" i="17"/>
  <c r="J124" i="17"/>
  <c r="I124" i="17"/>
  <c r="H124" i="17"/>
  <c r="F124" i="17"/>
  <c r="E124" i="17"/>
  <c r="D124" i="17"/>
  <c r="C124" i="17"/>
  <c r="K123" i="17"/>
  <c r="J123" i="17"/>
  <c r="I123" i="17"/>
  <c r="H123" i="17"/>
  <c r="F123" i="17"/>
  <c r="E123" i="17"/>
  <c r="D123" i="17"/>
  <c r="C123" i="17"/>
  <c r="K122" i="17"/>
  <c r="J122" i="17"/>
  <c r="I122" i="17"/>
  <c r="H122" i="17"/>
  <c r="F122" i="17"/>
  <c r="E122" i="17"/>
  <c r="D122" i="17"/>
  <c r="C122" i="17"/>
  <c r="P121" i="17"/>
  <c r="P122" i="17" s="1"/>
  <c r="O121" i="17"/>
  <c r="N121" i="17"/>
  <c r="N122" i="17" s="1"/>
  <c r="K121" i="17"/>
  <c r="J121" i="17"/>
  <c r="I121" i="17"/>
  <c r="H121" i="17"/>
  <c r="F121" i="17"/>
  <c r="E121" i="17"/>
  <c r="D121" i="17"/>
  <c r="C121" i="17"/>
  <c r="C128" i="17" s="1"/>
  <c r="P120" i="17"/>
  <c r="O120" i="17"/>
  <c r="N120" i="17"/>
  <c r="K120" i="17"/>
  <c r="J120" i="17"/>
  <c r="I120" i="17"/>
  <c r="H120" i="17"/>
  <c r="F120" i="17"/>
  <c r="E120" i="17"/>
  <c r="D120" i="17"/>
  <c r="C120" i="17"/>
  <c r="K119" i="17"/>
  <c r="J119" i="17"/>
  <c r="I119" i="17"/>
  <c r="H119" i="17"/>
  <c r="F119" i="17"/>
  <c r="E119" i="17"/>
  <c r="D119" i="17"/>
  <c r="C119" i="17"/>
  <c r="K118" i="17"/>
  <c r="J118" i="17"/>
  <c r="I118" i="17"/>
  <c r="H118" i="17"/>
  <c r="F118" i="17"/>
  <c r="E118" i="17"/>
  <c r="D118" i="17"/>
  <c r="C118" i="17"/>
  <c r="K117" i="17"/>
  <c r="J117" i="17"/>
  <c r="I117" i="17"/>
  <c r="H117" i="17"/>
  <c r="F117" i="17"/>
  <c r="E117" i="17"/>
  <c r="D117" i="17"/>
  <c r="C117" i="17"/>
  <c r="K116" i="17"/>
  <c r="J116" i="17"/>
  <c r="I116" i="17"/>
  <c r="H116" i="17"/>
  <c r="F116" i="17"/>
  <c r="E116" i="17"/>
  <c r="D116" i="17"/>
  <c r="C116" i="17"/>
  <c r="P114" i="17"/>
  <c r="P115" i="17" s="1"/>
  <c r="O114" i="17"/>
  <c r="N114" i="17"/>
  <c r="N115" i="17" s="1"/>
  <c r="P113" i="17"/>
  <c r="O113" i="17"/>
  <c r="N113" i="17"/>
  <c r="C113" i="17"/>
  <c r="Q109" i="17"/>
  <c r="P109" i="17"/>
  <c r="O109" i="17"/>
  <c r="N109" i="17"/>
  <c r="J109" i="17"/>
  <c r="I109" i="17"/>
  <c r="H109" i="17"/>
  <c r="F109" i="17"/>
  <c r="D109" i="17"/>
  <c r="Q108" i="17"/>
  <c r="P108" i="17"/>
  <c r="O108" i="17"/>
  <c r="N108" i="17"/>
  <c r="J108" i="17"/>
  <c r="J110" i="17" s="1"/>
  <c r="I108" i="17"/>
  <c r="H108" i="17"/>
  <c r="H110" i="17" s="1"/>
  <c r="F108" i="17"/>
  <c r="D108" i="17"/>
  <c r="D110" i="17" s="1"/>
  <c r="R103" i="17"/>
  <c r="Q103" i="17"/>
  <c r="R102" i="17"/>
  <c r="Q102" i="17"/>
  <c r="R101" i="17"/>
  <c r="Q101" i="17"/>
  <c r="R100" i="17"/>
  <c r="Q100" i="17"/>
  <c r="R99" i="17"/>
  <c r="Q99" i="17"/>
  <c r="R98" i="17"/>
  <c r="Q98" i="17"/>
  <c r="R97" i="17"/>
  <c r="Q97" i="17"/>
  <c r="R96" i="17"/>
  <c r="Q96" i="17"/>
  <c r="R95" i="17"/>
  <c r="Q95" i="17"/>
  <c r="R94" i="17"/>
  <c r="Q94" i="17"/>
  <c r="R93" i="17"/>
  <c r="Q93" i="17"/>
  <c r="R92" i="17"/>
  <c r="Q92" i="17"/>
  <c r="R91" i="17"/>
  <c r="Q91" i="17"/>
  <c r="R90" i="17"/>
  <c r="Q90" i="17"/>
  <c r="R89" i="17"/>
  <c r="Q89" i="17"/>
  <c r="R88" i="17"/>
  <c r="Q88" i="17"/>
  <c r="R87" i="17"/>
  <c r="Q87" i="17"/>
  <c r="R86" i="17"/>
  <c r="Q86" i="17"/>
  <c r="R85" i="17"/>
  <c r="Q85" i="17"/>
  <c r="R84" i="17"/>
  <c r="Q84" i="17"/>
  <c r="R83" i="17"/>
  <c r="Q83" i="17"/>
  <c r="R82" i="17"/>
  <c r="Q82" i="17"/>
  <c r="R81" i="17"/>
  <c r="Q81" i="17"/>
  <c r="R80" i="17"/>
  <c r="Q80" i="17"/>
  <c r="R79" i="17"/>
  <c r="Q79" i="17"/>
  <c r="R78" i="17"/>
  <c r="Q78" i="17"/>
  <c r="R77" i="17"/>
  <c r="Q77" i="17"/>
  <c r="R76" i="17"/>
  <c r="Q76" i="17"/>
  <c r="R75" i="17"/>
  <c r="Q75" i="17"/>
  <c r="R74" i="17"/>
  <c r="Q74" i="17"/>
  <c r="R73" i="17"/>
  <c r="Q73" i="17"/>
  <c r="R72" i="17"/>
  <c r="Q72" i="17"/>
  <c r="R71" i="17"/>
  <c r="Q71" i="17"/>
  <c r="R70" i="17"/>
  <c r="Q70" i="17"/>
  <c r="R69" i="17"/>
  <c r="Q69" i="17"/>
  <c r="R68" i="17"/>
  <c r="Q68" i="17"/>
  <c r="R67" i="17"/>
  <c r="Q67" i="17"/>
  <c r="R66" i="17"/>
  <c r="Q66" i="17"/>
  <c r="R65" i="17"/>
  <c r="Q65" i="17"/>
  <c r="R64" i="17"/>
  <c r="Q64" i="17"/>
  <c r="R63" i="17"/>
  <c r="Q63" i="17"/>
  <c r="R62" i="17"/>
  <c r="Q62" i="17"/>
  <c r="R61" i="17"/>
  <c r="Q61" i="17"/>
  <c r="R60" i="17"/>
  <c r="Q60" i="17"/>
  <c r="R59" i="17"/>
  <c r="Q59" i="17"/>
  <c r="R58" i="17"/>
  <c r="Q58" i="17"/>
  <c r="R57" i="17"/>
  <c r="Q57" i="17"/>
  <c r="R56" i="17"/>
  <c r="Q56" i="17"/>
  <c r="R55" i="17"/>
  <c r="Q55" i="17"/>
  <c r="R54" i="17"/>
  <c r="Q54" i="17"/>
  <c r="R53" i="17"/>
  <c r="Q53" i="17"/>
  <c r="R52" i="17"/>
  <c r="Q52" i="17"/>
  <c r="R51" i="17"/>
  <c r="Q51" i="17"/>
  <c r="R50" i="17"/>
  <c r="Q50" i="17"/>
  <c r="R49" i="17"/>
  <c r="Q49" i="17"/>
  <c r="R48" i="17"/>
  <c r="Q48" i="17"/>
  <c r="R47" i="17"/>
  <c r="Q47" i="17"/>
  <c r="R46" i="17"/>
  <c r="Q46" i="17"/>
  <c r="R45" i="17"/>
  <c r="Q45" i="17"/>
  <c r="R44" i="17"/>
  <c r="Q44" i="17"/>
  <c r="R43" i="17"/>
  <c r="Q43" i="17"/>
  <c r="R42" i="17"/>
  <c r="Q42" i="17"/>
  <c r="R41" i="17"/>
  <c r="Q41" i="17"/>
  <c r="R40" i="17"/>
  <c r="Q40" i="17"/>
  <c r="R39" i="17"/>
  <c r="Q39" i="17"/>
  <c r="R38" i="17"/>
  <c r="Q38" i="17"/>
  <c r="R37" i="17"/>
  <c r="Q37" i="17"/>
  <c r="R36" i="17"/>
  <c r="Q36" i="17"/>
  <c r="R35" i="17"/>
  <c r="Q35" i="17"/>
  <c r="R34" i="17"/>
  <c r="Q34" i="17"/>
  <c r="R33" i="17"/>
  <c r="Q33" i="17"/>
  <c r="R32" i="17"/>
  <c r="Q32" i="17"/>
  <c r="R31" i="17"/>
  <c r="Q31" i="17"/>
  <c r="R30" i="17"/>
  <c r="Q30" i="17"/>
  <c r="R29" i="17"/>
  <c r="Q29" i="17"/>
  <c r="R28" i="17"/>
  <c r="Q28" i="17"/>
  <c r="R27" i="17"/>
  <c r="Q27" i="17"/>
  <c r="R26" i="17"/>
  <c r="Q26" i="17"/>
  <c r="R25" i="17"/>
  <c r="Q25" i="17"/>
  <c r="R24" i="17"/>
  <c r="Q24" i="17"/>
  <c r="R23" i="17"/>
  <c r="Q23" i="17"/>
  <c r="R22" i="17"/>
  <c r="Q22" i="17"/>
  <c r="R21" i="17"/>
  <c r="Q21" i="17"/>
  <c r="R20" i="17"/>
  <c r="Q20" i="17"/>
  <c r="R19" i="17"/>
  <c r="Q19" i="17"/>
  <c r="R18" i="17"/>
  <c r="Q18" i="17"/>
  <c r="R17" i="17"/>
  <c r="Q17" i="17"/>
  <c r="R16" i="17"/>
  <c r="Q16" i="17"/>
  <c r="R15" i="17"/>
  <c r="Q15" i="17"/>
  <c r="R14" i="17"/>
  <c r="Q14" i="17"/>
  <c r="R13" i="17"/>
  <c r="Q13" i="17"/>
  <c r="R12" i="17"/>
  <c r="Q12" i="17"/>
  <c r="R11" i="17"/>
  <c r="Q11" i="17"/>
  <c r="R10" i="17"/>
  <c r="Q10" i="17"/>
  <c r="R9" i="17"/>
  <c r="Q9" i="17"/>
  <c r="R8" i="17"/>
  <c r="Q8" i="17"/>
  <c r="R7" i="17"/>
  <c r="Q7" i="17"/>
  <c r="R6" i="17"/>
  <c r="Q6" i="17"/>
  <c r="R5" i="17"/>
  <c r="Q5" i="17"/>
  <c r="R4" i="17"/>
  <c r="Q4" i="17"/>
  <c r="F135" i="17" l="1"/>
  <c r="F141" i="17"/>
  <c r="F140" i="17"/>
  <c r="F110" i="17"/>
  <c r="I128" i="17"/>
  <c r="O122" i="17"/>
  <c r="J128" i="17"/>
  <c r="F128" i="17"/>
  <c r="D145" i="17"/>
  <c r="E145" i="17"/>
  <c r="F139" i="17"/>
  <c r="R108" i="17"/>
  <c r="N110" i="17"/>
  <c r="D128" i="17"/>
  <c r="E128" i="17"/>
  <c r="H145" i="17"/>
  <c r="K138" i="17" s="1"/>
  <c r="J259" i="18"/>
  <c r="I110" i="17"/>
  <c r="O115" i="17"/>
  <c r="N116" i="17" s="1"/>
  <c r="H128" i="17"/>
  <c r="R109" i="17"/>
  <c r="H17" i="23"/>
  <c r="D252" i="18"/>
  <c r="L17" i="23"/>
  <c r="K4" i="23"/>
  <c r="O4" i="23" s="1"/>
  <c r="M17" i="23"/>
  <c r="I17" i="23"/>
  <c r="G17" i="23"/>
  <c r="J17" i="23"/>
  <c r="G252" i="18"/>
  <c r="J251" i="18"/>
  <c r="C16" i="23" s="1"/>
  <c r="J266" i="18"/>
  <c r="K11" i="23" s="1"/>
  <c r="O11" i="23" s="1"/>
  <c r="A34" i="18"/>
  <c r="A35" i="18" s="1"/>
  <c r="A36" i="18" s="1"/>
  <c r="A37" i="18" s="1"/>
  <c r="A38" i="18" s="1"/>
  <c r="A39" i="18" s="1"/>
  <c r="A40" i="18" s="1"/>
  <c r="A41" i="18" s="1"/>
  <c r="A42" i="18" s="1"/>
  <c r="A43" i="18" s="1"/>
  <c r="A44" i="18" s="1"/>
  <c r="A45" i="18" s="1"/>
  <c r="A46"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A74" i="18" s="1"/>
  <c r="A75" i="18" s="1"/>
  <c r="A77" i="18" s="1"/>
  <c r="A78" i="18" s="1"/>
  <c r="A79" i="18" s="1"/>
  <c r="A80" i="18" s="1"/>
  <c r="F17" i="23"/>
  <c r="D17" i="23"/>
  <c r="D234" i="18"/>
  <c r="E17" i="23"/>
  <c r="I252" i="18"/>
  <c r="F129" i="17"/>
  <c r="F143" i="17"/>
  <c r="F144" i="17"/>
  <c r="F142" i="17"/>
  <c r="F137" i="17"/>
  <c r="J145" i="17"/>
  <c r="H111" i="17"/>
  <c r="F133" i="17"/>
  <c r="F134" i="17"/>
  <c r="K128" i="17"/>
  <c r="N123" i="17"/>
  <c r="F136" i="17"/>
  <c r="F138" i="17"/>
  <c r="R110" i="17"/>
  <c r="K136" i="17"/>
  <c r="K141" i="17"/>
  <c r="J239" i="18"/>
  <c r="C4" i="23" s="1"/>
  <c r="J249" i="18"/>
  <c r="C14" i="23" s="1"/>
  <c r="J242" i="18"/>
  <c r="C7" i="23" s="1"/>
  <c r="J244" i="18"/>
  <c r="C9" i="23" s="1"/>
  <c r="P252" i="18"/>
  <c r="J247" i="18"/>
  <c r="C12" i="23" s="1"/>
  <c r="Q252" i="18"/>
  <c r="C252" i="18"/>
  <c r="J241" i="18"/>
  <c r="C6" i="23" s="1"/>
  <c r="J243" i="18"/>
  <c r="C8" i="23" s="1"/>
  <c r="J245" i="18"/>
  <c r="C10" i="23" s="1"/>
  <c r="J248" i="18"/>
  <c r="C13" i="23" s="1"/>
  <c r="J250" i="18"/>
  <c r="C15" i="23" s="1"/>
  <c r="J246" i="18"/>
  <c r="C11" i="23" s="1"/>
  <c r="G272" i="18"/>
  <c r="J261" i="18"/>
  <c r="K6" i="23" s="1"/>
  <c r="O6" i="23" s="1"/>
  <c r="J268" i="18"/>
  <c r="K13" i="23" s="1"/>
  <c r="O13" i="23" s="1"/>
  <c r="O252" i="18"/>
  <c r="E252" i="18"/>
  <c r="F252" i="18"/>
  <c r="J262" i="18"/>
  <c r="K7" i="23" s="1"/>
  <c r="O7" i="23" s="1"/>
  <c r="L234" i="18"/>
  <c r="J264" i="18"/>
  <c r="K9" i="23" s="1"/>
  <c r="O9" i="23" s="1"/>
  <c r="M252" i="18"/>
  <c r="R252" i="18"/>
  <c r="K234" i="18"/>
  <c r="J240" i="18"/>
  <c r="C5" i="23" s="1"/>
  <c r="J263" i="18"/>
  <c r="K8" i="23" s="1"/>
  <c r="O8" i="23" s="1"/>
  <c r="J270" i="18"/>
  <c r="K15" i="23" s="1"/>
  <c r="O15" i="23" s="1"/>
  <c r="J269" i="18"/>
  <c r="K14" i="23" s="1"/>
  <c r="O14" i="23" s="1"/>
  <c r="J271" i="18"/>
  <c r="K16" i="23" s="1"/>
  <c r="O16" i="23" s="1"/>
  <c r="F234" i="18"/>
  <c r="J234" i="18"/>
  <c r="J267" i="18"/>
  <c r="K12" i="23" s="1"/>
  <c r="O12" i="23" s="1"/>
  <c r="J265" i="18"/>
  <c r="K10" i="23" s="1"/>
  <c r="O10" i="23" s="1"/>
  <c r="L252" i="18"/>
  <c r="N252" i="18"/>
  <c r="I234" i="18"/>
  <c r="J260" i="18"/>
  <c r="K5" i="23" s="1"/>
  <c r="O5" i="23" s="1"/>
  <c r="D272" i="18"/>
  <c r="E272" i="18"/>
  <c r="K272" i="18"/>
  <c r="L272" i="18"/>
  <c r="F272" i="18"/>
  <c r="K139" i="17" l="1"/>
  <c r="K144" i="17"/>
  <c r="K142" i="17"/>
  <c r="K137" i="17"/>
  <c r="K133" i="17"/>
  <c r="K140" i="17"/>
  <c r="K143" i="17"/>
  <c r="K135" i="17"/>
  <c r="K134" i="17"/>
  <c r="F145" i="17"/>
  <c r="K245" i="18"/>
  <c r="G253" i="18"/>
  <c r="K17" i="23"/>
  <c r="O17" i="23" s="1"/>
  <c r="C17" i="23"/>
  <c r="A81" i="18"/>
  <c r="A82" i="18" s="1"/>
  <c r="A85" i="18" s="1"/>
  <c r="A86" i="18" s="1"/>
  <c r="A87" i="18" s="1"/>
  <c r="A88" i="18" s="1"/>
  <c r="A89" i="18" s="1"/>
  <c r="A90" i="18" s="1"/>
  <c r="A91" i="18" s="1"/>
  <c r="A92" i="18" s="1"/>
  <c r="A93" i="18" s="1"/>
  <c r="A94" i="18" s="1"/>
  <c r="A95" i="18" s="1"/>
  <c r="A96" i="18" s="1"/>
  <c r="A97" i="18" s="1"/>
  <c r="A98" i="18" s="1"/>
  <c r="A99" i="18" s="1"/>
  <c r="A100" i="18" s="1"/>
  <c r="A101" i="18" s="1"/>
  <c r="A102" i="18" s="1"/>
  <c r="A103" i="18" s="1"/>
  <c r="A104" i="18" s="1"/>
  <c r="A105" i="18" s="1"/>
  <c r="A106" i="18" s="1"/>
  <c r="A107" i="18" s="1"/>
  <c r="A108" i="18" s="1"/>
  <c r="A109" i="18" s="1"/>
  <c r="A110" i="18" s="1"/>
  <c r="A111" i="18" s="1"/>
  <c r="A112" i="18" s="1"/>
  <c r="A113" i="18" s="1"/>
  <c r="A114" i="18" s="1"/>
  <c r="A115" i="18" s="1"/>
  <c r="A116" i="18" s="1"/>
  <c r="A117" i="18" s="1"/>
  <c r="A118" i="18" s="1"/>
  <c r="A119" i="18" s="1"/>
  <c r="A120" i="18" s="1"/>
  <c r="A122" i="18" s="1"/>
  <c r="A123" i="18" s="1"/>
  <c r="A124" i="18" s="1"/>
  <c r="A125" i="18" s="1"/>
  <c r="A126" i="18" s="1"/>
  <c r="A128" i="18" s="1"/>
  <c r="A129" i="18" s="1"/>
  <c r="A130" i="18" s="1"/>
  <c r="A131" i="18" s="1"/>
  <c r="A132" i="18" s="1"/>
  <c r="A133" i="18" s="1"/>
  <c r="A134" i="18" s="1"/>
  <c r="A135" i="18" s="1"/>
  <c r="A136" i="18" s="1"/>
  <c r="A137" i="18" s="1"/>
  <c r="A138" i="18" s="1"/>
  <c r="A139" i="18" s="1"/>
  <c r="A141" i="18" s="1"/>
  <c r="A142" i="18" s="1"/>
  <c r="A143" i="18" s="1"/>
  <c r="A144" i="18" s="1"/>
  <c r="A146" i="18" s="1"/>
  <c r="A148" i="18" s="1"/>
  <c r="A150" i="18" s="1"/>
  <c r="A151" i="18" s="1"/>
  <c r="A152" i="18" s="1"/>
  <c r="A153" i="18" s="1"/>
  <c r="A154" i="18" s="1"/>
  <c r="A155" i="18" s="1"/>
  <c r="A156" i="18" s="1"/>
  <c r="A157" i="18" s="1"/>
  <c r="A158" i="18" s="1"/>
  <c r="A161" i="18" s="1"/>
  <c r="A163" i="18" s="1"/>
  <c r="A165" i="18" s="1"/>
  <c r="A167" i="18" s="1"/>
  <c r="A171" i="18" s="1"/>
  <c r="K145" i="17"/>
  <c r="J252" i="18"/>
  <c r="J235" i="18"/>
  <c r="J272" i="18"/>
  <c r="L253" i="18"/>
  <c r="G273" i="18"/>
  <c r="A177" i="18" l="1"/>
  <c r="A181" i="18" l="1"/>
  <c r="A185" i="18" s="1"/>
  <c r="A187" i="18" s="1"/>
  <c r="A189" i="18" s="1"/>
  <c r="A178" i="18"/>
  <c r="A179" i="18" s="1"/>
  <c r="A191" i="18" l="1"/>
  <c r="A192" i="18" s="1"/>
  <c r="A193" i="18" l="1"/>
  <c r="A194" i="18" s="1"/>
  <c r="A195" i="18" l="1"/>
  <c r="A196" i="18" s="1"/>
  <c r="A203" i="18" l="1"/>
  <c r="A204" i="18" s="1"/>
  <c r="A206" i="18" s="1"/>
  <c r="A208" i="18" s="1"/>
  <c r="A201" i="18"/>
  <c r="A210" i="18" l="1"/>
  <c r="A211" i="18" s="1"/>
  <c r="A215" i="18" l="1"/>
  <c r="A216" i="18" s="1"/>
  <c r="A217" i="18" s="1"/>
  <c r="A218" i="18" s="1"/>
  <c r="A219" i="18" s="1"/>
  <c r="A220" i="18" s="1"/>
  <c r="A221" i="18" s="1"/>
  <c r="A222" i="18" s="1"/>
  <c r="A223" i="18" s="1"/>
  <c r="A224" i="18" s="1"/>
  <c r="A225" i="18" s="1"/>
</calcChain>
</file>

<file path=xl/comments1.xml><?xml version="1.0" encoding="utf-8"?>
<comments xmlns="http://schemas.openxmlformats.org/spreadsheetml/2006/main">
  <authors>
    <author>MARIA HELENA PEDRAZA</author>
    <author>CXHormaza</author>
  </authors>
  <commentList>
    <comment ref="I3" authorId="0">
      <text>
        <r>
          <rPr>
            <b/>
            <sz val="9"/>
            <color indexed="81"/>
            <rFont val="Tahoma"/>
            <family val="2"/>
          </rPr>
          <t>Control Interno:</t>
        </r>
        <r>
          <rPr>
            <sz val="9"/>
            <color indexed="81"/>
            <rFont val="Tahoma"/>
            <family val="2"/>
          </rPr>
          <t xml:space="preserve">
Puede Combinarse, igual que la columna L, Presenta Plan de Mejoramiento</t>
        </r>
      </text>
    </comment>
    <comment ref="L32" authorId="0">
      <text>
        <r>
          <rPr>
            <b/>
            <sz val="9"/>
            <color indexed="81"/>
            <rFont val="Tahoma"/>
            <family val="2"/>
          </rPr>
          <t>MARIA HELENA PEDRAZA:</t>
        </r>
        <r>
          <rPr>
            <sz val="9"/>
            <color indexed="81"/>
            <rFont val="Tahoma"/>
            <family val="2"/>
          </rPr>
          <t xml:space="preserve">
Hoy 30 Marzo 2015:
Se modifica fecha de presentación de plan de mejoramiento, posterior a la fecha del informe. Se reportaba 13/06/2012.  se modifica fecha a 13/sep/2012</t>
        </r>
      </text>
    </comment>
    <comment ref="P121" authorId="1">
      <text>
        <r>
          <rPr>
            <b/>
            <sz val="9"/>
            <color indexed="81"/>
            <rFont val="Tahoma"/>
            <family val="2"/>
          </rPr>
          <t>CXHormaza:</t>
        </r>
        <r>
          <rPr>
            <sz val="9"/>
            <color indexed="81"/>
            <rFont val="Tahoma"/>
            <family val="2"/>
          </rPr>
          <t xml:space="preserve">
Se ajusta fecha cambiando la inicial del 31 de marzo 2016.</t>
        </r>
      </text>
    </comment>
    <comment ref="O126" authorId="1">
      <text>
        <r>
          <rPr>
            <b/>
            <sz val="9"/>
            <color indexed="81"/>
            <rFont val="Tahoma"/>
            <family val="2"/>
          </rPr>
          <t>CXHormaza:</t>
        </r>
        <r>
          <rPr>
            <sz val="9"/>
            <color indexed="81"/>
            <rFont val="Tahoma"/>
            <family val="2"/>
          </rPr>
          <t xml:space="preserve">
Se ajusto la numeración de la acción de 5 a 6</t>
        </r>
      </text>
    </comment>
    <comment ref="P170" authorId="0">
      <text>
        <r>
          <rPr>
            <b/>
            <sz val="9"/>
            <color indexed="81"/>
            <rFont val="Tahoma"/>
            <family val="2"/>
          </rPr>
          <t>MARIA HELENA PEDRAZA:</t>
        </r>
        <r>
          <rPr>
            <sz val="9"/>
            <color indexed="81"/>
            <rFont val="Tahoma"/>
            <family val="2"/>
          </rPr>
          <t xml:space="preserve">
Se amplia fecha al 30may2016</t>
        </r>
      </text>
    </comment>
    <comment ref="P171" authorId="0">
      <text>
        <r>
          <rPr>
            <b/>
            <sz val="9"/>
            <color indexed="81"/>
            <rFont val="Tahoma"/>
            <family val="2"/>
          </rPr>
          <t>MARIA HELENA PEDRAZA:</t>
        </r>
        <r>
          <rPr>
            <sz val="9"/>
            <color indexed="81"/>
            <rFont val="Tahoma"/>
            <family val="2"/>
          </rPr>
          <t xml:space="preserve">
Se amplia fecha al 30may2016</t>
        </r>
      </text>
    </comment>
  </commentList>
</comments>
</file>

<file path=xl/sharedStrings.xml><?xml version="1.0" encoding="utf-8"?>
<sst xmlns="http://schemas.openxmlformats.org/spreadsheetml/2006/main" count="3054" uniqueCount="767">
  <si>
    <t>Proceso</t>
  </si>
  <si>
    <t>Tema</t>
  </si>
  <si>
    <t>Reasentamientos Humanos</t>
  </si>
  <si>
    <t>Plan de Mejoramiento</t>
  </si>
  <si>
    <t>No se tienen documentados los incidentes en SIPROJWEB y las acciones de prevención del daño antijurídico.</t>
  </si>
  <si>
    <t>El registro y actualización de los procesos en SIPROJWEB carecen de supervisión.</t>
  </si>
  <si>
    <t>PIGA / PIRE</t>
  </si>
  <si>
    <t>Las carpetas del contratos 431 de 2009 se encuentra en desorden cronológico, faltan documentos soportes, además los folios 245, 246, 250, 285, 286,287 son documentos en papel químico y en las carpetas del contrato se encontró desorden de los documentos que lo componen, documentos que no corresponden al contrato como son: 1. Soportes del contrato de obra 452 de 2009 Jorge Armando Vinasco Muñoz, en 122 folios, 2. Contrato de consultoría 445 de Organización Garzón y Asociados en 95 folios, 3. Nuevamente contrato de obra 452 de 2009 Jorge Armando Vinasco Muñoz, en 88 folios; 4.Copia de la Orden de Pago 12646 de Industrial Show Producción Ltda. 1 folio  5. Copia de la orden de pago 12643 y soportes  de WBA Telecomunications contrat0 457 de 2009, en 5 folios. 6. Convenio 064 de 2009 Servicio Nacional de Aprendizaje SENA, copia certificación de recibo soportes de contratos en un folio</t>
  </si>
  <si>
    <t>PROCESO</t>
  </si>
  <si>
    <t>Comunicaciones</t>
  </si>
  <si>
    <t>Los arrendadores y arrendatarios manifiestan que dentro del pago mensual de arrendamiento, que es inferior al pactado  se incluye el valor de los servicios públicos.</t>
  </si>
  <si>
    <t xml:space="preserve">INHABILIDADES PARA CONTRATAR
El contrato 042 de 2013 fue suscrito con el cónyuge de la Ex Directora Jurídica de la Caja de la Vivienda Popular Dra. Pilar Alvinzy Velásquez Fandiño, sin haber transcurrido los dos años ordenados en el artículo 4 de la Ley 1474 de 2011 Estatuto Anticorrupción.
</t>
  </si>
  <si>
    <t>PIGA 2012: 3. Contratar la recolección y tratamiento de RAEES.</t>
  </si>
  <si>
    <t>Faltan de documentos soporte en algunas carpetas.</t>
  </si>
  <si>
    <t xml:space="preserve">Determinar el cumplimiento del procedimiento establecido en la Entidad para la vinculación, permanencia y retiro </t>
  </si>
  <si>
    <t>No se encuentra registro documental que evidencie el cumplimiento del procedimiento 208-PLA-Pr-10 programa de criterios ambientales para las compras y la gestión contractual.</t>
  </si>
  <si>
    <t>No se han definido indicadores de gestión PIGA y PIRE en la entidad.</t>
  </si>
  <si>
    <t>Se observó que no se está dando cumplimiento al cronograma y las actividades establecidas en el Plan Institucional - PIGA</t>
  </si>
  <si>
    <t>No se evidencio la existencia del Plan de Acción PIRE vigencia 2012-2013</t>
  </si>
  <si>
    <t>Se evidenció que no se está dando cumplimiento a las actividades establecidas en el Plan Institucional de Respuesta a Emergencias de la CVP 208-PLA_Mn-05</t>
  </si>
  <si>
    <t>El porcentaje de avance en cumplimiento de metas no es acorde a la programación y a los tiempos en el Plan de Desarrollo “Bogotá Humana”.</t>
  </si>
  <si>
    <t>Mejoramiento de Vivienda</t>
  </si>
  <si>
    <t>Verificar el estado de los procesos de urbanización a cargo del Proyecto de Inversión y su debido registro documental.</t>
  </si>
  <si>
    <t>Se evidencia distribución inequitativa de procesos entre los abogados a cargo de la representación judicial de la Entidad.</t>
  </si>
  <si>
    <t>Al consultar los procesos registrados en SIPROJ se evidencia que algunos abogados no anexan los documentos PDF que soportan la gestión adelantada, generando un riesgo de pérdida de información pues los abogados no tienen vínculo permanente con la entidad.</t>
  </si>
  <si>
    <t>Existen 5 procesos a cargo de abogados que no tienen vínculo vigente con la Caja de la Vivienda Popular, 2 procesos que no han sido asignados a un abogado para la representación judicial.
Ver 2005-00476, 2010-00036, 1995-01418, 2013-01235, 19310797, 2013-01152, 2013-01546.</t>
  </si>
  <si>
    <t>Existen 3 conciliaciones extrajudiciales que no reportan abogado en representación de la entidad y al consultar el histórico no se presenta información sobre la gestión adelantada. Así mismo existe 1 proceso de reparación directa y 1 acción de tutela cuyos abogados a cargo reportaron la terminación del proceso para la entidad sin anexar soporte de dicho hecho y el proceso aún se encuentra activo.
Ver procesos 2008-00132, 2012-00140, 1-2011-11123, 1-2013-26409 y 1-2013-40151</t>
  </si>
  <si>
    <t>Realizar de manera objetiva la evaluación de las actividades, operaciones y resultados en el proceso Prevención del Daño Antijurídico y Representación Judicial.</t>
  </si>
  <si>
    <t>No conformidad</t>
  </si>
  <si>
    <t>Seguimiento (indicar fecha de seguimiento)</t>
  </si>
  <si>
    <t>Acciones</t>
  </si>
  <si>
    <t>Estado</t>
  </si>
  <si>
    <t xml:space="preserve">Prevención del Daño antijurídico y Representación Judicial </t>
  </si>
  <si>
    <t>Urbanizaciones y Titulación</t>
  </si>
  <si>
    <t>Mejoramiento de Barrios</t>
  </si>
  <si>
    <t>Plan de Contratación</t>
  </si>
  <si>
    <t xml:space="preserve">Se evidencia que no se utiliza el aplicativo SI CAPITAL en el módulo SISCO,  incumpliendo el  literal  C. MANEJO PLAN DE CONTRATACIÓN </t>
  </si>
  <si>
    <t>No se tiene formulado un plan de mejoramiento producto del análisis de quejas de clientes (internos), resultado de análisis de datos, autoevaluación o gestión del riesgo para el proceso auditado.</t>
  </si>
  <si>
    <t>No se tiene formulado un plan de mejoramiento producto de la autoevaluación para el procedimiento auditado.</t>
  </si>
  <si>
    <t>Tipo Auditoria</t>
  </si>
  <si>
    <t>Auditoria</t>
  </si>
  <si>
    <t>Especial</t>
  </si>
  <si>
    <t>Tipo Hallazgo</t>
  </si>
  <si>
    <t>Informes</t>
  </si>
  <si>
    <t>Tipo Acción</t>
  </si>
  <si>
    <t>Auditores</t>
  </si>
  <si>
    <t>Gestión Estratégica</t>
  </si>
  <si>
    <t>Acción Correctiva</t>
  </si>
  <si>
    <t>Abierta</t>
  </si>
  <si>
    <t>Asesor Control Interno</t>
  </si>
  <si>
    <t>Recomendación</t>
  </si>
  <si>
    <t>Acción Preventiva</t>
  </si>
  <si>
    <t>Cerrada</t>
  </si>
  <si>
    <t>Ana Sofía Estupiñan</t>
  </si>
  <si>
    <t>Acción de Mejora</t>
  </si>
  <si>
    <t>Gloria Marcela Luna</t>
  </si>
  <si>
    <t>María Helena Pedraza</t>
  </si>
  <si>
    <t>José E. Orjuela</t>
  </si>
  <si>
    <t xml:space="preserve">Gestión Humana </t>
  </si>
  <si>
    <t xml:space="preserve">Administración y Control de Recursos </t>
  </si>
  <si>
    <t xml:space="preserve">Administración de la Información </t>
  </si>
  <si>
    <t xml:space="preserve">Adquisición de bienes y servicios </t>
  </si>
  <si>
    <t xml:space="preserve">Evaluación de la Gestión </t>
  </si>
  <si>
    <t>VIGENCIA:</t>
  </si>
  <si>
    <t>AÑO</t>
  </si>
  <si>
    <t>Ítem</t>
  </si>
  <si>
    <t>Auditor Responsable</t>
  </si>
  <si>
    <r>
      <t xml:space="preserve">Fecha de Informe
</t>
    </r>
    <r>
      <rPr>
        <sz val="8"/>
        <color theme="1"/>
        <rFont val="Arial"/>
        <family val="2"/>
      </rPr>
      <t>dd/mmm/yyyy</t>
    </r>
  </si>
  <si>
    <t>Hallazgo
No Conformidad/Recomendaciones</t>
  </si>
  <si>
    <t>Presenta Plan de Mejoramiento</t>
  </si>
  <si>
    <r>
      <t xml:space="preserve">Fecha 
Plan de Mejoramiento
</t>
    </r>
    <r>
      <rPr>
        <sz val="8"/>
        <color theme="1"/>
        <rFont val="Arial"/>
        <family val="2"/>
      </rPr>
      <t>dd/mmm/yyyy</t>
    </r>
  </si>
  <si>
    <r>
      <t xml:space="preserve">Fecha de Cierre acción
</t>
    </r>
    <r>
      <rPr>
        <sz val="8"/>
        <color theme="1"/>
        <rFont val="Arial"/>
        <family val="2"/>
      </rPr>
      <t>dd/mmm/yyyy</t>
    </r>
  </si>
  <si>
    <t>Revisión de la Eficacia de las acciones</t>
  </si>
  <si>
    <t>Control fecha informe Vs plan de mejoramiento</t>
  </si>
  <si>
    <t>Control plan de mejoramiento Vs fecha cierre</t>
  </si>
  <si>
    <t>No Conformidad</t>
  </si>
  <si>
    <t>Si</t>
  </si>
  <si>
    <t>No</t>
  </si>
  <si>
    <t>Copie fila vacía e Inserte filas sobre esta!!</t>
  </si>
  <si>
    <t>RESUMEN</t>
  </si>
  <si>
    <t>Tipos de Hallazgo</t>
  </si>
  <si>
    <t>Hallazgos por tipo de auditoria</t>
  </si>
  <si>
    <t>Estado Total de Acciones propuestas</t>
  </si>
  <si>
    <t>Total</t>
  </si>
  <si>
    <t>Total Suma</t>
  </si>
  <si>
    <t>Gran Total</t>
  </si>
  <si>
    <t>Resumen consolidado por procesos</t>
  </si>
  <si>
    <t>Acciones Cerradas / tipo de auditoria</t>
  </si>
  <si>
    <t>Vigencia:</t>
  </si>
  <si>
    <t>Cerrada por No Conformidad</t>
  </si>
  <si>
    <t>Plan de Mejoramiento por Tipo Auditoria</t>
  </si>
  <si>
    <t>Total T. Aud</t>
  </si>
  <si>
    <t>Tipo de hallazgo</t>
  </si>
  <si>
    <t>Planes de Mejoramiento por procesos</t>
  </si>
  <si>
    <t>Cerrada por Recomendación</t>
  </si>
  <si>
    <t>Acciones Abiertas / tipo de auditoria</t>
  </si>
  <si>
    <t>Abierta por No Conformidad</t>
  </si>
  <si>
    <t>Abierta por Recomendación</t>
  </si>
  <si>
    <t>% Abiertas</t>
  </si>
  <si>
    <t>% Cerradas</t>
  </si>
  <si>
    <t>Responsable</t>
  </si>
  <si>
    <t>Corrección</t>
  </si>
  <si>
    <t>INCLUIR INDICADOR</t>
  </si>
  <si>
    <r>
      <t xml:space="preserve">Fecha finalización programada de Cierre acción
</t>
    </r>
    <r>
      <rPr>
        <sz val="8"/>
        <color theme="1"/>
        <rFont val="Arial"/>
        <family val="2"/>
      </rPr>
      <t>dd/mmm/yyyy</t>
    </r>
  </si>
  <si>
    <t>Alexander Villalobos</t>
  </si>
  <si>
    <t>Dirección de Urbanizaciones</t>
  </si>
  <si>
    <t>Procedimiento urbanizaciones</t>
  </si>
  <si>
    <t>Proyecto de ajuste de procesos y procedimientos</t>
  </si>
  <si>
    <t>Verificar que el proceso de Participación Ciudadana y Control Social en la Caja de Vivienda Popular, cuentan con los instrumentos contemplados por el Decreto Distrital 371 de 2010 "Por el cual se establecen lineamientos para preservar y fortalecer la transparencia y para prevención de la corrupción en las Entidades y Organismos del Distrito Capital".</t>
  </si>
  <si>
    <t>No fue posible evaluar el procedimiento correspondiente a "Programa de uso eficiente de energía procedimiento para la gestión energética". 208-PLA-Pr-12 dado que este no se está ejecutando, por lo tanto no hay registros ni documentos que den cuenta del desarrollo de las actividades asociadas al procedimiento.</t>
  </si>
  <si>
    <t>Dirección de gestión Corporativa, Subdirección administrativa
Oficina Asesora de Planeación</t>
  </si>
  <si>
    <t xml:space="preserve">Gestionar de manera ambientalmente segura la disposición final de  los Residuos de Aparatos Eléctricos y Electrónicos - RAEES restantes y no recuperables con una entidad que cuente con licencia ambiental para su disposición final.
</t>
  </si>
  <si>
    <t>Oficina Asesora de Planeación</t>
  </si>
  <si>
    <t xml:space="preserve">Oficina Asesora de Planeación </t>
  </si>
  <si>
    <t>Oficina Asesora de Planeación 
Subdirección administrativa</t>
  </si>
  <si>
    <t>1. Realizar la revisión y/o    ajuste del procedimiento con las partes involucradas.
2.  Socialización e Implementación del procedimiento en cada una de las dependencias de la CVP.</t>
  </si>
  <si>
    <t>Oficina Asesora de Planeación 
Dirección Jurídica</t>
  </si>
  <si>
    <t>Se debe reformular el procedimiento especificando  las actividades para hacer un uso eficiente de la energía en la CVP.</t>
  </si>
  <si>
    <t>Formular y/o ajustar el Plan de Acción incluyendo indicadores que den cuenta del cumplimiento del PIGA y PIRE.</t>
  </si>
  <si>
    <t>1. Identificar referentes o enlaces ambientales por dependencia.
2. Socializar el Plan Institucional de Gestión Ambiental PIGA a los directivos y enlaces de cada dependencia.</t>
  </si>
  <si>
    <t xml:space="preserve">Oficina Asesora de Planeación 
Jefes de dependencia </t>
  </si>
  <si>
    <t>Formular y/o ajustar el Plan de Acción de la entidad incluyendo indicadores que den cuenta del cumplimiento del PIRE.</t>
  </si>
  <si>
    <t>Oficina Asesora de Planeación 
Subdirección Administrativa</t>
  </si>
  <si>
    <t>1. Identificar referentes o enlaces  por dependencia.
2. Socializar el Plan Institucional de Respuesta a Emergencias PIRE a los directivos y enlaces de cada dependencia.</t>
  </si>
  <si>
    <t>Acción Mejora</t>
  </si>
  <si>
    <t>TOTAL</t>
  </si>
  <si>
    <t>Hallazgos por Tipo Auditoria</t>
  </si>
  <si>
    <t>RESUMEN HALLAZGOS</t>
  </si>
  <si>
    <t>RESUMEN DE ACCIONES</t>
  </si>
  <si>
    <t>Estado de acciones</t>
  </si>
  <si>
    <t>Estado del hallazgo</t>
  </si>
  <si>
    <t>Hallazgo Abierto</t>
  </si>
  <si>
    <t>Hallazgo Cerrado</t>
  </si>
  <si>
    <t>El manual de contratación se encuentra desactualizado en cuanto a la determinación de los honorarios para los contratos de prestación de servicios profesionales y de apoyo a la gestión, toda vez que no se ha ajustado el procedimiento teniendo en cuenta la Resolución 169 de 2012</t>
  </si>
  <si>
    <t>Dirección Jurídica</t>
  </si>
  <si>
    <t>Dirección Jurídica - Dirección Gestión Corporativa y CID y  Oficina Asesora de Planeación</t>
  </si>
  <si>
    <t>Dar traslado a las autoridades competentes de esta situación para que se adelanten las acciones a que haya lugar</t>
  </si>
  <si>
    <t>Dirección Jurídica y Oficina Asesora de Planeación</t>
  </si>
  <si>
    <t>Política del daño antijurídico</t>
  </si>
  <si>
    <t>Director de Reasentamientos</t>
  </si>
  <si>
    <t>Verificar la cesión del Contratos 431 y la ejecución
Verificar los contratos 413 – 418 – 469 y 470 de 2010, para determinar lo ordenado en el memorando 2012 IE2692 del 11 de julio, emanado de la Dirección General 
SE UNEN DOS AUDITORIAS POR SER HALLAZGO DEL MISMO TEMA</t>
  </si>
  <si>
    <t>Director Jurídica - Director de Mejoramiento de Barrios</t>
  </si>
  <si>
    <t>Director Jurídico</t>
  </si>
  <si>
    <t>Ajustar la obligación correspondiente a la responsabilidad de actualizar la información en el SIPROJ.</t>
  </si>
  <si>
    <t>SIPROJWEB no se encuentra actualizado.
No se lleva a cabo el procedimiento de Representación judicial</t>
  </si>
  <si>
    <t>RESUMEN ACCIONES</t>
  </si>
  <si>
    <t>Documentar las acciones de mejoras de acuerdo a establecido por el Sistema de Gestión de Calidad</t>
  </si>
  <si>
    <t xml:space="preserve">No se tiene integrado el sistema de información SI CAPITAL, aunque los módulos procesan la información solo están integrados, PREDIS, PAC Y OPGET, parcialmente del SAI, lo que genera la necesidad de digitar nuevamente la información producida por los otros módulos de PERNO, SAE y SISCO, incrementando el riesgo en los errores de digitación.
No se ha implementado totalmente la interacción entre los distintos módulos, en el manejo del sistema de información SI Capital. </t>
  </si>
  <si>
    <t>Directora de Gestión Corporativa y CID</t>
  </si>
  <si>
    <t>Subdirectora Administrativa</t>
  </si>
  <si>
    <t>Formalización de  política de administración de la información y su implementación , de su auditoria  y validación de los sistemas de información institucionales  lo cual ocasiona que la información no sea confiable, integra  y  disponible</t>
  </si>
  <si>
    <t xml:space="preserve">Definir la política de administración de la información 
</t>
  </si>
  <si>
    <t xml:space="preserve">Diseñar el proceso y el procedimiento de implementación de la política definida
</t>
  </si>
  <si>
    <t xml:space="preserve">Establecer los responsables y funciones para la administración de la información
</t>
  </si>
  <si>
    <t xml:space="preserve">Revisar e identificar del total (70 historias laborales) los documentos faltantes
</t>
  </si>
  <si>
    <t>Evaluación de Gestión por Dependencias</t>
  </si>
  <si>
    <t>Encuesta del Modelo de Control Interno del DAFP</t>
  </si>
  <si>
    <t>Los líderes o responsables de procesos no ejecutaron oportunamente la formulación, ejecución y avances de los planes de mejoramiento.</t>
  </si>
  <si>
    <t>Revisar y ajustar los procedimientos de 208-CI-Pr-01 Auditoria Interna y Visitas y 208-CI-Pr-05 Acciones correctivas y Preventivas, dando claridad el inicio y final de cada uno, adicionalmente incluir en el que corresponda: Ampliación del tiempo para la formulación de acciones.
Mesa de trabajo para discusión de los  informes de auditoria antes de ser radicados.</t>
  </si>
  <si>
    <t>Ente Certificador</t>
  </si>
  <si>
    <t xml:space="preserve">Todas las dependencias Misionales - Coordina Oficina Asesora de Planeación </t>
  </si>
  <si>
    <t xml:space="preserve">Incluir las metas intermedias que puedan evidenciar el cumplimiento de cada proyecto de inversión </t>
  </si>
  <si>
    <t>Los procesos, procedimientos no se encuentran actualizados a la realidad institucional, no existen indicadores ni riesgos asociados a procesos, algunos procedimientos no tienen puntos de control ni cargos responsables, la documentación del sistema de gestión en general,  esta desactualizada</t>
  </si>
  <si>
    <t xml:space="preserve">Ajuste Procesos y procedimientos-  Realizar reuniones para concretar el mapa de procesos de la entidad </t>
  </si>
  <si>
    <t xml:space="preserve">Ajuste Procesos y procedimientos - Caracterizar los procesos </t>
  </si>
  <si>
    <t xml:space="preserve">Ajuste Procesos y procedimientos - Identificar y/o actualizar  los productos no conforme, derivados de las caracterizaciones de los procesos misionales </t>
  </si>
  <si>
    <t xml:space="preserve">Ajuste Procesos y procedimientos -Actualizar los procedimientos de cada uno de los procesos </t>
  </si>
  <si>
    <t xml:space="preserve">Ajuste Procesos y procedimientos -Formular los indicadores asociados a los procesos de la CVP </t>
  </si>
  <si>
    <t xml:space="preserve">Ajuste Procesos y procedimientos - Formular los mapas de riesgo  asociados  a los procesos de la CVP </t>
  </si>
  <si>
    <t xml:space="preserve">Todas las dependencias- Coordina Oficina Asesora de Planeación </t>
  </si>
  <si>
    <t>Definir las competencias de cada una de las áreas que participa en el cargue de la información en el SISCO</t>
  </si>
  <si>
    <t>Jefe de la Oficina Asesora de Planeación</t>
  </si>
  <si>
    <t>Formular un plan de acción, con tiempos, responsables y actividades que permitan la materialización de la política de responsabilidad social, participación ciudadana y control social, teniendo en cuenta lo contemplado en el Decreto 371 de 2010</t>
  </si>
  <si>
    <t xml:space="preserve">La entidad deberá formular la plataforma estratégica que permita visualizar sus apuestas institucionales al plan de desarrollo Bogotá Humana, en el marco del Proyecto de Ajuste Institucional  </t>
  </si>
  <si>
    <t xml:space="preserve">Realizar las reuniones para concretar misión, visión y objetivos estratégicos </t>
  </si>
  <si>
    <t xml:space="preserve">Consolidar el plan estratégico/Plan Institucional de la CVP </t>
  </si>
  <si>
    <t xml:space="preserve">Formular un procedimiento de planeación institucional, que permita visualizar las responsabilidades de los líderes de los procesos en la formulación de los planes de acción de gestión </t>
  </si>
  <si>
    <t>Autocontrol</t>
  </si>
  <si>
    <t>Evidenciar las acciones (reuniones, comunicaciones) que ha realizado cada proyecto de inversión con entidades del distrito para el cumplimiento de metas</t>
  </si>
  <si>
    <t>Realizar las acciones tendientes a la reformulación de los proyectos de inversión.</t>
  </si>
  <si>
    <t>Revisar el estado de la Página Web y de la Intranet, su actualización y cumplimiento de lineamientos definidos en Gobierno en Línea.</t>
  </si>
  <si>
    <t>Auditoria Interna</t>
  </si>
  <si>
    <t>Decreto 371 Participación Ciudadana y Control Social.</t>
  </si>
  <si>
    <t>2. El “Plan Anticorrupción y de atención al ciudadano” no ha definido formalmente la manera de denominar o presentar el Grupo de Atención al Ciudadano: “Atención al ciudadano”, “Coordinación de atención al ciudadano”, “Oficina de Atención al Ciudadano” y “Coordinación de servicio al ciudadano”. (Revisar “Responsable” en cada uno de los componentes)</t>
  </si>
  <si>
    <t>3. El “Plan Anticorrupción y de atención al ciudadano”,
- Componente: Mapa de Riesgos, en cuanto al riesgo: “Facilitar el trabajo de tramitadores que cobran por los servicios o trámites de CVP, formuló la acción: “Actualizar los procedimientos o trámites, si es del caso, de acuerdo a la evaluación realizada.”. A 31 de diciembre de 2013 reportó un avance del 80% pero fue eliminada en el reporte del 30 de abril de 2014. La acción también está incluida en el componente anti-trámites de la vigencia 2013 con avance del 75% y para la vigencia 2014 reporta avance 0%. Por tratarse de la misma acción no reporta continuidad.
En el “Plan anticorrupción y de atención al ciudadano” componente Estrategia Anti Trámites, para la vigencia 2014 se formularon las mismas acciones de la vigencia 2013. Aunque en la vigencia 2013 se reporta un avance promedio del 56%, (cumplimiento parcial) el 30 de abril de 2014 reporta 0%. Lo anterior evidencia que no existe continuidad en la ejecución de las acciones formuladas.</t>
  </si>
  <si>
    <t xml:space="preserve">4. El POA del proyecto de inversión 943 de la vigencia 2013 “Fortalecimiento institucional para la transparencia, participación ciudadana, control y responsabilidad social y anticorrupción”, presenta inexactitud en el reporte de ejecución así:
• La sub-actividad “Seguimiento al cumplimiento de las acciones previstas en el Plan Anticorrupción”, se programa con un 40% en mayo; 30% en agosto; y 30% en diciembre y su ejecución se registra en el mismo porcentaje para las mismas fechas. Sin embargo, según el avance reportado en los informes divulgados en la WEB, se publicaron dos (2) seguimientos correspondientes a 31 de agosto y 31 de diciembre de 2013.
• En la sub-actividad “Registro de la publicación en la web: Publicar internamente y en la página Web los resultados de la encuesta de satisfacción del ciudadano en relación con los trámites y servicios de la CVP”, se reportó un cumplimiento del 100%. Esta misma acción formulada en el “Plan Anticorrupción - componente Rendición de cuentas” reportado a 31 de diciembre de 2013, reporta cumplimiento 0%, y en el seguimiento describe: “Para el mes de Diciembre no se realizó ninguna acción orientada al cumplimiento de ésta actividad. Este tema se trabajará y se comenzará en el primer trimestre de 2014”.
• En la sub-actividad “Diseño de la herramienta informática: Coordinar con los organismos distritales y las dependencias internas de la CVP para desarrollar una herramienta informática dirigida a mantener actualizada la información de la página web relacionada con los PQRS que han sido recibidas en la entidad y que posibilite consultar en línea por parte del ciudadano el estado actual de cada una de ellas”, se reporta en noviembre de 2013 un avance de cumplimiento del 30% y en diciembre del 40% para un total del 70%. En el “Plan anticorrupción - componente de Rendición de cuentas, para esta misma acción se reporta a 31 de diciembre de 2013, cumplimiento del 100%.
</t>
  </si>
  <si>
    <t xml:space="preserve">6. b. El proceso “Urbanizaciones y Titulación” no presentó los soportes de trabajo que evidencien el ejercicio de la participación ciudadana y el control social en el periodo auditado. </t>
  </si>
  <si>
    <t>7b. En los dos eventos de rendición de cuentas – vigencia 2013, cumplidos el pasado 30 de marzo quedó evidenciado, mediante informe, que la actividad destinada a “Respuestas a las preguntas de los ciudadanos” seis en Ciudad Bolívar, y “Preguntas” cinco en Chiguaza, no contó con la suficiente documentación, dado que los soportes escaneados registran veinte preguntas, de las cuales solo cuatro figuran en el informe. Así mismo, cinco preguntas en el informe de Chiguaza y dos en el de Ciudad Bolívar no están debidamente soportadas.</t>
  </si>
  <si>
    <t>8. No se ha dado cumplimiento a las acciones formuladas en el Plan de Mejoramiento resultante de la auditoría (Decreto Distrital 371 de 2010) vigencia 2013. Fecha de cumplimiento de las acciones contempladas en el mencionado plan: 30 mayo 2014.</t>
  </si>
  <si>
    <t xml:space="preserve">Auditoria Institucional/Auditoria Proceso
</t>
  </si>
  <si>
    <t>Entes Externos</t>
  </si>
  <si>
    <t>Formulación y seguimiento a los proyectos de inversión - Procedimiento Digitación- Control Documental.</t>
  </si>
  <si>
    <t>Filas que se pueden combinar, las demás NO deben combinarse</t>
  </si>
  <si>
    <t>Total Acciones</t>
  </si>
  <si>
    <t>Auditoria Institucional/Auditoria Proceso</t>
  </si>
  <si>
    <t>Institucional</t>
  </si>
  <si>
    <t>Oportunidad Plan de Mejoramiento</t>
  </si>
  <si>
    <t>Auditoria de Nomina y Perno</t>
  </si>
  <si>
    <t xml:space="preserve">Recalculo de nómina
Se evidencian en el cálculo de la prima técnica las siguientes observaciones (el detalle en desarrollo de auditoría):
• Se tienen en cuenta certificados de estudio que no se ajustan a los requisitos de ley, para seis funcionarios de los 35 revisados que solicitaron                                                                                                                    el reconocimiento de la prima técnica.
• Para un funcionario se tomó en cuenta experiencia laboral anterior a la terminación de materias.
• Se registran diferencias en el cálculo del tiempo de experiencia laboral para cinco funcionarios de los 35 revisados.
• Para dos funcionarios se realizaron equivalencias para la determinación de la prima técnica aplicando el Decreto 785 de 2005 y la Resolución 402 de 2008, normatividad relacionada con el ingreso a un empleo y no a  la determinación de la prima técnica.
</t>
  </si>
  <si>
    <t>Auditoria Decreto Distrital 371 de 2010 en materia de Gestión Contractual</t>
  </si>
  <si>
    <t xml:space="preserve">DIVULGACIÓN Y PUBLICACIÓN 
Se evidencia que dentro de la muestra evaluada existen modificaciones  contractuales que no fueron publicadas  oportunamente dentro  del portal de SECOP.
Ver: cesión de contrato 001 de 2014 y Actas de suspensión de los contrato 181 y 201 de 2014
</t>
  </si>
  <si>
    <t>Plataforma y Manejo de plataforma de correos de la Caja de la Vivienda Popular</t>
  </si>
  <si>
    <t>Asegurar que la información registrada en el directorio, sobre funcionarios y contratistas de la WEB y la Intranet sea congruente.</t>
  </si>
  <si>
    <t xml:space="preserve">Establecer unos criterios mínimos para la delegación de la Supervisión de los contratos en el Manual de contratación
</t>
  </si>
  <si>
    <t>Verificar la aplicación de las disposiciones contenidas en el Decreto 371 de 2010 en materia de Gestión Contractual, así como la aplicación del manual de contratación y del instructivo 208-SADM-In-02 INSTRUMENTO EVALUACIÓN POR COMP.</t>
  </si>
  <si>
    <t>DOCUMENTACIÓN PROCESO CONTRACTUAL
En el contrato 042 de 2013 la Solicitud de Certificado de Disponibilidad Presupuestal suscrita por un funcionario diferente al autorizado para este fin.</t>
  </si>
  <si>
    <r>
      <t xml:space="preserve">Capacitar a los encargados de las Direcciones y Subdirecciones en los procedimientos y competencias para la contratación de la entidad.
</t>
    </r>
    <r>
      <rPr>
        <sz val="10"/>
        <color rgb="FF00B0F0"/>
        <rFont val="Arial"/>
        <family val="2"/>
      </rPr>
      <t>Enviar solicitud para el traslado de este hallazgo al responsable de la implementación del Hallazgo ( Subdirección Financiera)
DEJAR LA ACCIÓN A SEGUIR</t>
    </r>
  </si>
  <si>
    <t>EJECUCIÓN CONTRACTUAL
Al revisar los soportes de culminación del contrato 022 de 2013, se encuentra el “Formato Entrega Contratistas” en el cual se especifica que no aplica la entrega de backup de información, a pesar que dentro de las obligaciones especiales del contrato se encuentra “efectuar el levantamiento, manejo y control de las bases de datos de contratación de la Caja.” Esto evidencia que la entidad no tiene claridad sobre los productos concretos que espera recibir de los contratistas.
SUPERVISIÓN E INTERVENTORÍA
No fue posible obtener evidencia sobre la verificación de condiciones mínimas de idoneidad de los supervisores e interventores, por cuando la dependencia responsable del proceso no suministro información.</t>
  </si>
  <si>
    <t>RETROALIMENTACIÓN PROCESO CONTRACTUAL
Una vez consultada la Dirección Jurídica de la entidad, no se pudo obtener evidencia sobre la retroalimentación del proceso contractual a los diferentes centros de gestión institucional, por cuando dicha dependencia no suministro información</t>
  </si>
  <si>
    <t xml:space="preserve">SEGUIMIENTO Y MEDICIÓN DEL PROCESO ADQUISICIÓN DE BIENES Y SERVICIOS
Una vez consultada la Dirección Jurídica de la entidad, no se pudo obtener evidencia sobre seguimientos y mediciones realizados al proceso en el último año,  por cuando dicha dependencia no suministro información.
</t>
  </si>
  <si>
    <t>Diseñar indicadores que permitan dar cuenta del proceso contractual para la toma de decisiones.</t>
  </si>
  <si>
    <t>Socializar la obligación y normatividad a los contratistas a cargo de la Representación Judicial, incluyendo el procedimiento de representación judicial establecido por la CVP.</t>
  </si>
  <si>
    <t>Control Interno Contable
Encuesta MECI y pormenorizado del Estado de Control Interno</t>
  </si>
  <si>
    <t xml:space="preserve">Generar un plan de trabajo para la integrabilidad de los módulos de SI CAPITAL </t>
  </si>
  <si>
    <t xml:space="preserve">Oficializar la misión, visión y objetivos estratégicos </t>
  </si>
  <si>
    <t>Prolongar el tiempo para la formulación de plan de mejoramiento a 10 días después de presentado el informe de auditoría</t>
  </si>
  <si>
    <t>Encuesta del MECI y Pormenorizado del Estado de Control Interno del DAFP</t>
  </si>
  <si>
    <t>Auditar la aplicación de la política de administración de la información en la Entidad</t>
  </si>
  <si>
    <t>Subdirector Administrativo y Comité de Prima Técnica</t>
  </si>
  <si>
    <t>Para los errores de planta fija se envía a la Oficina Jurídica para el concepto correspondiente considerando la antigüedad del reconocimiento y las acciones legales correspondiente que se deban tomar en el evento de ser necesarios.</t>
  </si>
  <si>
    <t>Subdirector Administrativo</t>
  </si>
  <si>
    <t xml:space="preserve">Marcela Mesa López / Profesional especializado / Dirección Jurídica. </t>
  </si>
  <si>
    <t xml:space="preserve">Realizar reuniones trimestrales con los servidores que se relacionan con la actividad contractual, para hacer retroalimentación de experiencias exitosas y dificultades en los procesos que se llevan a cabo en la Dirección, la cual se verá reflejada en las respectivas actas. </t>
  </si>
  <si>
    <t xml:space="preserve">Magaly Cala Rodríguez /Directora Jurídica/ Dirección Jurídica.  </t>
  </si>
  <si>
    <t>Documentos y papeles sueltos del Archivo de la Dirección Jurídica de Representación Judicial.</t>
  </si>
  <si>
    <t xml:space="preserve">Seguridad de la información efectuando la gestión necesaria y los trámites administrativos para el traslado de los archivos móviles de oficina abierta a un lugar con llave y control dentro de la misma oficina. </t>
  </si>
  <si>
    <t>Magaly Cala Rodríguez /Directora Jurídica</t>
  </si>
  <si>
    <t>Revisar, analizar, ajustar y mejorar la  articulación de los instrumentos de seguimiento, planes de acción y demás acciones formuladas con el fin de armonizar las acciones.
Se verificara especialmente los instrumentos de seguimiento al componente de servicio al ciudadano.</t>
  </si>
  <si>
    <t xml:space="preserve">
Ajustar las terminología con la cual se denominará al grupo de servicio al ciudadano y ajustar los instrumentos</t>
  </si>
  <si>
    <t>OAP</t>
  </si>
  <si>
    <t xml:space="preserve">Solicitar a los líderes de proceso que tengan en cuenta al formular el plan de la vigencia actual  la formulación y el seguimiento de las vigencias anteriores para hacer el análisis y manejar la continuidad e las acciones. </t>
  </si>
  <si>
    <t>Solicitar con el seguimiento al plan anticorrupción, la referencia de donde se encuentran las evidencias y soportes que den cuenta de las acciones ejecutadas por las direcciones misionales para garantizar los procesos de participación ciudadana</t>
  </si>
  <si>
    <t>OAP -Direcciones Misionales</t>
  </si>
  <si>
    <t>Formular e implementar el procedimiento y la estrategia de rendición de cuentas en donde se genere el protocolo de respuesta a las preguntas a la ciudadanía y los métodos y canales de publicación</t>
  </si>
  <si>
    <t>OAP
OAC
Dirección Corporativa y CID</t>
  </si>
  <si>
    <t>Se  solicita reprogramación de fecha, para el 30/10/2014
de la Acción 2013: Realizar un análisis detallado a la Política de Responsabilidad Social, participación ciudadana y control social de la CVP,  determinando los cambios que se requieran y de ser necesario reformularla</t>
  </si>
  <si>
    <t>Verificar información suministrada por la dirección corporativa y la dirección del programa de reasentamientos sobre presuntas irregularidades en el manejo del programa de relocalización transitoria</t>
  </si>
  <si>
    <t>Contabilidad y procedimiento VUR y provisión cartera</t>
  </si>
  <si>
    <t>Inventarios y Almacén</t>
  </si>
  <si>
    <t>Fidolo Martínez Ramírez- Auxiliar Administrativa</t>
  </si>
  <si>
    <t xml:space="preserve">Se estableció que no se han realizado actividades tendientes al cumplimiento del 100% de la política de responsabilidad social, participación ciudadana y control social establecida en la entidad. 
Hallazgo Decreto 371
Articulo 4. PARTICIPACIÓN CIUDADANA Y CONTROL SOCIAL, 7. Verificar la existencia de registros en medio físico y/o electrónico de las intervenciones ciudadanas y su administración: (CALIFICACIÓN  0.) </t>
  </si>
  <si>
    <t>Evaluación por dependencias.</t>
  </si>
  <si>
    <t>Oficina Asesora de Planeación 
Jefes de dependencia</t>
  </si>
  <si>
    <t>1. Por instrucción de la Dirección Jurídica, se reforzó el área de archivo con dos contratistas, con el fin de revisar el archivo de la Gestión Documental de contratos 2012, y atender las acciones señaladas en el acápite "recomendaciones del informe de auditoria interna". 2. La Entidad suscribió un contrato de prestación de servicios profesionales, con el señor José Alfredo Melo Rodríguez, cuyo objeto es: "Prestación de servicios profesionales, para la elaboración, adopción, aplicación de las tablas de valoración y retención documental y la intervención de los documentos que constituyen el fondo documental de acuerdo con el subsistema interno de gestión documental y archivo (SIGA), el sistema de calidad, las normas vigente, los procedimientos y lineamientos internos de la Entidad"·, profesional que ya inspecciono el archivo documental de contratos, y dio pautas a la persona encargada del Archivo, pautas que conllevan a la optimización del archivo y la aplicación de normas que regulan la materia. 3. Adicionalmente la Dirección Jurídica esta implementando un instructivo dirigido a todas las áreas para que de manera oportuna allegue todos los documentos referentes a la ejecución del contrato y que deban reposar en el archivo de contratos, y así evitar que se presente represamiento documental en el archivo documental e el área de contratos. 4. La Dirección Jurídica está en proceso de seleccionar un apoyo técnico con conocimiento en Archivística para que preste sus servicios en el archivo de contratos,  teniendo en cuenta la saturación que presenta por el cumulo de documentación que se presentan diariamente. 5. Se está adelantando una licitación pública con el objeto de implementar la gestión y custodia de los archivos de la entidad , de esta forma se corrige la situación presentada por el poco espacio del archivo del área de contratos. 6. Se realizó la verificación documental del contrato 431 de 2009 y determinar los documentos que se deben sanear de conformidad con la "Auditoria Interna"</t>
  </si>
  <si>
    <t>Álvaro Leonardo Garnica Guevara</t>
  </si>
  <si>
    <t>Presentar informes periódicos sobre el archivo judicial y en particular, describiendo las actualizaciones surtidas en los procesos o carpetas y la inclusión de nuevos expedientes al citado archivo. La periodicidad será de cada dos meses, contados a partir de la fecha en que se entregue el informe correctivo.</t>
  </si>
  <si>
    <t xml:space="preserve">En el procedimiento 208-COM-Pr-02 V3 “Gobierno en línea”, Ítem 13 Evaluación, se establecen los siguientes  reportes: Google Analíticas; estadística de movimientos en redes sociales; informe con descripción de la inquietud o sugerencia y seguimiento al trámite; los cuales no se utilizan en el seguimiento. </t>
  </si>
  <si>
    <t>Dirección de Gestión Corporativa y CID (áreas de Sistemas) y Oficina Asesora de Comunicaciones - como responsables de contratar el rediseño del portal web de la entidad. 
OAC como responsable de actualización del procedimiento "Administración y Gestión de Contenidos de Web e Intranet" (Anterior Gobierno en Línea)</t>
  </si>
  <si>
    <t>En el procedimiento reformulado "Administración y Gestión de Contenidos de Web e Intranet" (Anterior Gobierno en Línea), tiene un aparte de evaluación sobre la percepción de la WEB e Intranet, de sus contenidos y servicios para atender de manera adecuada las necesidades de comunicación de los grupos de interés de la entidad.</t>
  </si>
  <si>
    <t xml:space="preserve">1. En algunos de los documentos que definen las políticas y estrategias que apuntan al eje de Responsabilidad Social (en trámite de aprobación) se incorpora un ítem de articulación no se evidencia una completa armonización:
• El POA del proyecto de inversión 943 de 2013, “Fortalecimiento institucional para la transparencia, participación ciudadana, control y responsabilidad social y anticorrupción”, presenta algunas acciones que no se enlazan con el plan de acción en cada una de estas políticas.
• El Plan Anticorrupción y de Atención al Ciudadano – mapa de riesgos de corrupción,  ítem – acciones en el proceso de “Servicio al Ciudadano” y los componentes: 2 Estrategia Anti trámites; 3 Estrategia Rendición de Cuentas y 4 Mecanismos para mejorar la Atención al Ciudadano. </t>
  </si>
  <si>
    <t>Se implementará por parte de la OAP control basado en la revisión de los planes nuevos formulados y  los seguimientos de vigencias anteriores con el fin de verificar la continuidad o finalización de las metas con sus porcentajes de ejecución.</t>
  </si>
  <si>
    <t>Enviar alertas tempranas a los líder de proceso de las acciones próximas a vencer registradas en los planes de mejoramiento de las auditorías al decreto 371 de 2010 artículo 4</t>
  </si>
  <si>
    <t>Formular, en caso que el concepto recibido así lo amerite, acción correctiva para revisar y ajustar los porcentajes de la prima técnica de los funcionarios de la CVP.</t>
  </si>
  <si>
    <t>Realizar una circular, para las áreas, recordando la aplicación de los Numerales 6.2.3 al 6.2.9 del Manual de Contratación y los procedimientos allí referidos</t>
  </si>
  <si>
    <t xml:space="preserve">Elaborar memorando  a la Oficina de Planeación, donde se solicite la eliminación del formato de Solicitud de CDP  en el SIG, en cabeza de la Dirección Jurídica, con copia a la Subdirección Financiera para que desde allí se solicite el formato en los procedimiento que allí se manejan. </t>
  </si>
  <si>
    <t xml:space="preserve">RETROALIMENTACIÓN PROCESO CONTRACTUAL
Dentro del proceso de adquisición de bienes y servicios se pudo determinar que se celebran comités de contratación en los cuales se exponen inquietudes relacionadas con los procesos contractuales. Sin embargo la Dirección Jurídica no utiliza espacios formales para retroalimentar a sus servidores sobre experiencias exitosas y problemas  encontrados en otros procesos.
</t>
  </si>
  <si>
    <t>Estado de las Acciones</t>
  </si>
  <si>
    <t>Establecer un cronograma de actividades a desarrollar para culminar la organización de los expedientes de Urbanizaciones.</t>
  </si>
  <si>
    <t xml:space="preserve">Subdirectora Financiera, Subdirección </t>
  </si>
  <si>
    <t xml:space="preserve">Levantamiento del procedimiento Plan de Adquisiciones </t>
  </si>
  <si>
    <t xml:space="preserve">Se tiene formulado un plan estratégico que se visualiza en el manual de calidad 208-Pla-Mn-01 V4 y se definen cuatro objetivos estratégicos. Cuando estos objetivos se despliegan en la caracterización, se presentan unas subdivisiones que no se visualizan en ningún documento formal.
Se tienen estos objetivos de calidad en el plan estratégico de la vigencia 2008 al 2012, y que se visualiza en la carpeta de documentos de referencia del proceso Gestión Estratégica.
</t>
  </si>
  <si>
    <t>Sistema de Gestión de Calidad Gestión Estratégica</t>
  </si>
  <si>
    <t xml:space="preserve">No se puede evidenciar el control que se da a los registros presentados en los procedimientos de la carpeta de calidad que se indica en el manual de calidad y el manejo que se da a través de las TRD aprobadas el 30 de septiembre del 2013. 
- Proceso de Reasentamientos: 
Se definen formatos como:
Formato acta de archivo administrativo 208-REAS-Ft-21
Formato acta de cierre administrativo 208-REAS-Ft-24
Formato ficha de seguimiento relocalización transitoria 208-REAS-Ft-26
Encuesta de calidad en la prestación del servicio relocalización transitoria. 208-REAS-Ft-29
Formato ficha socioeconómica familiar, técnica y jurídica. 208-REAS-Ft-31
Formato asistencia reuniones con comunidad - 208-REAS-Ft-32
Lista de chequeo reasentamientos - 208-REAS-Ft-33
 Los anteriores formatos no guardan relación con el control de las TRD para esta área.
- Mejoramientos de vivienda:
Las TRD no mencionan ninguno de los registros presentados en el procedimiento aprobado 208-MV-Pr-01 V4 Procedimiento mejoramiento de vivienda y formatos reportados en el listado maestro de documentos.
</t>
  </si>
  <si>
    <t>Servicio al Ciudadano</t>
  </si>
  <si>
    <t>Se efectúa una asignación inadecuada de correspondencia externa recibida, con lo cual se generan demoras en la atención de los requerimientos, producto de la reasignación de los mismos.</t>
  </si>
  <si>
    <t>Sistema de Información Si-Capital</t>
  </si>
  <si>
    <t xml:space="preserve">NIVELES DE RESPONSABILIDAD.
Se evidencia que no están claramente definidos los niveles de responsabilidad y las  cadenas de aprobación para solicitar los requerimientos dentro de los módulos SI CAPIT@L.
</t>
  </si>
  <si>
    <t xml:space="preserve">PLAN DE CONTRATACIÓN
Se evidencia que aunque en  la actualidad el módulo SISCO permite el ingreso de información con respecto a las líneas del PLAN DE CONTRATACIÓN y que a su vez se han llevado a cabo capacitaciones sobre el tema, el plan se encuentra desactualizado por parte de los responsables de su ingreso  ya que se han incluido 307 líneas de contratación de las 377 existentes en la actualidad. No se han alimentado con las cifras de ejecución correspondientes.
De igual forma, se observa que no se ha contado con la participación por parte del personal de la subdirección administrativa para el manejo de los gastos de funcionamiento.
</t>
  </si>
  <si>
    <t xml:space="preserve">MANUALES E INSTRUCTIVOS PARA USUARIOS
Se evidencia que aunque existen manuales de usuario, estos no contienen documentación sobre los desarrollos y ajustes que se han implementado en la entidad.
</t>
  </si>
  <si>
    <t xml:space="preserve">MANUALES TÉCNICOS SOBRE CAMBIOS AL CÓDIGO
No se evidencia control de versiones al código de SI CAPIT@L en sus diferentes módulos. Se requiere llevar un registro de los cambios o ajustes realizados, la descripción del resultado, la fecha y autorización del funcionario que lo solicitó y el funcionario que aprobó tal cambio.
</t>
  </si>
  <si>
    <t>Se evidenció que no se enviaron a la Dirección de Defensa Jurídica del Estado, los reportes bimestrales del resultado de los Indicadores de enero a agosto de 2014, correspondientes a: 1) La eficacia de la conciliación reflejada en la disminución de procesos en contra de la entidad; 2) La eficacia de la conciliación reflejada en la disminución porcentual de condenas contra la entidad; 3) La efectividad de las decisiones del Comité de Conciliación traducidas en el porcentaje de conciliaciones aprobadas judicialmente; y 4) El ahorro patrimonial que se logre con ocasión de los acuerdos conciliatorios aprobados por la jurisdicción</t>
  </si>
  <si>
    <t>Mediante el procedimiento 208-DJ-17-06, Control de legalidad, se estableció el cumplimiento de los requisitos legales, entre otros, en el acompañamiento que la Dirección Jurídica le presta a los diferentes procesos que atienden la población objetivo y demás partes interesadas; el mencionado documento  presenta inconsistencias entre la fecha de aprobación y la fecha de vigencia y carece del correspondiente registro de elaboración, revisión y aprobación.</t>
  </si>
  <si>
    <t>Los documentos contenidos en los expedientes de los procesos que conforman el archivo de la Dirección Jurídica no están digitalizados; con lo cual se expone a la consecuente inseguridad en la conservación documental de sus archivos (numeral 12.3 de las Políticas</t>
  </si>
  <si>
    <t>En relación con la distribución de procesos entre los profesionales del Derecho, tanto contratistas como funcionarios, la responsabilidad en la asignación de la atención de los procesos judiciales de la entidad, es una función del funcionario(a) que desempeñe el cargo de Director(a) de la dependencia. Aparentemente no existe distribución equitativa en la mencionada asignación de la atención de los procesos a cargo de la entidad, sin embargo, se indica que la carga laboral por proceso jurídico no es proporcionada, dada la diferencia en la complejidad que atraviesa la tipología de los procesos; aunque es evidente que no es la única variable a analizar. Para verificar lo anterior se revisó el reporte denominado carga laboral del SIPROJ con fecha 19 de noviembre y arrojó la información descrita en el siguiente cuadro:</t>
  </si>
  <si>
    <t>El inventario de procesos judiciales en curso, tanto en contra de la CVP, como iniciados por la entidad, también está contenido en la Matriz mencionada en el numeral anterior, sin embargo, no hace referencia al nivel de eficiencia y eficacia de la representación judicial, teniendo en cuenta los tiempos de gestión, contenido de los informes y fallo</t>
  </si>
  <si>
    <t xml:space="preserve">El proceso no ha formulado planes de mejoramiento producto de la autoevaluación. Tal es el caso del resultado obtenido en el análisis del servicio no conforme, medido con corte al 30 de mayo de 2014, que según el formato para cuarta tipología presenta no conformidad.
Es preciso anotar que en la autoevaluación se puede generar planes de mejoramiento en el análisis del mapa de riesgo, el cumplimiento del plan de acción, quejas o reclamos de los usuarios, análisis de datos y/o cumplimiento de metas, entre otros.
</t>
  </si>
  <si>
    <t xml:space="preserve">SATISFACCIÓN DEL CLIENTE
Se evidencia que el proceso  cuenta con un instrumento que permite realizar un seguimiento a la satisfacción del usuario,  denominado encuesta de satisfacción finalización de obra área social  con código 208-Mb-Ft-12 versión 2, el cual se encuentra oficializado  en la carpeta de calidad. Sin embargo las encuestas no han sido tabuladas por los responsables, lo que origina que no se midan ni se  analicen para una oportuna toma de decisiones.
</t>
  </si>
  <si>
    <t xml:space="preserve">MEDICIÓN Y ANÁLISIS (INDICADORES)
El proceso de Mejoramiento de Barrios cuenta actualmente con 3 indicadores para el proyecto 208, de los cuales no se tiene un registro periódico ni frecuencia en su medición. Quiere ello decir que no cuenta con descripción clara del indicador. Además, dentro de su formulación no se tiene claro lo que va en el numerador y en el denominador, pues se traspone erróneamente. Es indispensable que se ajuste para un adecuado seguimiento a las actividades y una oportuna toma de decisiones; de igual forma sería  conveniente que estos tuvieran correlación con los indicadores que se encuentran dentro del FUSS para una coherente medición del proyecto.
</t>
  </si>
  <si>
    <t>˗ Dirección de Gestión Corporativa y CID. Área de Sistemas.
-Dirección Jurídica
˗Área Financiera.
˗Oficina Asesora de Planeación.
˗Área de Personal.
˗Subdirección  Administrativa.
˗Administrador Cordis</t>
  </si>
  <si>
    <t>Expedir circular con las obligaciones y condiciones de uso de SI Capital para supervisores, contratistas y gestores en las diferentes áreas funcionales de la CVP.</t>
  </si>
  <si>
    <t xml:space="preserve">Crear repositorios de manuales de uso del SI C@pital en la carpeta Calidad de la CVP.
</t>
  </si>
  <si>
    <t>Incentivar  a través de la intranet la consulta de dichos documentos.</t>
  </si>
  <si>
    <t>Dirección de Gestión Corporativa y CID - Área de Sistemas
Ingenieros de soporte SI C@pital. Supervisor</t>
  </si>
  <si>
    <t>Entregar a la OAP dichos manuales para que sean incorporados en la carpeta de calidad cada vez que sean actualizados.</t>
  </si>
  <si>
    <t>Directora de Mejoramiento de Barrios
-Profesional enlace Oficina Asesora de Planeación.</t>
  </si>
  <si>
    <t>Realizar el análisis de la satisfacción de finalización de las obras y presentar informe de resultados.</t>
  </si>
  <si>
    <t>Realizar un taller semestral para  reforzar las conocimientos sobre cada uno de los tipos de documentos que el ciudadano radica en la entidad para mejorar la asignación de los mismos.</t>
  </si>
  <si>
    <t>Secretario Comité de conciliación</t>
  </si>
  <si>
    <t>Se ajustara el formato a lo establecido en calidad.</t>
  </si>
  <si>
    <t>Sensibilizar a la persona encargada del archivo de jurídica sobre los lineamientos de conservación, seguridad y custodia de los documentos judiciales.</t>
  </si>
  <si>
    <t xml:space="preserve">1. Se verificara la distribución de los procesos con el personal que se contrate.
</t>
  </si>
  <si>
    <t xml:space="preserve">2. Se verificara la carga laboral de los funcionarios de planta temporal.
</t>
  </si>
  <si>
    <t xml:space="preserve">3. Se justificara el no reparto de estos procesos al personal de planta temporal.
</t>
  </si>
  <si>
    <t>Contratación personal necesario</t>
  </si>
  <si>
    <t>Actualización del SIPROJ (ver plan de mejoramiento con la Contraloría)</t>
  </si>
  <si>
    <t>Sensibilizar al personal contratado y de plata para el manejo de procesos sobre la actualización del SIPROJ Circular 6 de 2014.</t>
  </si>
  <si>
    <t>En lo referente a  los informes que deben rendir los abogados que atienden los procesos, la Dirección Jurídica proporciona un archivo digital denominado “Matriz de procesos judiciales”, el cual contiene: resultados de revisión SIPROJ del 6 y 19 de septiembre de 2014; Informe de apoderados con fecha 18 de septiembre de 2014; y Acciones a realizar. Se alude que la falta de actualización obedece al paro de la rama judicial desde el 6 de octubre de 2014.
La información generada en la atención a los procesos judiciales de la CVP, debe ser actualizada mediante la incorporación de datos y documentos (PDF), para permitir su consulta y análisis; sin embargo, los abogados que tienen como obligación contractual esa actividad no la cumplen (ver cuadro “Seguimiento Procesos Activos CVP (2)” tomado del SIPROJ con fecha 19 de noviembre de 2014, en copia digitalizada que reposa en la carpeta compartida de Control Interno). Este hallazgo también se detectó en el 2012, el 31 de feb./2013 se formuló plan de mejoramiento, el cual consta dos (2) acciones propuestas que a la fecha no se han  ejecutado.</t>
  </si>
  <si>
    <t>Actualizar el Manual de contratación teniendo en cuenta la Resolución de honorarios para la vigencia 2015</t>
  </si>
  <si>
    <t>Realizar la transferencia de los archivos muertos a archivo central, con el fin de liberar espacio en el archivo existente y los expedientes que se encuentran ubicados fuera del mismo incluirlos para su custodia.</t>
  </si>
  <si>
    <t>Consolidado:</t>
  </si>
  <si>
    <t>Puede combinarse</t>
  </si>
  <si>
    <t>Plantear las acciones de mejora de acuerdo al informe de resultados de satisfacción de finalización de obras.</t>
  </si>
  <si>
    <t xml:space="preserve">
Realizar el análisis de los resultados arrojados por los indicadores de seguimiento al PI 208 y presentar informe del avance de los indicadores del proyecto 208
</t>
  </si>
  <si>
    <t>Demora en el cumplimiento  del programa de Auditorias, respecto la fecha de inicio y a la agenda de las auditorias.</t>
  </si>
  <si>
    <t>El profesional responsable del Acta</t>
  </si>
  <si>
    <t>Dejar en el procedimiento de Auditorias Internas cuando se levanten las auditorias y definir las implicaciones</t>
  </si>
  <si>
    <t>El formato de evaluación de la auditoria no  es claro y el modo de evaluación  no es el más conveniente</t>
  </si>
  <si>
    <t>Revisar y ajustar el formato.</t>
  </si>
  <si>
    <t>Dejar en el procedimiento de Auditorias Internas:  Diligenciar el formato de evaluación de la auditoria y evaluación del auditor</t>
  </si>
  <si>
    <t>No se toma la evaluación de la auditoria tan pronto como se termine la auditoria.</t>
  </si>
  <si>
    <t>Actualizar  el directorio de la  página web y de la intranet con la información de los servidores</t>
  </si>
  <si>
    <t xml:space="preserve">Actualizar y aprobar la política de seguridad de la información.
</t>
  </si>
  <si>
    <t>Gestión Estratégica – Sistema Integrado de Gestión</t>
  </si>
  <si>
    <t xml:space="preserve">No se han formulado procedimientos definidos en la norma NTD-SIG-2011, entre otros: 
- 7) El reporte de accidentes de trabajo. 
- 8) La investigación de accidentes laborales 
- 11) La protección del intercambio de información. 
- 12) El monitoreo del uso de los medios de procesamiento de información 
- 14) Planificación Operativa
- 15) La construcción y actualización del Normograma, 
Y otros documentos como:
Procedimiento de evaluación periódica de lo legal
Nota: Numerales tomados de la norma NTD-SIG-001: 2011
</t>
  </si>
  <si>
    <t>Imagen corporativa. Se definió en el documento: 208-COM-G-01 GUÍA DE MANEJO DE IMAGEN CVP el logo de la entidad como “Caja de la Vivienda Popular”. Sin embargo no se ha dado cumplimiento total en los procedimientos actualizados en la vigencia 2014.</t>
  </si>
  <si>
    <t>Actualización del MECI 2014. Se adelantó mediante cronograma la actualización del MECI, dispuesta en el Decreto 943 de 2014. En el informe sobre la actualización del MECI en la fase de cierre 21 de diciembre de 2014 (reportado el 16 de febrero de 2015) no se habían completado las acciones propuestas</t>
  </si>
  <si>
    <t xml:space="preserve">DIVULGACIÓN Y PUBLICACIÓN 
Se evidencia que dentro de la muestra revisada, no obran constancias documentales completas de divulgación y publicidad – SECOP.
Ver: Contratos 282 y 283 de 2015.
</t>
  </si>
  <si>
    <t xml:space="preserve">DOCUMENTACIÓN PROCESO CONTRACTUAL - FORMATO DISPONIBILIDAD PRESUPUESTAL
En 17 de los 32 contratos revisados, no existe evidencia documental de la utilización del formato 208-DJ-Ft-01 FORMATO SOLICITUD CERTIFICACIÓN DISPONIBILIDAD DE PRESUPUESTAL, aunque los certificados de disponibilidad en todos los casos señalan el origen del mismo. 
</t>
  </si>
  <si>
    <t xml:space="preserve">DOCUMENTACIÓN - LISTA DE CHEQUEO
Se evidencia que en 3 de los 32 contratos revisados no hay diligenciamiento del formato 208-SADM – Ft-05 Lista de Chequeo que permite llevar un control de la documentación que obra en la carpeta del contrato.
</t>
  </si>
  <si>
    <t xml:space="preserve">1. Profesionales técnicos y sociales de la DMV. 
Profesional encargado de planeación en la DMV.
</t>
  </si>
  <si>
    <t xml:space="preserve"> Profesional encargado de planeación en la DMV.</t>
  </si>
  <si>
    <t>1. Profesionales técnicos y sociales de la DMV. 
Profesional encargado de planeación en la DMV.</t>
  </si>
  <si>
    <t>4. Profesional encargado de planeación en la DMV.</t>
  </si>
  <si>
    <t xml:space="preserve">1. Realizar la formulación de indicadores  de eficiencia, eficacia y efectividad del proceso de mejoramiento de vivienda.
</t>
  </si>
  <si>
    <t xml:space="preserve">
2. Revisar y/o aprobar la propuesta de indicadores  de eficiencia, eficacia y efectividad del proceso de mejoramiento de vivienda.
</t>
  </si>
  <si>
    <t xml:space="preserve">3. Solicitar la formalización de los indicadores de eficiencia, eficacia y efectividad del proceso de mejoramiento de vivienda.
</t>
  </si>
  <si>
    <t xml:space="preserve">4. Socializar al recurso humano del proceso de Mejoramiento de Vivienda los indicadores  de eficiencia, eficacia y efectividad del proceso de mejoramiento de vivienda.
</t>
  </si>
  <si>
    <t xml:space="preserve">
2. Profesional financiero de la DMV. 
Profesional encargado de planeación en la DMV.
</t>
  </si>
  <si>
    <t xml:space="preserve">1. Revisar y/o ajustar las actividades del proyecto 7328 a cargo de la Dirección de Mejoramiento de Vivienda, para la vigencia 2015 en el Plan Operativo Anual.
</t>
  </si>
  <si>
    <t xml:space="preserve">
2. Establecer presupuesto a cada una de las actividades del proyecto 7328 a cargo de la Dirección de Mejoramiento de Vivienda.
</t>
  </si>
  <si>
    <t>Dirección de Urbanizaciones y Titulación</t>
  </si>
  <si>
    <t xml:space="preserve">Adquisición de Bienes y Servicios </t>
  </si>
  <si>
    <t>Contraloría</t>
  </si>
  <si>
    <t xml:space="preserve">Prevención del Daño Antijurídico y Representación Judicial </t>
  </si>
  <si>
    <t>x</t>
  </si>
  <si>
    <t>DOCUMENTACIÓN - LISTA DE CHEQUEO
Se evidencia que en la totalidad de los contratos revisados, no hubo diligenciamiento del formato 208-SADM – Ft-05 Lista de Chequeo que permite llevar un control de la documentación que obra en la carpeta del contrato.
DOCUMENTACIÓN PROCESO CONTRACTUAL
El cincuenta y cuatro por ciento 54% de las carpetas revisadas no se encuentran organizadas cronológicamente de acuerdo  con las etapas de los procesos contractuales y con la lista de chequeo  que reposa en cada carpeta.
Ver contratos 001, 011, 031, 041, 051, 061, 071, 081, 161, 171, 181 y 191 de 2014.
Así mismo, la totalidad de las carpetas de los contratos celebrados bajo las modalidades Contratación Directa - Mínima Cuantía,  Selección Abreviada - Subasta Inversa, Selección Abreviada - Mínima cuantía, objeto de revisión adolecen de deficiencias en el mismo sentido.
Ver contratos 219, 220, 221, 222, 223, 224, 225 y 226 de 2014</t>
  </si>
  <si>
    <t>Oficina Asesora de Planeación.</t>
  </si>
  <si>
    <t>26/11/2014
22/04/2015</t>
  </si>
  <si>
    <t>Oficina asesora de planeación,
Procesos Misionales</t>
  </si>
  <si>
    <t>Solicitar a los procesos que aplique, el seguimiento del servicio no conforme al último trimestre del año 2014.</t>
  </si>
  <si>
    <t xml:space="preserve">Socializar a los enlaces de cada proceso el manejo del formato Servicio No Conforme.
</t>
  </si>
  <si>
    <t xml:space="preserve">
Solicitar a los procesos el envío periódico de la información trimestre vencido.</t>
  </si>
  <si>
    <t>Profesional Especializado Oficina Asesora de Planeación</t>
  </si>
  <si>
    <t>No se tienen actualizados los registros de los Productos No conformes para cada uno de los procesos de la Entidad. Se presenta en la carpeta de calidad los No conformes con fecha de corte 21 de Nov 
Se evidencia el registro de la caracterización del servicio para la vigencia 2013 de los procesos misionales y el reporte del producto No conforme, en la “carpeta de calidad”
- En el consolidado del producto No Conforme, se presenta solo para la vigencia 2013 y no ha registros para la vigencia 2014.
Se indica en el procedimiento de Producto No conforme 208-PLA-Pr-03 V4, el reporte de manera trimestral. No se pueden visualizar estos registros trimestrales para la vigencia 2014 para los procesos misionales -como reasentamientos-, ni una fecha consolidada de este reporte.
Reasentamientos: un reporte, 30 de mayo de 2014
Titulación: un reporte, 30 de septiembre de 2014
Mejoramiento de Vivienda: dos reportes, 30 de mayo y 30 de diciembre de 2014.
Mejoramiento de Barrios: Dos reportes, 21 de noviembre y 15 de diciembre de 2014.
Se mantiene la dificultad en la apropiación de la definición e identificación del caso del producto no conforme, al considerar que se tienen diferentes criterios para el uso del formato y no se evidencian planes de mejoramiento suscritos.</t>
  </si>
  <si>
    <t xml:space="preserve">Socializar a través de los enlaces la correcta aplicación de las TRD aprobadas.
</t>
  </si>
  <si>
    <t>Actualizar la Guía de Manejo de imagen CVP, donde se incluya todos los logos utilizados actualmente por la entidad.</t>
  </si>
  <si>
    <t>Oficina Asesora de Planeación - Oficina Asesora de Comunicaciones</t>
  </si>
  <si>
    <t>Elaborar un cronograma (Plan de Trabajo) donde se identifiquen las acciones pendientes para la implementación de los productos mínimos que aún se encuentren pendientes o que requieran de actualización, y dar seguimiento al mismo para la vigencia 2015.</t>
  </si>
  <si>
    <t>Oficina asesora de Planeación.</t>
  </si>
  <si>
    <t xml:space="preserve">Establecer dentro del procedimiento de control documental una actividad para que al momento de aprobar nuevos documentos, o de actualizar documentos, se haga la respectiva actualización de la versión y vigencia de los mismos en el listado maestro de documentos </t>
  </si>
  <si>
    <r>
      <t>Oficina Asesora de Planeación -</t>
    </r>
    <r>
      <rPr>
        <sz val="10"/>
        <color rgb="FFFF0000"/>
        <rFont val="Arial"/>
        <family val="2"/>
      </rPr>
      <t xml:space="preserve"> </t>
    </r>
    <r>
      <rPr>
        <sz val="10"/>
        <rFont val="Arial"/>
        <family val="2"/>
      </rPr>
      <t>Oficina Asesora de Control Interno</t>
    </r>
  </si>
  <si>
    <t>Director de Reasentamientos/Profesional Especializado</t>
  </si>
  <si>
    <t>Realizar análisis a los instrumentos del proceso, tales  como, plan de acción, mapa de riesgos, producto y servicio no conforme, cumplimiento de los procedimientos, indicadores y generar plan de mejoramiento a las   desviaciones encontradas</t>
  </si>
  <si>
    <t>No se genero Plan de mejoramiento relacionado a la auditoria interna adelantada en diciembre de 2014</t>
  </si>
  <si>
    <t>No se ha medido el servicio no conforme para la vigencia 2015</t>
  </si>
  <si>
    <t>Garantizar contar en la Dirección con un servidor que atienda los requerimientos asociados al SIG</t>
  </si>
  <si>
    <t>Medición trimestral de la matriz de servicio no conforme con reporte a planeación</t>
  </si>
  <si>
    <t>No se han actualizado los procedimientos según las observaciones del informe a diciembre de 2014</t>
  </si>
  <si>
    <t>Ajustar los procedimientos del Proceso de Reasentamientos</t>
  </si>
  <si>
    <t xml:space="preserve">Dejar la acción de revisar y actualizar los instrumentos del SIG en el plan de acción de gestión.  </t>
  </si>
  <si>
    <t xml:space="preserve">Dirección Corporativa y CID
OAP
</t>
  </si>
  <si>
    <t>Dirección Corporativa y CID</t>
  </si>
  <si>
    <t> El 24 de abril se realizó el primer taller sobre los tipos de documentos.
4 de Septiembre de 2015:
Se solicita el cambio de responsable atendiendo al nuevo líder del proceso Gestión corporativa.</t>
  </si>
  <si>
    <t>Profesional Especializado
Directora de Gestión Corporativa y CID</t>
  </si>
  <si>
    <t xml:space="preserve">1. Los procedimientos e instructivos que conforman el proceso se encuentran desactualizados en cuanto a normatividad y actividades que ya no se cumplen o se cumplen de forma diferente. Ver los ejemplos en el punto 3 de la sección VII. Desarrollo de la Auditoria. </t>
  </si>
  <si>
    <t>Oportunidad de mejora</t>
  </si>
  <si>
    <t>Subdirector Financiero 
Subdirector Administrativo</t>
  </si>
  <si>
    <t>Análisis del sistema integrado de gestión</t>
  </si>
  <si>
    <t>Se evidenció al revisar el documento del procedimiento de servicio al ciudadano imprecisiones e incoherencias  referente a formatos y secuenciación de las actividades, respectivamente, con lo cual se incumple los parámetros de documentación definidos  para el SIG</t>
  </si>
  <si>
    <t xml:space="preserve">Se evidenció al revisar la documentación del proceso que no se encuentran documentadas las Tablas de Retención Documental de acuerdo con lo establecido la Ley 594 de 2000  y el Acuerdo 039 de 2002 del Archivo General de la Nación </t>
  </si>
  <si>
    <t>Director (a) de Gestión Corporativa y CID o a quien designe para esta función o el
Coordinador (a) de la oficina de servicio al ciudadano
Profesional Especializado de la Oficina Asesora de Planeación</t>
  </si>
  <si>
    <t>Validar los documentos y/o registros evidenciados  en el procedimiento vs el listado maestro de documentos con el fin de garantizar la codificación de los registros</t>
  </si>
  <si>
    <t>Cuando se realice la próxima modificación de procedimiento</t>
  </si>
  <si>
    <t>Realizar el levantamiento y formulación de la Tabla de Retención Documental para el proceso</t>
  </si>
  <si>
    <t>Auditoria combinada Gestión Humana</t>
  </si>
  <si>
    <t>Ingreso, permanencia y retiro de funcionarios: de acuerdo con los resultados de la verificación a la muestra aleatoria de historias laborales, se identificaron inconsistencias relativas a: 1) nombramiento sin el lleno requisitos; 2) encargo sin acto administrativo que sustente dicha novedad; y 3) diligenciamiento incompleto del formato estandarizado para verificación de requisitos de ingreso. Ver numeral 10.</t>
  </si>
  <si>
    <t xml:space="preserve">01/12/2015:
Aunque la matriz está definida la medición no es coherente con la caracterización, esta debilidad se refleja en el informe de diciembre de 2015. </t>
  </si>
  <si>
    <t xml:space="preserve">DOCUMENTACIÓN PROCESO CONTRACTUAL - EVALUACIÓN DE COMPETENCIAS
Se evidencia que el formato  208-SADM-FT-63 EVALUACIÓN DE COMPETENCIAS Y HABILIDADES COMPORTAMENTALES NIVEL PROFESIONAL que reposa en cada una de las carpetas de contratos de prestación de servicios con persona natural no ha sido incluido en la carpeta de calidad. 
</t>
  </si>
  <si>
    <t xml:space="preserve">CONTROL SOCIAL Y PARTICIPACIÓN CIUDADANA
La evidencia documental sobre la  publicación en el Sistema Electrónico de Contratación Pública SECOP de la convocatoria a las veedurías ciudadanas para ejercer control social en los  procesos, debe ser incorporada al respectivo expediente. 
</t>
  </si>
  <si>
    <t>Formalizar la revisión anual del plan estratégico de la entidad.</t>
  </si>
  <si>
    <t>Revisar y corregir en el listado maestro y/o en a carpeta de calidad los hallazgos detectados por Control Interno (en el plan de mejoramiento del proceso se generó una acción por cada error encontrado)</t>
  </si>
  <si>
    <t>Se debe continuar con la labor de identificación, organización y archivo de los expedientes que contienen información histórica extensa.</t>
  </si>
  <si>
    <t xml:space="preserve">La Dirección de Urbanizaciones y Titulación presenta un cronograma con actividades que se desarrollarán durante 2016. Sin embargo una de las actividades propuestas se desarrollará en 2017.
Esta acción correctiva se deja abierta hasta diciembre de 2016.
</t>
  </si>
  <si>
    <t>No se tienen actualizados los registros de los Productos No conformes para cada uno de los procesos de la Entidad. Se presenta en la carpeta de calidad los No conformes con fecha de corte 21 de Nov 
Se evidencia el registro de la caracterización del servicio para la vigencia 2013 de los procesos misionales y el reporte del producto No conforme, en la “carpeta de calidad”
- En el consolidado del producto No Conforme, se presenta solo para la vigencia 2013 y no ha registros para la vigencia 2014.
Se indica en el procedimiento de Producto No conforme 208-PLA-Pr-03 V4, el reporte de manera trimestral. No se pueden visualizar estos registros trimestrales para la vigencia 2014 para los procesos misionales -como reasentamientos-, ni una fecha consolidada de este reporte.
Reasentamientos: un reporte, 30 de mayo de 2014
Titulación: un reporte, 30 de septiembre de 2014
Mejoramiento de Vivienda: dos reportes, 30 de mayo y 30 de diciembre de 2014.
Mejoramiento de Barrios: Dos reportes, 21 de noviembre y 15 de diciembre de 2014.
Se mantiene la dificultad en la apropiación de la definición e identificación del caso del producto no conforme, al considerar que se tienen diferentes criterios para el uso del formato y no se evidencian planes de mejoramiento suscritos.</t>
  </si>
  <si>
    <t xml:space="preserve">27 de noviembre de 2015:
El reporte de accidentes de trabajo: Para este reporte no se va a realizar procedimiento, esta actividad se va a dejar inmersa dentro del manual de SST.
La investigación de accidentes laborales.  Para este reporte no se va a realizar procedimiento, esta actividad se va a dejar inmersa dentro del manual de SST.
La construcción y actualización del Normograma: Esta actividad quedo inmersa dentro del procedimiento Control Documental.
El monitoreo del uso de los medios de procesamiento de información. Esta actividad va a quedar inmersa dentro de los nuevos  procedimientos del proceso de administración de la información.
La Planificación Operativa esta descrita en las siguientes herramientas: Caracterización del proceso, caracterización del producto y/o servicio, la matriz de trámites y servicios y en la matriz de servicios del proceso de administración de la información.
</t>
  </si>
  <si>
    <t>Auditoria, estado del sistema integrado de gestión.</t>
  </si>
  <si>
    <t>No existe evidencia de la actualización total de los procedimientos, puesto que no se identifican las políticas de operación ni controles definidos para cada proceso. Tampoco han sido actualizados los procedimientos obligatorios de la NTC GP 1000.</t>
  </si>
  <si>
    <t>No existe evidencia acerca de construir la coherencia institucional de acuerdo con la nueva planeación estratégica, los objetivos de los procesos y las herramientas que permitan verificar el cumplimiento de objetivos y metas.</t>
  </si>
  <si>
    <t>El FUSS es un formato externo del cual no se asegura su control.</t>
  </si>
  <si>
    <t>No se evidenció la generación de acciones correctivas y preventivas que se presentan en Atención al ciudadano a través del mecanismo de PQRS</t>
  </si>
  <si>
    <t>No se pudo evidenciar la eficacia de las acciones tomadas ya que no existe socialización de las mismas en lo relacionado con atención al ciudadano.</t>
  </si>
  <si>
    <t>No se tiene la evidencia del diligenciamiento de los  documentos y/o registros establecidos en los procedimientos del proceso.</t>
  </si>
  <si>
    <t>Auditoria combinada Comunicaciones</t>
  </si>
  <si>
    <t>Auditoria combinada Mejoramiento de Vivienda</t>
  </si>
  <si>
    <t xml:space="preserve">DOCUMENTACIÓN PROCESO CONTRACTUAL - FORMATO DISPONIBILIDAD PRESUPUESTAL
Se evidencia que en el sesenta y ocho por ciento (68%) de los contratos revisados  no es utilizado el formato 208-DJ-Ft-01 FORMATO SOLICITUD CERTIFICACIÓN DISPONIBILIDAD DE PRESUPUESTAL,  el cual hace parte de la documentación aprobada dentro del Sistema combinada de Gestión. 
Tal situación se presenta así mismo en todos los contratos celebrados bajo las modalidades Contratación Directa - Mínima Cuantía,  Selección Abreviada - Subasta Inversa, Selección Abreviada - Mínima cuantía, objeto de revisión.
</t>
  </si>
  <si>
    <t>Decreto 371 de 2010 y auditoria combinada Adquisición de bienes y servicios</t>
  </si>
  <si>
    <t>No hay coherencia entre los documentos descritos en el listado maestro y los incluidos en el proceso (Ver tabla  listado maestro de documentos).</t>
  </si>
  <si>
    <t>Las tablas de retención documental se encuentran desactualizadas. Ver apartes (tablas de retención documental – TRD).</t>
  </si>
  <si>
    <t>La documentación del proceso se archiva  en forma virtual. Sin embargo adolece de una estandarización para su manejo, lo que dificulta el control de su totalidad, además del acceso, trazabilidad y conservación.</t>
  </si>
  <si>
    <t>El líder  del proceso debe asegurarse de efectuar las correcciones y tomar las acciones correctivas y preventivas, producto de los resultados de las auditorías internas.</t>
  </si>
  <si>
    <t>La página web cuenta con el link 3   Transparencia y acceso a información pública”, pero este no contiene  la información requerida.</t>
  </si>
  <si>
    <t>El directorio de información de servidores públicos, empleados y contratistas, publicado en la página web, está desactualizado y no cumple con los requisitos de la norma</t>
  </si>
  <si>
    <t>La web cuenta con el link que guíe a los usuarios a la página del SECOP, pero este no está asociado a los contratos de la Entidad, además no se publica la información sobre la ejecución de los mismos.</t>
  </si>
  <si>
    <t>No se evidencia información en la página web que de cumplimiento al título V Instrumentos de gestión de la información, solamente se encuentra el numeral III esquema de publicación de la información y este no cumple con los componentes descritos en el artículo 42 del Decreto Reglamentario 103 de 2015.</t>
  </si>
  <si>
    <t>En la página web no se encontró publicado el informe de solicitudes de acceso a la información</t>
  </si>
  <si>
    <t>Sin reporte de seguimiento.</t>
  </si>
  <si>
    <t>Auditoria combinada Reasentamientos Humanos</t>
  </si>
  <si>
    <t>En el seguimiento y medición de servicio no existe relación entre los requisitos definidos del servicio en la hoja “Servicio Conforme” con la medición que se realiza en la hoja “Servicio no conforme”. Así mismo, no se cumple con lo solicitado en la norma NTCGP 1000:2009 en lo que se refiere al tratamiento de los servicios no conformes.</t>
  </si>
  <si>
    <t>Auditoria combinada Urbanización y titulaciones</t>
  </si>
  <si>
    <t>Subdirector(a) Administrativo (a)</t>
  </si>
  <si>
    <t>Ajustar el procedimiento 208-SADM-Pr-13 donde la responsabilidad y el punto de control respecto a la verificación del cumplimiento de los requisitos para el cargo y validez de la documentación (actividades 18 y 6 punto de control) recaiga sobre el profesional universitario 219-03 de talento humano</t>
  </si>
  <si>
    <t>Se implementará un  control trimestral, solicitando a cada líder de proceso al cierre de cada trimestre, enviar los formatos diligenciados de inducción en el puesto de trabajo de las personas que han ingresado a la entidad</t>
  </si>
  <si>
    <t>Coordinadores DMV con el acompañamiento del profesional de planeación de la DMV</t>
  </si>
  <si>
    <t>Equipo de gestión documental con apoyo del profesional de planeación d la DMV
Director de Mejoramiento de Vivienda</t>
  </si>
  <si>
    <t>El diligenciamiento del formato M-ODT-FM-026 Certificación de Actualización de Información Distrital del Empleo y la Administración Pública – SIDEAP; se llevó a cabo hasta el mes de febrero de 2014 (ver numeral 3.3).</t>
  </si>
  <si>
    <t xml:space="preserve">Noviembre 12 de 2015:
En la documentación realizada de los procedimientos se especifican los responsables de la aplicación de los políticas por cada actividad del procedimiento. En proceso la implementación de los procedimientos.
</t>
  </si>
  <si>
    <t>29 de diciembre de 2015:
Se estableció que la ejecución de esta acción fue modificada, por cuanto la antigüedad de la mayoría de las mencionadas historias y la necesidad de dar cumplimiento a los requerimientos normativos vigentes a partir de segundo semestre de 2015, dio inicio a un proceso de organización documental de cada uno de los expedientes de las historias laborales de la entidad, a cargo del contratista Fredy Camacho Guerrero, con el fin de elaborar el Inventario Único Documental FUID. Esta nueva gestión se soporta en los informes remitidos vía correo institucional, sobre sus avances. Por lo anterior, esta acción aunque modificada continúa en ejecución.</t>
  </si>
  <si>
    <t>Diciembre 31 de 2015:
La circular se expedirá una vez se valide por parte de la OAP.</t>
  </si>
  <si>
    <t>Auditoria Si Capital</t>
  </si>
  <si>
    <t>En el módulo PERNO no queda el registro (evidencia) de las pruebas que se efectúan.</t>
  </si>
  <si>
    <t>Dirección de Gestión Corporativa y CID</t>
  </si>
  <si>
    <t>Realizar inducción y seguimiento a la implementación del procedimiento de mantenimiento y desarrollo de software junto con los formatos respectivos para cualquier proyecto de mantenimiento y desarrollo de software.</t>
  </si>
  <si>
    <t>Elaborar y comunicar los actos administrativos de prorroga de los encargados y nombramientos provisionales</t>
  </si>
  <si>
    <t>Auditoria combinada Administración de la Información</t>
  </si>
  <si>
    <t xml:space="preserve">El proceso auditado no cuenta con una política actualizada de Administración de la Información que se ajuste a los requerimientos de gestión del mismo; situación que se evidencia en:
1. El subproceso Sistemas de Información requiere adelantar las gestiones pertinentes, tendientes a la actualización de su política marco, incluyendo la normatividad vigente en materia de TIC; así como la armonización de los roles y responsabilidades para su adecuada funcionalidad.
2. El subproceso Gestión documental adoptó una política que no cumple los parámetros establecidos en la normatividad vigente, especialmente los relativos a los componentes definidos en el Decreto 2609 de 2012 artículo 6.
3. La falta de formulación de una política unificada para el proceso, refleja la carencia de una visión sistémica sobre la administración de la información, en la que se debe armonizar tanto los subprocesos internos como los demás procesos que conforman el mapa institucional. (Ver numerales 1.1 y 1.2)
</t>
  </si>
  <si>
    <t>Los subprocesos de manera independiente han logrado una ejecución significativa de los productos formulados en la caracterización; no obstante, es necesario que se genere una sinergia en la gestión de las actividades, que tienda a dar cumplimiento armónico a los objetivos del proceso. Lo anterior, por cuanto existen prácticas y resultados mancomunados cuyo cumplimiento impacta la gestión de todos los procesos de la entidad así como de las demás partes interesadas; tal como sucede con el “modelo de requisitos para la gestión de archivos electrónicos” que no ha sido implementado.</t>
  </si>
  <si>
    <t xml:space="preserve">Producto de la verificación efectuada por Control Interno al nivel de cumplimiento de las disposiciones contenidas en la Ley de Transparencia, con corte al 30 de noviembre del presente; se evidenció que aún se encuentran pendientes por implementar algunos de los requisitos de dicha norma, o los mismos se encuentran desactualizados o incompletos. (Ver numeral 5) </t>
  </si>
  <si>
    <r>
      <rPr>
        <b/>
        <sz val="8"/>
        <color theme="1"/>
        <rFont val="Arial"/>
        <family val="2"/>
      </rPr>
      <t>30/01/2015</t>
    </r>
    <r>
      <rPr>
        <sz val="8"/>
        <color theme="1"/>
        <rFont val="Arial"/>
        <family val="2"/>
      </rPr>
      <t xml:space="preserve">
Se verifico que dentro de los estudios previos de los contratos 141 y 143 de 2015, correspondientes a los abogados de representación judicial y extrajudicial, se incluyo la obligación especial correspondiente a la actualización y diligenciamiento de la información en el SIPROJ de acuerdo con lo señalado en el art. 110 del Decreto 654 de 2011
13-06-2013 Se evidenció que dentro de las obligaciones especiales de los contratos 057, 096 y 044 de 2013, suscritos para la representación como apoderado y asesor judicial y extrajudicial… se incluyó "Hacer seguimiento diario de la información necesaria para alimentar la base de datos Siproj, garantizando que en ella se encuentren todos los procesos que se cursen en contra de la Entidad.
12-01-2016
Se incluyó dentro de las obligaciones especiales: en el numeral 15 “Hacer seguimiento diario de la información necesaria para alimentar la base de datos del SIPROJWEB (…)”; y de la misma manera en la obligación N° 16 que dice: “Inmediatamente se profiera una sentencia sea favorable o desfavorable el contratista deberá (…)”.  Por las razones expuestas, se solicita cerrar la acción. (Se adjunta archivo electrónico copia página 3, Ítem 2.4. OBLIGACIONES ESPECIALES, Sisco: 2015 -228, 37-f-04 V.5.)</t>
    </r>
  </si>
  <si>
    <t>12-01-2016
El último informe presentado fue en el mes de octubre de 2015, relacionado con el inventario de los procesos judiciales con el estado actual.  Se anexa soporte en archivo electrónico remitido por Álvaro Leonardo Garnica Guevara, Técnico Operativo de la Dirección Jurídica – Encargado del Archivo. Se solicita cierre.</t>
  </si>
  <si>
    <t>Se da cierre por José Orjuela en seguimiento en enero de 2016, comprobando el cumplimiento, y los soportes se dejan en carpeta de soportes del plan de mejoramiento</t>
  </si>
  <si>
    <t xml:space="preserve">12-01-2016
Se verificó que el archivo de gestión de la Dirección Jurídica, se encuentra custodiado con un mecanismo de seguridad bajo llave.  Por lo tanto, se solicita sea cerrada la acción. </t>
  </si>
  <si>
    <t>12/01/2016
El Director Jurídico de la CVP, realizó reunión con el fin de impartir las directrices para la distribución de los procesos a los abogados contratados, reparto que es realizado por el mismo Director. Se solicita el cierre de esta acción.</t>
  </si>
  <si>
    <t>12-01-2016
El Director Jurídico de la CVP, realizó reunión con el fin de impartir las directrices para la distribución de los procesos a los abogados contratados, reparto que es realizado por el mismo Director. Se solicita el cierre de esta acción.</t>
  </si>
  <si>
    <t>12-01-2016
Se contrató el personal necesario.</t>
  </si>
  <si>
    <t>12-01-2016
Se realizaron cinco (5) capacitaciones por parte de la Alcaldía Mayor, relacionadas con el SIPROJ, dirigida a los abogados que ejercen la representación judicial de la Entidad.  Se anexan los correos de solicitud e invitación a las capacitaciones, en archivo electrónico. Se solicita el cierre de esta acción.</t>
  </si>
  <si>
    <t xml:space="preserve">12-01-2016
Se realizó sensibilización sobre actualización del SIPROJ, haciendo énfasis en la Circular del 6 de octubre de 2014.  Se anexan listados y correos electrónicos. Se solicita el cierre de esta acción. </t>
  </si>
  <si>
    <t>Solicitar un concepto al DASCD, sobre la validez del documento presentado por el funcionario para efectos de certificar el cumplimiento de requisitos respecto a la educación formal (especialización) solicitada en convocatoria</t>
  </si>
  <si>
    <t>Nota:  A partir del 2015 se toma la decisión de separar nuevamente el plan de mejoramiento con entes externos, para facilitar el manejo de las estadísticas y el seguimiento.</t>
  </si>
  <si>
    <t>Decepcionar el recibo de pago de arriendo, firmado por el arrendador</t>
  </si>
  <si>
    <t>Formular Plan de mejoramiento, según las evidencias durante el proceso de: Toma de inventarios, recibo e ingreso de pedidos de bienes al almacén, entrega de inventarios devolutivos a contratistas o personal de planta, recibo de bienes a contratistas o personal de planta por cesación de vinculo laboral o contractual con la CVP y traslados.</t>
  </si>
  <si>
    <t>4 de septiembre de 2015:
Durante la toma de inventario que se realizó en el periodo comprendido entre el 18 noviembre y 19 de diciembre de 2014 desde mayo 20 de 2015 al 23 de junio de 2015, no se evidenciaron inconsistencias frente a los elementos devolutivos, por lo tanto no hace necesario formular plan de mejoramiento. No se cierra porque se va a evaluar en auditoria de septiembre de 2015.
CI evidencia que si existen mejoras que se pueden aplicar al proceso se cambia de fecha para medirlo con el inventario a 31 de diciembre de 2015.</t>
  </si>
  <si>
    <t xml:space="preserve">19 de diciembre de 2014:
La oficina Asesora de Planeación y el Equipo Operativo del Comité de Ética formuló el documento Plan de Acción.
El mismo se encuentra pendiente de aprobación por parte del Comité de Ética, por lo cual se estima n avance del 60% en la acción.
Por lo anterior se solicita respetuosamente a la Oficina de control Interno modificar la fecha de cumplimiento de la acción para el 31 de enero de 2015, a fin de que el comité se reúna y apruebe el plan de acción. </t>
  </si>
  <si>
    <t xml:space="preserve">3. Líder del proceso de Mejoramiento de Vivienda.
</t>
  </si>
  <si>
    <t>La acción se cumplió, pero se  verificará en la auditoría de esta vigencia  la efectividad de la  acción, para darle el respectivo cierre
Se da cierre por José Orjuela en seguimiento en enero de 2016</t>
  </si>
  <si>
    <r>
      <rPr>
        <b/>
        <sz val="8"/>
        <color theme="1"/>
        <rFont val="Arial"/>
        <family val="2"/>
      </rPr>
      <t>30/01/2015</t>
    </r>
    <r>
      <rPr>
        <sz val="8"/>
        <color theme="1"/>
        <rFont val="Arial"/>
        <family val="2"/>
      </rPr>
      <t xml:space="preserve">
Se socializa la obligación de la actualización del SIPROJ, a los apoderados de acuerdo con los estudios previos en sus obligaciones especiales.
Así mismo el 19/09/2014 con el código 208-DJ-Pr-08 se incorporo en calidad el procedimiento correspondiente al seguimiento de los procesos judiciales.
13-06-2013 No presenta ningún avance.
12-01-2016
Se anexa correo dirigido a los abogados que realizan la representación judicial de la Entidad, en el cual se hace referencia a los Lineamientos para la buena Gestión de la representación judicial de la CVP, contenidos en la Circular del 6 de octubre de 2014. (Se adjunta archivo electrónico copia Pdf correos y registro de reunión 11/02/2015). .  Por lo anterior, se solicita el cierre de esta acción.</t>
    </r>
  </si>
  <si>
    <t>La acción se cumplió, pero se  verificará en la auditoría de esta vigencia  la efectividad de la  acción, para darle el respectivo cierre.
Se da cierre por José Orjuela en seguimiento en enero de 2016</t>
  </si>
  <si>
    <t>21-08-2014: Se tiene planteado un cronograma de actividades del SI CAPITAL, se describen actividades tendientes a la integrabilidad del sistema, algunas actividades se terminan en diciembre de 2014, se debe realizar seguimiento para verificar el cumplimiento.</t>
  </si>
  <si>
    <r>
      <t xml:space="preserve">01/05/2015 
Solicitan redefinir fecha de finalización en la acción. Se está construyendo o un documento en el cual se generen las políticas para la administración de la información. </t>
    </r>
    <r>
      <rPr>
        <b/>
        <sz val="10"/>
        <color theme="1"/>
        <rFont val="Arial"/>
        <family val="2"/>
      </rPr>
      <t xml:space="preserve">PENDIENTE FECHA DE TERMINACIÓN
Noviembre 12 de 2015:
</t>
    </r>
    <r>
      <rPr>
        <sz val="10"/>
        <color theme="1"/>
        <rFont val="Arial"/>
        <family val="2"/>
      </rPr>
      <t>Se logró elaborar la Política Marco de la Seguridad de la Información. Se documentaron nueve procedimientos dentro de los cuales se establecieron políticas para se ejecución. En aprobación.</t>
    </r>
    <r>
      <rPr>
        <b/>
        <sz val="10"/>
        <color theme="1"/>
        <rFont val="Arial"/>
        <family val="2"/>
      </rPr>
      <t xml:space="preserve">
</t>
    </r>
  </si>
  <si>
    <t>Noviembre 12 de 2015:
Se documentaron nueve procedimientos dentro de los cuales se establecieron políticas para se ejecución. Con base en dichos procedimientos, se generó el documento en el cual se consolidan las políticas de seguridad de la entidad,  y el  cual se remitió a la OAP para revisión.  En proceso la implementación de los procedimientos.
Soportes de los procedimientos en  la carpeta N° 10 de la carpeta calidad.</t>
  </si>
  <si>
    <t>La acción se cumplió, pero se  verificará en la auditoría de esta vigencia  la efectividad de la  acción, para darle el respectivo cierre</t>
  </si>
  <si>
    <t>10-08-2015
Seguimiento del área realizado el julio de 2015: se realizó la formulación y reformulación  de los instrumentos de seguimientos a la gestión en los nuevos formatos proveídos por la Oficina Asesora de Planeación. Se utilizó la metodología de despliegue  de la estrategia planteada en los acuerdos de gestión de los gerentes públicos  de la Dirección de Gestión Corporativa y CID a los demás instrumentos de gestión en lo referente a la formulación de acciones asociadas a cada una de ellas (formato, único de seguimiento sectorial -FUSS y formato POA asociado, plan de acción ,  matriz de riesgos,  matriz de riesgos de corrupción). Con lo anterior se logró dar coherencia y uniformidad tanto a la mayoría de acciones planteadas como al registro de su seguimiento. No obstante, se aclara que existen acciones, específicamente ,las definidas en el rezago  que no están interrelacionadas entre instrumentos dado que estas se formularon durante la vigencia 2014 y con el método anterior. Igualmente , se debe considerar que existe una particularidad y propósito específico en la formulación de acciones para cada instrumento  que en conjunto con el método utilizado para la vigencia y el gap temporal en la formulación de cada instrumento, ocasionó que existan algunas actividades expresadas únicamente en un instrumento sin que necesariamente implique que no se esté utilizando el método definido para el despliegue.. (Ver los instrumentos  publicados en la carpeta calidad)
4 de septiembre de 2015: Se cambia responsable de acción atendiendo el cambio de líder de proceso sería la Dirección corporativa.</t>
  </si>
  <si>
    <t>8-enero-2015
Se tiene concepto firmado por Juan Manuel Russy Escobar donde se indica que es viable aplicar las equivalencias establecidas en el Decreto 785 de 2005 para el reconocimiento de la prima técnica, esta pendiente el concepto del Departamento Administrativo del Servicio Civil Distrital como lo indica la acción o la confirmación del líder del procedimiento se será pedido o no para evaluar el cierre de la acción.
4 de septiembre de 2015:
Respecto a la respuesta emitida por el  DASCD con fecha 18 de febrero de 2015 se elevó la solicitud de una nueva revisión del tema.</t>
  </si>
  <si>
    <t>4 de septiembre de 2015: 
En espera del tercer concepto solicitado al DASCD, se solicita reprogramar fecha de finalización 31-12-2015</t>
  </si>
  <si>
    <r>
      <t xml:space="preserve">6 de mayo de 2015: </t>
    </r>
    <r>
      <rPr>
        <sz val="10"/>
        <color rgb="FFFF0000"/>
        <rFont val="Arial"/>
        <family val="2"/>
      </rPr>
      <t xml:space="preserve">PENDIENTE VERIFICAR ESTE SEGUIMIENTO PARA CIERRE. 
</t>
    </r>
    <r>
      <rPr>
        <sz val="10"/>
        <rFont val="Arial"/>
        <family val="2"/>
      </rPr>
      <t xml:space="preserve">La Oficina Asesora de Comunicaciones remitió una comunicación interna a las Direcciones, Subdirecciones y Jefes de Oficina para solicitar la base de datos digital actualizada de la información de cada uno de los funcionarios.  Se realizó la actualización del Directorio de la página web y portal intranet con esta información. 
En febrero 16 de 2015 (2015IE673), se remitió otra comunicación interna con los mismos destinatarios solicitando esta información. Se realizó la actualización de acuerdo con la  información que fue entregada. Se tiene programado una nueva actualización utilizando la base de datos que se pertenece a la plataforma Google Apps.
</t>
    </r>
  </si>
  <si>
    <t>Los documentos que se presentan en el listado maestro de documentos no corresponden en versión o en algunos casos no están publicadas en la carpeta de calidad. Casos como:
- Listado Maestro de Documentos reporta como formato el V2, pero el que se encuentra publicado y donde se adelanta el registro corresponde a la V4
- El formato de oficio con código 208-SADM-Ft-59 publicado en este registro cuenta con versión 7, pero se encontró una comunicación de la Oficina Asesora de Planeación con el registro en versión V5.
- Las TRD, según el Listado Maestro de Documentos: “TABLA DE RETENCIÓN DOCUMENTAL” código 208-SADM-Ft-07 V5, de 26 Marzo 2014, y creada desde 8/09/2010, no presenta registros del proceso “Administración de la Información y las formalizadas el 30 de septiembre de 2013 están registradas en el formato.
- Plan de contratación con  código 208-PLA-Ft-11 V5. Se encuentra registros en la carpeta de publicación \\serv-cv2\I\Oficial\Plan de Contratación\Plan de Contratación 2014, pero existe un formato V6.  
- Las diversas caracterizaciones de los doce procesos presentados en la carpeta no se registran en una sola versión, ya que algunas presentan estructura distinta y la del proceso de mejoramiento de vivienda esta publicada con un código 208-MV-Cr-01 Mejoramiento Vivienda y dentro del archivo se reporta como Código: 208-PLA-Ft-19, Versión:2, Vigencia desde:24/09/2014, que no corresponde al documento registrado en el listado Maestro que se reporta como 208-MV-Cr-01, versión 3 con fecha actualización 25/10/2011. Este formato de caracterización se reporta dentro del listado maestro de como Versión: 2, fecha 17/09/2014 y no se encuentra publicado dentro de la carpeta de calidad. PROCESO DE GESTIÓN ESTRATÉGICA</t>
  </si>
  <si>
    <t xml:space="preserve">Los documentos que se presentan en el listado maestro de documentos no corresponden en versión o en algunos casos no están publicadas en la carpeta de calidad. Casos como:
- Listado Maestro de Documentos reporta como formato el V2, pero el que se encuentra publicado y donde se adelanta el registro corresponde a la V4
- El formato de oficio con código 208-SADM-Ft-59 publicado en este registro cuenta con versión 7, pero se encontró una comunicación de la Oficina Asesora de Planeación con el registro en versión V5.
- Las TRD, según el Listado Maestro de Documentos: “TABLA DE RETENCIÓN DOCUMENTAL” código 208-SADM-Ft-07 V5, de 26 Marzo 2014, y creada desde 8/09/2010, no presenta registros del proceso “Administración de la Información y las formalizadas el 30 de septiembre de 2013 están registradas en el formato.
- Plan de contratación con  código 208-PLA-Ft-11 V5. Se encuentra registros en la carpeta de publicación \\serv-cv2\I\Oficial\Plan de Contratación\Plan de Contratación 2014, pero existe un formato V6.  
- Las diversas caracterizaciones de los doce procesos presentados en la carpeta no se registran en una sola versión, ya que algunas presentan estructura distinta y la del proceso de mejoramiento de vivienda esta publicada con un código 208-MV-Cr-01 Mejoramiento Vivienda y dentro del archivo se reporta como Código: 208-PLA-Ft-19, Versión:2, Vigencia desde:24/09/2014, que no corresponde al documento registrado en el listado Maestro que se reporta como 208-MV-Cr-01, versión 3 con fecha actualización 25/10/2011. Este formato de caracterización se reporta dentro del listado maestro de como Versión: 2, fecha 17/09/2014 y no se encuentra publicado dentro de la carpeta de calidad. PROCESO DE GESTIÓN ESTRATÉGICA
</t>
  </si>
  <si>
    <t>Noviembre 12 de 2015:
Los manuales se encuentran almacenados  en el servidor del Sistema y publicados en la ayuda en línea Sistema@ SI C@pital. (ver http://serv-cv2:7778/documentacion/manuales.html)
Se envía a planeación comunicado el 30-12-2015 para que se suba la información a calidad</t>
  </si>
  <si>
    <t>Noviembre 12 de 2015:
Los manuales se encuentran almacenados  en el servidor del Sistema y publicados en la ayuda en línea Sistema@ SI C@pital. (ver http://serv-cv2:7778/documentacion/manuales.html)
Diciembre 31 de 2015:
Se enviará a la OAP una solicitud de publicación de los manuales de los módulos de Si Capital, para consulta de los usuarios y registro actualizado de la documentación.</t>
  </si>
  <si>
    <t>Actualizar y aprobar la política de administración de la información en el capítulo de manejo y control de manuales de usuario.</t>
  </si>
  <si>
    <t>Noviembre 12 de 2015:
Se logró elaborar la Política Marco de la Seguridad de la Información. Igualmente se documentó el procedimiento de desarrollo y mantenimiento de software dentro del cual se definió una política y una actividad referente a la documentación de cambios a través de la generación o ajuste a un manual de usuario. Con base en dichos procedimientos, se generó el documento en el cual se consolidan las políticas de seguridad de la entidad,  y el  cual se remitió a la OAP para revisión. Soportes de los procedimientos en  la carpeta N° 10 de la carpeta calidad.. Se solicita cierre de la acción
Control Interno: Se mantiene abierta hasta que se apruebe el documento.
Diciembre 31 de 2015:
La Política ya se estructuró y la está revisando planeación se considerara la necesidad de incluir un capitulo sobre el manejo y control de los manuales o se procederá a cambiar esta acción.</t>
  </si>
  <si>
    <t xml:space="preserve">Noviembre 12 de 2015:
6. Los manuales se encuentran almacenados  en el servidor del Sistema y publicados en la ayuda en línea Sistema@ SI C@pital. (ver http://serv-cv2:7778/documentacion/manuales.html). Se solicitó a la OAP la publicación en la carpeta de calidad, comunicado del 31de diciembre de 2015. </t>
  </si>
  <si>
    <r>
      <t>6 de mayo de 2015:</t>
    </r>
    <r>
      <rPr>
        <sz val="8"/>
        <color rgb="FFFF0000"/>
        <rFont val="Arial"/>
        <family val="2"/>
      </rPr>
      <t xml:space="preserve">
</t>
    </r>
    <r>
      <rPr>
        <sz val="8"/>
        <rFont val="Arial"/>
        <family val="2"/>
      </rPr>
      <t>Con base en el documento borrador de las políticas, se ha realizado un benchmarking de las políticas  más relevantes en otras organizaciones con el propósito de robustecer el documento. Para el Componente de Seguridad de Información se definió el  portafolios de servicios  de TI con el objetivo de enmarcar la aplicación de las políticas  (niveles de servicio) .Se validó por todo el quipo de trabajo del área de sistemas junto con la Profesional de la Oficina Asesora de Planeación de la matriz de Servicios y  Acuerdos de Niveles de Servicios.
Noviembre de 2015: Se logró elaborar la Política Marco de la Seguridad de la Información. Igualmente se documentaron nueve procedimientos dentro de los cuales se establecieron políticas para su ejecución. Con base en dichos procedimientos, se generó el documento en el cual se consolidan las políticas de seguridad de la entidad,  y el  cual se remitió a la OAP para revisión. Soportes de los procedimientos en  la carpeta N° 10 de la carpeta calidad.</t>
    </r>
  </si>
  <si>
    <t>Prevención de Daño antijurídico y representación judicial</t>
  </si>
  <si>
    <t>En lo relacionado con la actividad de sensibilización sobre la importancia de prevenir el daño antijurídico, mediante jornadas que la Dirección Jurídica debe realizar; no se encontró evidencia de su ejecución. (numeral 3.3.1. de las Políticas)
Frente a si existen estrategias de capacitación en la cuales se haga especial énfasis en: a) la identificación y manejo del riesgo de pérdida o destrucción de elementos y/o documentos, y b) la aplicación de los manuales de procesos y procedimientos relacionados con la garantía del eficiente y oportuno trámite documental y también de su efectiva salvaguarda. No se encontró evidencia de la existencia de las mencionadas estrategias de capacitación vinculadas a la Dirección Jurídica</t>
  </si>
  <si>
    <t>Una vez se cuenta con el archivo debidamente organizado, se solicitará el apoyo del área de gestión documental para su foliación y digitalización de los documentos correspondientes.</t>
  </si>
  <si>
    <t>Establecer como actividad continua la digitalización del archivo de jurídica que se va generando diariamente. Actividad que se formalizará mediante comunicación escrita dirigida al responsable.</t>
  </si>
  <si>
    <t>Solicitar capacitación a la Alcaldía para SIPROJ al personal contratado</t>
  </si>
  <si>
    <t>Definir un punto de control en cabeza de un funcionario de planta para el seguimiento del SIPROJ, quien verificara y rendirá informe al Director Jurídico mensualmente. Registros que deben quedar en acta.</t>
  </si>
  <si>
    <t>Ajustar procedimiento de supervisión incluyendo un instrumento que me permita medir la gestión realizada a los procesos. (Se une con la acción anterior para el seguimiento de la gestión).</t>
  </si>
  <si>
    <t>01/12/2015
Se esta consolidando la información correspondiente a los procesos de autoevaluación con el fin  de elaborar el plan de mejoramiento pertinente, el plan de mejoramiento 2014 se elaboro en el 2015.
CI: Se deja abierto para verificar en auditorias del 2016, porque en las del 2015 sigue el hallazgo, esto se refiere a planes de mejoramiento por autocontrol.</t>
  </si>
  <si>
    <r>
      <rPr>
        <b/>
        <sz val="10"/>
        <color theme="1"/>
        <rFont val="Arial"/>
        <family val="2"/>
      </rPr>
      <t>08-04-2015</t>
    </r>
    <r>
      <rPr>
        <sz val="10"/>
        <color theme="1"/>
        <rFont val="Arial"/>
        <family val="2"/>
      </rPr>
      <t xml:space="preserve">
No se ha llevado a cabo  la tabulación debido a que no ha finalizado obra,  se revisara para la próxima auditoria, de igual forma la fecha para el cumplimiento de esta acción se encuentra vigente.
28-12-2015
Se reprograma la fecha de finalización de las acciones de mejora debido a la no finalización del informe de resultados.
Se solicita cambio en la fecha de terminación de la acción para 30/03/2016</t>
    </r>
  </si>
  <si>
    <t>2. Líder del proceso de Mejoramiento de Vivienda.</t>
  </si>
  <si>
    <t>Líder del proceso de Mejoramiento de Vivienda.</t>
  </si>
  <si>
    <t>Incluir en las reuniones de Control Interno que se efectúan  quincenalmente el  seguimiento y   la revisión de cumplimiento de las actividades para atender contingencias y replantear tiempos,  controlando el cumplimiento de compromisos por profesional.</t>
  </si>
  <si>
    <t>Mónica Bustamante</t>
  </si>
  <si>
    <t>Enviar al final del mes correo electrónico a los líderes de proceso que serán auditados en el mes siguiente.</t>
  </si>
  <si>
    <t>27-08-2015:
Se realizó contrato de prestación de servicios a Wilber Abril quien maneja los temas del SIG, revisar en próxima auditoria que se tenga siempre a alguien responsable de este tema y verificar en el contrato las obligaciones</t>
  </si>
  <si>
    <t>01-12-2015
El proceso de Relocalización Transitoria quedo debidamente registrado en carpeta de calidad, el procedimiento de Cuenta de Ahorro programado se ajuste en la parte de fiducia, a pesar, de ser una acción que no es controlable por la Dirección de Reasentamientos por ser un negocio entre terceros, para el procedimiento de Reubicación definitiva se ajusto en la parte de victimas del conflicto e indígenas, estos dos últimos están pendientes de aprobación.</t>
  </si>
  <si>
    <t>Administración y control de recursos</t>
  </si>
  <si>
    <t>Revisar y actualizar los documentos de los procedimientos e instructivos referenciados en el informe de auditoría</t>
  </si>
  <si>
    <t xml:space="preserve">Procedimientos:  en los aspectos vinculados a algunas de estas herramientas de gestión  revisadas, se estableció de conformidad con lo descrito en el numeral 5 del presente informe: 
PROCEDIMIENTO DE INDUCCIÓN Y RE INDUCCIÓN 208-SADM-Pr-26; ítems 5 y 6 no se evidencian los registros vinculados a la inducción en el puesto de trabajo; los ítems 14 y 15, que instauran actividades de evaluación y análisis en calidad de insumos del “Informe Semestral de Resultados de inducción”, tampoco hay evidencia de su realización.
PROCEDIMIENTO DE CAPACITACIÓN DE SERVIDORES 208-SADM-Pr-27; verificada la ejecución de las actividades descritas en los ítems 17, 19 y 27 asociados a la evaluación de: la logística y metodología utilizada en la capacitación; y las competencias laborales desarrolladas mediante la capacitación; y por otra parte, lo relacionado con el archivo de dichos soportes en las hojas de vida; no se encontró evidencia de la ejecución de tales actividades. 
</t>
  </si>
  <si>
    <t xml:space="preserve">Se envío nuevamente oficio 2015IE4806 del 29 de octubre de 2015, reiterando el oficio de enero, solicitando la entrega de los formatos diligenciados. Ante esta solicitud los líderes de los procesos enviaron los formatos diligenciados.
Con relación a las evaluaciones de las capacitaciones, se solicitó mediante oficio a cada jefe inmediato hacer las evaluaciones correspondientes a las competencias desarrolladas por los funcionarios en las capacitaciones a las cuales asistieron. </t>
  </si>
  <si>
    <t>Revisar las historias laborales de los profesionales especializados que se vincularon a la entidad desde el mes de mayo de 2015 que cuenten con esta misma situación y realizar un alcance al formato denominado Cumplimiento requisitos mínimos experiencia del cargo 208-SADM-Ft-22</t>
  </si>
  <si>
    <t>Implementar las medidas o recomendaciones que al respecto establezca el concepto que emita el DASCD, sobre los documentos que permiten certificar la educación formal</t>
  </si>
  <si>
    <r>
      <t xml:space="preserve">14-01-2016: Se elaboraron y comunicaron siete (7) actos administrativos correspondientes a dos funcionarios en encargo y cinco en provisionalidad. Solicitan cierre.
</t>
    </r>
    <r>
      <rPr>
        <sz val="8"/>
        <color rgb="FFFF0000"/>
        <rFont val="Arial"/>
        <family val="2"/>
      </rPr>
      <t xml:space="preserve">SE DEBE VERIFICAR LOS SOPORTES PARA PODER DAR CIERRE </t>
    </r>
  </si>
  <si>
    <t>Ajustar el formato denominado Cumplimiento requisitos mínimos experiencia del cargo 208-SADM-Ft-22 en el cual se incluya un campo que permita identificar claramente el registro de las convalidaciones que se realicen.</t>
  </si>
  <si>
    <t>Programar una reunión del equipo de Reasentamientos para analizar los parámetros definidos al servicio conforme y las fuentes de información que me permiten su control.</t>
  </si>
  <si>
    <t>En el seguimiento y medición del servicio no existe relación entre los requisitos definidos del servicio en la hoja "Servicio conforme "con la medición que se realiza en la hoja "Servicio no conforme". Así mismo, no se cumple con lo establecido en la norma NTCGP 1000:2009 en lo relacionado con el tratamiento de los servicios no conformes.</t>
  </si>
  <si>
    <t>Revisar y/o actualizar, aprobar y oficializar la información inmersa en los formatos  de caracterización y seguimiento de servicio no conforme en el marco de la implementación del programa de mejoramiento de vivienda.</t>
  </si>
  <si>
    <t>En las tablas de retención documental de este proceso en la vigencia 2014: No se reportan los expedientes del proceso de mejoramiento de vivienda, aunque se adelanta el registro FUID.
No  se cuenta con la base de datos de información, ni se han definido las opciones para su manejo.
En su calidad de supervisor de los convenios 008 de 2011, 231 de 2013, 005 de 2014, 546 de 2015 y 552 de 2015, el director del área no cuenta con el registro de estos documentos.
No se reporta la totalidad de los formatos de este proceso.</t>
  </si>
  <si>
    <t>Realizar la actualización, aprobación y oficialización de la TRD de conformidad con los ajustes realizados a los procedimientos del proceso de Mejoramiento de Vivienda</t>
  </si>
  <si>
    <t>Auditoria proceso Evaluación de la Gestión.</t>
  </si>
  <si>
    <t>Retomar el diligenciamiento del formato M-ODT-FM-023 certificación de actualización de información distrital del empleo y la administración publica-SIDEAP desde el mes de enero de 2016</t>
  </si>
  <si>
    <t>María Gladys Ramírez Morato</t>
  </si>
  <si>
    <t>Mónica Andrea Bustamante Portela</t>
  </si>
  <si>
    <t>Director(a) de Gestión Corporativa y CID-Jefe oficina de comunicaciones y Jefe oficina asesora de planeación</t>
  </si>
  <si>
    <t>Conformar  un equipo de trabajo integrado por representantes del proceso de adminstracion de la información(  sistemas, gestión documental) de comuniciones y planeación  el cual  elaborará un plan de trabajo que comntemple actividasdes que permitan unificar la política del proceso de Administración de la información.</t>
  </si>
  <si>
    <t>Priorizar el diseño de un Programa de Gestión de Documentos Electrónicos.</t>
  </si>
  <si>
    <t>Priorizar el diseño del Programa de Gestión de Documentos Electrónicos plantedo en el PGD</t>
  </si>
  <si>
    <t xml:space="preserve">Director(a) de Gestión Corporativa y CID - </t>
  </si>
  <si>
    <t>Director(a) de Gestión Corporativa y CID-jefe oficina de comunicaciones y jefe oficina de planeación</t>
  </si>
  <si>
    <t>Director(a) de Gestión Corporativa y CID - Jefe oficina asesora de comunicaciones</t>
  </si>
  <si>
    <t>Realizar jornadas de capacitación sobre la ley de transparencia y acceso a la información dirigidas a los lideres de los procesos y responsables delegados para la publicación de los contenidos en la pagina web</t>
  </si>
  <si>
    <t>Actulizar y socializar el esquema de publicación de información del portal web.</t>
  </si>
  <si>
    <t xml:space="preserve">Nota:Falta incluir los hallazgos encotrados en los informes Evaluación por dependencias 2015, Informe ejecutivo DAF 2015, Pormenorizado nov 2015- feb 2016, que se haran cuando se de a conocer al equipo Directivo. </t>
  </si>
  <si>
    <t>Total acciones formuladas</t>
  </si>
  <si>
    <t xml:space="preserve">Auditoria Interna
</t>
  </si>
  <si>
    <t>3. Revisar y/o aprobar el presupuesto a cada una de las actividades del proyecto 7328 a cargo de la Dirección de Mejoramiento de vivienda.</t>
  </si>
  <si>
    <t>No se verificará en esta acción sino en las nuevas acciones formuladas de atención a la encuesta de satisfacción del Cliente</t>
  </si>
  <si>
    <t>No se evidencia análisis o medición de la eficiencia y efectividad del proceso. Estos métodos deben demostrar la capacidad del proceso para el manejo de los recursos disponibles (eficiencia) y el impacto de la gestión tanto en el logro de los resultados planificados como en el manejo de los recursos utilizados (efectividad). 
Cabe señalar que en la actualidad la entidad adelanta un proceso de ajuste institucional, en el cual se enmarcan los instrumentos de medición, y en los cuales la Dirección de Mejoramiento de Vivienda cumple sus propias acciones.</t>
  </si>
  <si>
    <t>El proceso no ha formulado planes de mejoramiento producto de la autoevaluación. Tal es el caso del resultado obtenido en el informe de evaluación satisfacción de servicio de atención al ciudadano, realizado entre los meses Mayo y Julio de 2014, donde se evidencia que el proceso de Mejoramiento de Vivienda presentó un 48.7% de insatisfacción.
Es preciso anotar que en la autoevaluación se puede generar planes de mejoramiento en el análisis del mapa de riesgo, el cumplimiento del plan de acción, quejas o reclamos de los usuarios, análisis de datos y/o cumplimiento de metas, entre otros.</t>
  </si>
  <si>
    <t xml:space="preserve">El porcentaje de avance en cumplimiento de metas no es acorde a la programación y a los tiempos en cuanto a metas y ejecución presupuestal en el Plan de Desarrollo Bogotá Humana.
Durante la vigencia 2012 y hasta septiembre de 2013 no fue asignado presupuesto para la ejecución del proyecto. </t>
  </si>
  <si>
    <t>Se oficializó el Plan de Mejoramiento como analisis del resultado de la encuesta de Satisfacción del cliente del 2014. Este plan de mejoramiento s enemarcó su hallazgo en: "Encuesta de percepción realizada a los ciudadanos" neto se como resultado de la</t>
  </si>
  <si>
    <r>
      <rPr>
        <b/>
        <sz val="10"/>
        <color theme="1"/>
        <rFont val="Arial"/>
        <family val="2"/>
      </rPr>
      <t>22 de marzo 2016:</t>
    </r>
    <r>
      <rPr>
        <sz val="10"/>
        <color theme="1"/>
        <rFont val="Arial"/>
        <family val="2"/>
      </rPr>
      <t xml:space="preserve"> Se formalizó como resultado de la encuesta el plan de mejoramiento el 16 de enero de 2016 con cinco acciones. Se cierra esta acción considerando el plan formalizado de seguimiento a las acciones de la encuesta.
10 de diciembre de 2015: Se solicita se amplíe el termino de cumplimiento de las acciones formuladas en el plan de mejoramiento.</t>
    </r>
  </si>
  <si>
    <t xml:space="preserve">5. Una vez se cuente con el documento oficial de los resultados de la encuesta de percepción de la vigencia 2014 realizada al proceso de Mejoramiento de Vivienda se enviará el plan de mejoramiento a la OCI y a la OAP para su validación y oficialización en la carpeta de calidad.
</t>
  </si>
  <si>
    <t xml:space="preserve">6. Realizar revisión semestral de los resultados originados en el análisis del cumplimiento del plan de acción.
</t>
  </si>
  <si>
    <t>Jurídco</t>
  </si>
  <si>
    <t>No requiere plan de mejoramiento, en razón a que este hallazgo se identifico el 26-09-2014.</t>
  </si>
  <si>
    <r>
      <rPr>
        <b/>
        <sz val="9"/>
        <color theme="1"/>
        <rFont val="Arial"/>
        <family val="2"/>
      </rPr>
      <t>22-Mar-2016:</t>
    </r>
    <r>
      <rPr>
        <sz val="9"/>
        <color theme="1"/>
        <rFont val="Arial"/>
        <family val="2"/>
      </rPr>
      <t xml:space="preserve"> Se solicitó modificar a CI fecha del 31Mar al 30May del 2016, depende de las tres acciones anteriores, enmarcadas en el mismo hallazgo, soportando la misma justificación.
10 de noviembre de 2015: No se han formulado indicadores de procesos para esta vigencia. No se ha dado un lineamiento de la directriz sobre los procesos definidos desde a formulación del plan estratégico, los indicadores del proceso de mejoramiento de vivienda. Se encuentra una hoja de indicadores sobre los mapas de riesgos, proyectos y planes de acción que no se aterrizan a la gestión del proceso como cumplimiento del objetivo del proceso. Se solicita ampliación de cumplimiento de acción al primer trimestre del 2016.</t>
    </r>
  </si>
  <si>
    <r>
      <rPr>
        <b/>
        <sz val="10"/>
        <color theme="1"/>
        <rFont val="Arial"/>
        <family val="2"/>
      </rPr>
      <t>22 Mar 2016:</t>
    </r>
    <r>
      <rPr>
        <sz val="10"/>
        <color theme="1"/>
        <rFont val="Arial"/>
        <family val="2"/>
      </rPr>
      <t xml:space="preserve">
Se revisa el PM oficializado para este tema, que ya fue validado en coherencia por Control Interno y se encuentra formulado.
10 de noviembre de 2015: Se recibió  el plan de mejoramiento en control interno, se encuentra en revisión de coherencia.</t>
    </r>
  </si>
  <si>
    <r>
      <rPr>
        <b/>
        <sz val="8"/>
        <rFont val="Arial"/>
        <family val="2"/>
      </rPr>
      <t>22-marz-2016</t>
    </r>
    <r>
      <rPr>
        <sz val="8"/>
        <rFont val="Arial"/>
        <family val="2"/>
      </rPr>
      <t xml:space="preserve">: Se esta a la espera de las directrices dadas por planeación. No hay avance se solicita ampliación de la fecha de finalización. Se amplia al 30may2016 </t>
    </r>
  </si>
  <si>
    <r>
      <rPr>
        <b/>
        <sz val="8"/>
        <rFont val="Arial"/>
        <family val="2"/>
      </rPr>
      <t>22-mar2016:</t>
    </r>
    <r>
      <rPr>
        <sz val="8"/>
        <rFont val="Arial"/>
        <family val="2"/>
      </rPr>
      <t xml:space="preserve"> No se ha realizado avance, considerando que a la fecha no hay directriz dada sobre este tema y considerando que no hay responsable de liderarlo dentro de la CVP. Se solicta ampliación de fecha al 30 may 2016</t>
    </r>
  </si>
  <si>
    <t>4. Solicitar la formalización del ajuste de las actividades del proyecto 7328 inmersas en el Plan Operativo Anual.</t>
  </si>
  <si>
    <t xml:space="preserve">Al consultar la pagína web, no se encuentra información el nombre del servidor (a) que se ejerce la función de Defensor de Ciudadano, ni tampoco es posible consulta la Resolución 4142 de 2015 </t>
  </si>
  <si>
    <t>Director (a) de Gestión Corporativa o contratista servicio al ciudadano</t>
  </si>
  <si>
    <t>Publicar en la página WEB la resolución 4142 de 2015  en la página WEB, y del nombre del servidor (a) que ejerce la funcion de Defensor del Ciudadano</t>
  </si>
  <si>
    <t xml:space="preserve">Director (a) de Gestión Corporativa o contratista servicio al ciudadano </t>
  </si>
  <si>
    <t xml:space="preserve">En el área de atención y servicio al ciudadano, la pantalla que brinda información se encuentra inactiva y por lo tanto no se encuentra articulada con el digiturno </t>
  </si>
  <si>
    <t xml:space="preserve">El líder del proceso debe asegurarse de atender y formular las acciones enmarcadas en el plan de mejoramiento a partir de los informes de PQRS en la vigencia 2015 y de la auditoría de control interno  </t>
  </si>
  <si>
    <t>Al verificar el procedimiento se encontró que se encuentra desactualizado, por referencias normativas que ya fueron derogadas (resoluciones 1115 de 2010 y 1054 de 2012</t>
  </si>
  <si>
    <t>Las pantallas se activaron el día 28 de Abril de 2016 y actualmente se encuentran activas.</t>
  </si>
  <si>
    <t>13-06-2013 se cerro 1, 2, 5. Abiertas 3, 4 y 6, soporte en carpeta Daño antijurídico 2012.
20-04-2016 En la presente auditoria se evidencio que existen documentos en el contrato 606 de 2015 que no corresponden. Se recomienda analizar nuevamente las causas y replantear acciones.</t>
  </si>
  <si>
    <r>
      <rPr>
        <b/>
        <sz val="10"/>
        <color theme="1"/>
        <rFont val="Arial"/>
        <family val="2"/>
      </rPr>
      <t>15 -01-2015</t>
    </r>
    <r>
      <rPr>
        <sz val="10"/>
        <color theme="1"/>
        <rFont val="Arial"/>
        <family val="2"/>
      </rPr>
      <t xml:space="preserve">
El manual se ha ido actualizando  de acuerdo a los cambios normativos sin embargo se modifico la acción de acuerdo a la nueva resolución de honorarios para la vigencia 2015 y se replanteo  la fecha de finalización de la acción 
03-09-2014
No se ha actualizado con respecto a la resolución.
</t>
    </r>
    <r>
      <rPr>
        <b/>
        <sz val="10"/>
        <color theme="1"/>
        <rFont val="Arial"/>
        <family val="2"/>
      </rPr>
      <t xml:space="preserve">20-04-2016
</t>
    </r>
    <r>
      <rPr>
        <sz val="10"/>
        <color theme="1"/>
        <rFont val="Arial"/>
        <family val="2"/>
      </rPr>
      <t>El manual se actualizó el 31 de diciembre de 2015 V2 y se publicó en la carpeta de calidad; igualmente la resolución de honorarios se actualizó (resolución 14 del 7 de enero de  2015). Esta acción se cierra teniendo en cuenta que los documentos objeto de hallazgo fueron actualizados. Sin embargo se genera una oportunidad de mejora para que sea revisada la numeración de los capítulos del manual de contratación y supervisión y para que sean corregidas las páginas 60 a 65 (numerales del capítulo VII en el VI. Igualmente se recomienda que la  Resolución 14 de 2015 sea parte de la documentación del proceso y se publique en calidad.</t>
    </r>
  </si>
  <si>
    <t>Esta acción se cierra teniendo en cuenta que los documentos objeto de hallazgo fueron actualizados. Sin embargo se genera una oportunidad de mejora para que sea revisada la numeración de los capítulos del manual de contratación y supervisión y para que sean corregidas las páginas 60 a 65 (numerales del capítulo VII en el VI. Igualmente se recomienda que la  Resolución 14 de 2015 sea parte de la documentación del proceso y se publique en calidad.</t>
  </si>
  <si>
    <r>
      <rPr>
        <b/>
        <sz val="10"/>
        <color theme="1"/>
        <rFont val="Arial"/>
        <family val="2"/>
      </rPr>
      <t>02/01/2015</t>
    </r>
    <r>
      <rPr>
        <sz val="10"/>
        <color theme="1"/>
        <rFont val="Arial"/>
        <family val="2"/>
      </rPr>
      <t xml:space="preserve">
La acción propuesta se cumplió por cuanto en el Manual de Contratación y Supervisión se desarrollo en el capitulo VII, todo lo concerniente a la Supervisión e Interventoría en los contratos, y se establecen los criterios mínimos para la delegación de los contratos.
</t>
    </r>
    <r>
      <rPr>
        <b/>
        <sz val="10"/>
        <color theme="1"/>
        <rFont val="Arial"/>
        <family val="2"/>
      </rPr>
      <t>20-04-2016</t>
    </r>
    <r>
      <rPr>
        <sz val="10"/>
        <color theme="1"/>
        <rFont val="Arial"/>
        <family val="2"/>
      </rPr>
      <t xml:space="preserve">
Se actualizó el Manual de Contratación y Supervisión el 31 de diciembre de 2015.</t>
    </r>
  </si>
  <si>
    <t>Se verificará su eficacia en la revisión de los contratos que hacen parte de la Auditoría  para el 2015 
Se verificó en auditoria dl 2016 que existen los criterios.</t>
  </si>
  <si>
    <r>
      <t xml:space="preserve">15/01/2015 
No se evidencia del traslado a las autoridades competentes , la acción sigue abierta.
</t>
    </r>
    <r>
      <rPr>
        <b/>
        <sz val="10"/>
        <color theme="1"/>
        <rFont val="Arial"/>
        <family val="2"/>
      </rPr>
      <t xml:space="preserve">20-04-2016
</t>
    </r>
    <r>
      <rPr>
        <sz val="10"/>
        <color theme="1"/>
        <rFont val="Arial"/>
        <family val="2"/>
      </rPr>
      <t>Se dio traslado a control disciplinario con el memorando 2014IE4588 del 9 de septiembre de 2014.</t>
    </r>
  </si>
  <si>
    <t>Se evidenció el traslado a Disciplinarios, se debe incluir en auditoria a Gestión Humana para verificar su eficcia</t>
  </si>
  <si>
    <r>
      <rPr>
        <b/>
        <sz val="10"/>
        <color theme="1"/>
        <rFont val="Arial"/>
        <family val="2"/>
      </rPr>
      <t>30/01/2015</t>
    </r>
    <r>
      <rPr>
        <sz val="10"/>
        <color theme="1"/>
        <rFont val="Arial"/>
        <family val="2"/>
      </rPr>
      <t xml:space="preserve"> No se encontró evidencia sobre esta acción 
</t>
    </r>
    <r>
      <rPr>
        <b/>
        <sz val="10"/>
        <color theme="1"/>
        <rFont val="Arial"/>
        <family val="2"/>
      </rPr>
      <t xml:space="preserve">20-04-2016
</t>
    </r>
    <r>
      <rPr>
        <sz val="10"/>
        <color theme="1"/>
        <rFont val="Arial"/>
        <family val="2"/>
      </rPr>
      <t>Estos puntos hacen referencia a la publicación en SECOP, hallazgo detectado por la Contraloría y se da cumplimiento con la emisión de la circular. Sin embargo con la publicación del Manual de Contratación y Supervisión se suple la circular, adicionalmente el trámite de contratación se hace en la dirección jurídica.</t>
    </r>
  </si>
  <si>
    <t>El trámite se realiza en la dirección Jurídica</t>
  </si>
  <si>
    <r>
      <rPr>
        <b/>
        <sz val="10"/>
        <color theme="1"/>
        <rFont val="Arial"/>
        <family val="2"/>
      </rPr>
      <t xml:space="preserve">30/01/2015 </t>
    </r>
    <r>
      <rPr>
        <sz val="10"/>
        <color theme="1"/>
        <rFont val="Arial"/>
        <family val="2"/>
      </rPr>
      <t xml:space="preserve">
No se logro evidenciar avances con respecto a esta acción 
</t>
    </r>
    <r>
      <rPr>
        <b/>
        <sz val="10"/>
        <color theme="1"/>
        <rFont val="Arial"/>
        <family val="2"/>
      </rPr>
      <t>20-04-2016</t>
    </r>
    <r>
      <rPr>
        <sz val="10"/>
        <color theme="1"/>
        <rFont val="Arial"/>
        <family val="2"/>
      </rPr>
      <t xml:space="preserve">
Esta acción es improcedente, ya que este documento si se requiere en el proceso, solo que su archivo no debe ser en el expediente de contratación, sino en el área financiera, que lo tiene incluido en su tabla de retención. Se da cierre a esta acción.</t>
    </r>
  </si>
  <si>
    <t>El documento si se requiere en el proceso solo que se archiva en finaciera.</t>
  </si>
  <si>
    <r>
      <rPr>
        <b/>
        <sz val="10"/>
        <color theme="1"/>
        <rFont val="Arial"/>
        <family val="2"/>
      </rPr>
      <t xml:space="preserve">30/01/2015 </t>
    </r>
    <r>
      <rPr>
        <sz val="10"/>
        <color theme="1"/>
        <rFont val="Arial"/>
        <family val="2"/>
      </rPr>
      <t xml:space="preserve">
No se logro evidenciar avances con respecto a esta acción 
03-09-2014
Se evidencia que en los procesos de contratación , donde participan los directores de las áreas, se ponen en conocimiento los procesos contractuales  Sin embargo la Dirección Jurídica no utiliza espacios formales para retroalimentar a sus servidores sobre experiencias exitosas y problemas  encontrados en otros procesos. Lo anterior se evidencia en la ultima auditoría al Decreto 371 de 2014.
</t>
    </r>
    <r>
      <rPr>
        <b/>
        <sz val="10"/>
        <color theme="1"/>
        <rFont val="Arial"/>
        <family val="2"/>
      </rPr>
      <t xml:space="preserve">20-04-2016
</t>
    </r>
    <r>
      <rPr>
        <sz val="10"/>
        <color theme="1"/>
        <rFont val="Arial"/>
        <family val="2"/>
      </rPr>
      <t>Este hallazgo se generó en otra audirotira recomienda analizar las causas y generar nuevas acciones o unificarlas.</t>
    </r>
  </si>
  <si>
    <t>Se cierra este hallazgo teniendo en cuenta que en auditoria del 31-05-2013 se generó este mismo hallazgo y otro plan de mejoramiento, el seguimiento se realiza desde ese hallazgo</t>
  </si>
  <si>
    <t>La entidad en su página web no pública actualizaciones del plan anual de adquisiciones como lo disponen los artículos 6 y 7 del Decreto Reglamentario 1510 de 2013.</t>
  </si>
  <si>
    <t>No se evidencia en la totalidad de los contratos el formato de delegación de la supervisión. (Ver numeral 5 de este informe).</t>
  </si>
  <si>
    <t>No se generan plan de mejoramiento oportuno frente a los hallazgos de auditorías internas</t>
  </si>
  <si>
    <t xml:space="preserve">el cierre se realiza atendiendo la recomendación de control interno, en auditoria de realizar nuevo análsiis de causas y replantear las acciones que ayuden a eliminar el hallazgo. </t>
  </si>
  <si>
    <t>En auditoria del abril de 2016 se evidencia que existen documentos en el contrato 606 de 2015 que nocorresponde y se recomienda analizar nuevamente las causas de este hallazgo y formular nuevas acciones. Este hallazgo es igual al del 2013 por esta razón lo unimos a este.</t>
  </si>
  <si>
    <t>Revisar los expedientes de las vigencias 2015 y 2015, acorde con las tablas de retención - Archivo de Gestión</t>
  </si>
  <si>
    <t>Depurar la documentación y organizar las vigencias 2014 y 2015 de acuerdo con la norma archivistica igente.</t>
  </si>
  <si>
    <t>Ajustar expedientes vigencia 2016 a lanorma archivistica vigente.</t>
  </si>
  <si>
    <t>Generar espacios en el Comité de Contratación para realizar el análisis de casos contractuales,  susceptibles de mejoramiento continuo.</t>
  </si>
  <si>
    <r>
      <rPr>
        <b/>
        <sz val="10"/>
        <color theme="1"/>
        <rFont val="Arial"/>
        <family val="2"/>
      </rPr>
      <t>15-01-2015</t>
    </r>
    <r>
      <rPr>
        <sz val="10"/>
        <color theme="1"/>
        <rFont val="Arial"/>
        <family val="2"/>
      </rPr>
      <t xml:space="preserve"> No se han cumplido con las acciones propuestas
03-09-2014
Se evidencia que en los procesos de contratación , donde participan los directores de las áreas, se ponen en conocimiento los procesos contractuales  Sin embargo la Dirección Jurídica no utiliza espacios formales para retroalimentar a sus servidores sobre experiencias exitosas y problemas  encontrados en otros procesos. Lo anterior se evidencia en la ultima auditoría al Decreto 371 de 2014.
18-05-2016 Se cambia fecha de finalización para el 31 de diciembre de 2016.
</t>
    </r>
    <r>
      <rPr>
        <b/>
        <sz val="10"/>
        <color theme="1"/>
        <rFont val="Arial"/>
        <family val="2"/>
      </rPr>
      <t/>
    </r>
  </si>
  <si>
    <r>
      <rPr>
        <b/>
        <sz val="10"/>
        <color theme="1"/>
        <rFont val="Arial"/>
        <family val="2"/>
      </rPr>
      <t>15-01-2015</t>
    </r>
    <r>
      <rPr>
        <sz val="10"/>
        <color theme="1"/>
        <rFont val="Arial"/>
        <family val="2"/>
      </rPr>
      <t xml:space="preserve">
No se tiene evidencia del traslado de esta acción  a los otros responsables de su cumplimiento.
18-05-2016 Se solicita cambio de fecha de finalización a 10 de junio de 2016.</t>
    </r>
  </si>
  <si>
    <t>15-01-2015
La Dirección Jurídica no ha diseño indicadores que permitan verificar el cumplimiento de la gestión
03-09-2014
Esta actividad sigue abierta , ya que la Dirección Jurídica no ha diseñado indicadores de gestión , y estando sujetos al Ajuste Institucional.
18-05-2016 Se solicita cambio de fecha finalización para 31 de diciembre de 2016</t>
  </si>
  <si>
    <r>
      <rPr>
        <b/>
        <sz val="10"/>
        <color theme="1"/>
        <rFont val="Arial"/>
        <family val="2"/>
      </rPr>
      <t xml:space="preserve">30/01/2015 </t>
    </r>
    <r>
      <rPr>
        <sz val="10"/>
        <color theme="1"/>
        <rFont val="Arial"/>
        <family val="2"/>
      </rPr>
      <t xml:space="preserve">
No se logro evidenciar avances con respecto a esta acción
</t>
    </r>
    <r>
      <rPr>
        <b/>
        <sz val="10"/>
        <color theme="1"/>
        <rFont val="Arial"/>
        <family val="2"/>
      </rPr>
      <t>20-04-2016</t>
    </r>
    <r>
      <rPr>
        <sz val="10"/>
        <color theme="1"/>
        <rFont val="Arial"/>
        <family val="2"/>
      </rPr>
      <t xml:space="preserve">
No existe evidencia del cumplimiento de esta acción. Sin embargo, en la auditoría se estableció que la debilidad continúa y por tal razón se debe efectuar nuevo análisis de las causas del hallazgo y formular nuevas acciones.
18-05-2016 Se replantean las acciones y se cambia fecha de finalización.</t>
    </r>
  </si>
  <si>
    <t>Se elaborará un documento interno con el fin de indicar a quienes adelantan el proceso contractual en la Dirección Jurídica cuales son las responsabilidades, lineamientos de organización y verificación de la documentación y lista de chequeo.</t>
  </si>
  <si>
    <t>Se elaborará un circular con el fin de indicar a todas las áreas cuales son las responsabilidades, lineamientos de organización y verificación de la documentación y lista de chequeo.</t>
  </si>
  <si>
    <t>Revisar en SECOP la publicación de los contratos 282 y 283 de 2015, confirmando la publicación legal requerida.</t>
  </si>
  <si>
    <t>Subdirección Administrativa</t>
  </si>
  <si>
    <t>Incluir el formato 208-SADM-Ft-63 en la carpeta de calidad dentro del proceso de adquisición  de bienes y servicios</t>
  </si>
  <si>
    <t>Revisar en SECOP la publicación de los contratos 278, 282, 283 Y 284 de 2015, confirmando la publicación legal requerida.</t>
  </si>
  <si>
    <t>Profesional de servicio al ciudadano realizará seguimiento trimestral para verificar que la  información relacionada con Servicio al ciudadano, se encuentre actualizada y publicada</t>
  </si>
  <si>
    <t>Diariamente se verificará que las pantallas se encuentren activas</t>
  </si>
  <si>
    <t>Designar un responsable para realizar seguimiento y formulación de los planes de mejoramiento del proceso</t>
  </si>
  <si>
    <t>Aplicar el manual de supervisión frente al cumplimiento de obligaciones</t>
  </si>
  <si>
    <t>actualizar el normograma del proceso incluyendo la normatividad vigente</t>
  </si>
  <si>
    <t xml:space="preserve">Mediante memorando se designará un profesional del proceso, para que realice el respectivo seguimiento y actualización </t>
  </si>
  <si>
    <t>Realizar una revisión trimestral para verificar que el normograma se encuentre actualizado de acuerdo a la normatividad vigente y a las directrices de la entidad</t>
  </si>
  <si>
    <t>Fecha de corte:</t>
  </si>
  <si>
    <t>Estado plan de mejoramiento por procesos - Vigencia 2016</t>
  </si>
  <si>
    <t>Estado de las acciones formuladas</t>
  </si>
  <si>
    <t>Formulación plan de mejoramiento</t>
  </si>
  <si>
    <t>Total
hallazgo</t>
  </si>
  <si>
    <t>Realizar reunión con la persona que elabora los informes mensuales de PQR´S, para solicitar que se incluya datos referentes a los temas más recurrentes o importantes por cada proceso, enviar copia a control interno.</t>
  </si>
  <si>
    <t xml:space="preserve">Ampliar en los informe semestral de la vigencia de 2016, presentados por control interno, la verificación y análsis de la respuestas dadas por la entidad a los PQR´S. </t>
  </si>
  <si>
    <t>Con el reporte mensual de Servicio al Ciudadano de PQR´S solicitar a los líderes de los procesos correspondientes la generación del plan de mejoramiento.</t>
  </si>
  <si>
    <t xml:space="preserve">20 de agosto de 2014:
Se presenta a la OAP el 1 de agosto de 2014 por correo institucional la propuesta del procedimiento Auditorias internas y visitas ajustando el tiempo de entrega del plan de mejoramiento a 10 días. No se cierre porque no se ha dado la aprobación.
2 de  Diciembre de 2014:
Se ajusta la fecha considerando la ampliación de entrega del ajuste de procesos y procedimientos y la definición de nueva estructura de presentación de los procedimiento. Se cambia del 13 de junio de 2014 al 15 de marzo de 2015.
25 de enero de 2016: 
Corrección: Se incluye este cambio en el procedimiento 208 CI-Pr-01 Versión 5.
</t>
  </si>
  <si>
    <t>Se realiza la acción, se cierra esta acción y se generan otras que nos ayuden a eliminar el hallazgo.</t>
  </si>
  <si>
    <t>20 de agosto de 2014:
Se presenta a la OAP el 1 de agosto de 2014 por correo institucional la propuesta del procedimiento Auditorias internas y visitas, ajustando la revisión del informe por parte del equipo de CI, la forma de la entrega del informe y el tiempo para entregar el plan de mejoramiento. Y se inicia la revisión y ajuste del procedimiento de acciones correctivas y preventivas.
2 de  Diciembre de 2014:
Se ajusta la fecha considerando la ampliación de entrega del ajuste de procesos y procedimientos y la definición de nueva estructura de presentación de los procedimiento. Se cambia del 13 de junio de 2014 al 15 de marzo de 2015.
7 de abril de 2015:
Quedo incluido en el procedimiento 208 CI-Pr-01 en el 30 de diciembre de 2015.
Las mesas de trabajo para discutir el informe se incluyo en el mismo procedimeinto en la actividad 34.
A parte de culminar estas dos actividades se hace necesario formulas nuevas acciones ya que al cierre de 2015 se  presenta el 20% de hallazgos sin atender, se incrementa un 11% del resultado registrado en el 2014.Se deja acción en el plan de acción para dar a conocer el procedimiento de auditoria y segenera un nuevo plan en 2016 para incluir en los procedimiento de auditorias  y acciones preventivas y correctivas el reporte a Control Interno Disciplina.</t>
  </si>
  <si>
    <t xml:space="preserve">31 de julio de 2015:
A la fecha se reprogramó la auditoria de Si Capital que fue iniciada el 16 de julio, se reprograma por licencia de paternidad y vacaciones del profesional asignado a dicha labor.
25 de enero de 2016:
En los registros de reunión de autocontrol del 2015 en el numeral 3 se registra las razones por las que no se cumple con los tiempos y se deja constancia de la reprogramación de las actividades
Teniendo en cuenta estos registros , entre otros aspectos se realizará el programa del 2016. </t>
  </si>
  <si>
    <t>Se da cierre ya que la acción fue base para proyectar el programa de auditorias del 2016, se espera al seguimiento y análisis del programa de auditorias ver si es necesario realizar más acciones</t>
  </si>
  <si>
    <t>31-07-2015
Se han enviado los correos a partir del mes de abril recordando las auditorias o los informes del mes.
25 de enero de 2016, se enviaron los correos hasta diciembre de 2015.</t>
  </si>
  <si>
    <t>31-07-2015
Se tiene ya definido en el procedimiento pero se encuentra en proceso de aprobación y publicación.
7 de abril de 2016:
Se incluyo en el procedimiento 208-CI-Pr-01, en el numeral 7 Condiciones Generales - condiciones comunes</t>
  </si>
  <si>
    <t>31-07-2015
Al formato se le han realizado ajuste pero se encuentra en revisión por el equipo auditor.
7 de abril de 2016:
Quedo pueblicado en calidad el 26 de enero de 2016 con versión 2 Formato 208-CI-Ft-08</t>
  </si>
  <si>
    <t>Se cumple la acción, hay que evaluar al cierre de vigencia para determinar si es efectiva</t>
  </si>
  <si>
    <t>31-07-2015
Se tiene ya definido en el procedimiento pero se encuentra en proceso de aprobación y publicación.
7 de abril de 2016:
Quedo pueblicado en el procedimiento 208-Ci-Pr-01 V.5 del 30-12-2015</t>
  </si>
  <si>
    <t>En las auditorias de cada proceso y en especial de ateción al ciudadano verificar el estado de los planes de mejoramiento generados por el análsis de los PQR´S e incluir en el informe de auditoria el resultado observado.</t>
  </si>
  <si>
    <t>Profesional control interno - Maria Gladys Ramirez</t>
  </si>
  <si>
    <t>Contratista de control interno</t>
  </si>
  <si>
    <t>% Cumplimiento gestión</t>
  </si>
  <si>
    <t>Control Interno</t>
  </si>
  <si>
    <t>Boton de Control Cuentas</t>
  </si>
  <si>
    <r>
      <rPr>
        <b/>
        <sz val="10"/>
        <color theme="1"/>
        <rFont val="Arial"/>
        <family val="2"/>
      </rPr>
      <t>22 marzo 2016</t>
    </r>
    <r>
      <rPr>
        <sz val="10"/>
        <color theme="1"/>
        <rFont val="Arial"/>
        <family val="2"/>
      </rPr>
      <t xml:space="preserve">: Este proyecto de inversión no ha definido un presupuesto para cada una de las actividades, considerando que este presupuesto se invierte en la contratación de los profesionales y técnicos que desarrollaron las diversas actividades.  
</t>
    </r>
    <r>
      <rPr>
        <b/>
        <sz val="9"/>
        <color theme="1"/>
        <rFont val="Arial"/>
        <family val="2"/>
      </rPr>
      <t>10 de noviembre de 2015</t>
    </r>
    <r>
      <rPr>
        <sz val="9"/>
        <color theme="1"/>
        <rFont val="Arial"/>
        <family val="2"/>
      </rPr>
      <t xml:space="preserve">: Para esta vigencia se ha adelantado el 83,85%, con fecha de corte 30 de septiembre 2015, sin embargo hay un a reserva del 2014 correspondiente al 75,86% y se adelanta un cumplimiento. Se va a verificar los gastos con Cesar Sabogal  y Luis Muñoz de la OAP.  
</t>
    </r>
    <r>
      <rPr>
        <b/>
        <sz val="9"/>
        <color theme="1"/>
        <rFont val="Arial"/>
        <family val="2"/>
      </rPr>
      <t>6 de mayo de 2015</t>
    </r>
    <r>
      <rPr>
        <sz val="9"/>
        <color theme="1"/>
        <rFont val="Arial"/>
        <family val="2"/>
      </rPr>
      <t>: Mediante otro plan de mejoramiento se cambia fecha de cumplimiento y las acciones a seguir.</t>
    </r>
  </si>
  <si>
    <t>Se recibio informe según CORDIS 2016IE4535, el 27 de junio de 2016</t>
  </si>
  <si>
    <r>
      <rPr>
        <b/>
        <sz val="10"/>
        <color theme="1"/>
        <rFont val="Arial"/>
        <family val="2"/>
      </rPr>
      <t xml:space="preserve">22 marzo 2016: </t>
    </r>
    <r>
      <rPr>
        <sz val="10"/>
        <color theme="1"/>
        <rFont val="Arial"/>
        <family val="2"/>
      </rPr>
      <t>Este proyecto de inversión no ha definido un presupuesto para cada una de las actividades, considerando que este presupuesto se invierte en la contratación de los profesionales y técnicos que desarrollaron las diversas actividades.</t>
    </r>
    <r>
      <rPr>
        <sz val="9"/>
        <color theme="1"/>
        <rFont val="Arial"/>
        <family val="2"/>
      </rPr>
      <t xml:space="preserve">
</t>
    </r>
    <r>
      <rPr>
        <b/>
        <sz val="9"/>
        <color theme="1"/>
        <rFont val="Arial"/>
        <family val="2"/>
      </rPr>
      <t>10 de noviembre de 2015</t>
    </r>
    <r>
      <rPr>
        <sz val="9"/>
        <color theme="1"/>
        <rFont val="Arial"/>
        <family val="2"/>
      </rPr>
      <t>: Se va a presentar un desagregado del presupuesto y su cumplimiento por las actividades formuladas para los POA vigente y de las actividades del POA de rezagos vigencia 2014 y 2013 sobre el presupuesto no desarrollado. Con un informe del líder del proceso dirigido a la OAP.6 de mayo de 2015: Mediante otro plan de mejoramiento se cambia fecha de cumplimiento y las acciones a seguir.</t>
    </r>
  </si>
  <si>
    <r>
      <rPr>
        <b/>
        <sz val="10"/>
        <color theme="1"/>
        <rFont val="Arial"/>
        <family val="2"/>
      </rPr>
      <t xml:space="preserve">22 marzo 2016: </t>
    </r>
    <r>
      <rPr>
        <sz val="10"/>
        <color theme="1"/>
        <rFont val="Arial"/>
        <family val="2"/>
      </rPr>
      <t>Se definió con el lider del proceso presentar un informe que permita evidenciar los soportes de cumplimiento del presupuesto
10 de noviembre de 2015: Se va a presentar un desagregado del presupuesto y su cumplimiento por las actividades formuladas para los POA vigente y de las actividades del POA de rezagos vigencia 2014y 2013 sobre el presupuesto no desarrollado. Con un informe del líder del proceso dirigido a la OAP.6 de mayo de 2015: Mediante otro plan de mejoramiento se cambia fecha de cumplimiento y las acciones a seguir.</t>
    </r>
  </si>
  <si>
    <r>
      <rPr>
        <b/>
        <sz val="10"/>
        <color theme="1"/>
        <rFont val="Arial"/>
        <family val="2"/>
      </rPr>
      <t xml:space="preserve">22 marzo 2016: </t>
    </r>
    <r>
      <rPr>
        <sz val="10"/>
        <color theme="1"/>
        <rFont val="Arial"/>
        <family val="2"/>
      </rPr>
      <t>Durante esta revisión se va presentar un informe de las actividades ajustadas dentro del POA "Programación y Avance de actividades de Proyectos de Inversión"  de este proyecto, y enmarcado en el cumplimiento del presupuesto asignado para este proyecto.</t>
    </r>
    <r>
      <rPr>
        <b/>
        <sz val="10"/>
        <color theme="1"/>
        <rFont val="Arial"/>
        <family val="2"/>
      </rPr>
      <t xml:space="preserve">
</t>
    </r>
    <r>
      <rPr>
        <b/>
        <sz val="9"/>
        <color theme="1"/>
        <rFont val="Arial"/>
        <family val="2"/>
      </rPr>
      <t>10 de noviembre de 2015</t>
    </r>
    <r>
      <rPr>
        <sz val="9"/>
        <color theme="1"/>
        <rFont val="Arial"/>
        <family val="2"/>
      </rPr>
      <t xml:space="preserve">: Se requiere un informe de las actividades que se ajustaron para la POA vigente 2015. Responsable Janeth Abella. Para el 13 de noviembre de 2015. (firmado por el jefe)
</t>
    </r>
    <r>
      <rPr>
        <b/>
        <sz val="9"/>
        <color theme="1"/>
        <rFont val="Arial"/>
        <family val="2"/>
      </rPr>
      <t xml:space="preserve">6 de mayo de 2015: </t>
    </r>
    <r>
      <rPr>
        <sz val="9"/>
        <color theme="1"/>
        <rFont val="Arial"/>
        <family val="2"/>
      </rPr>
      <t xml:space="preserve">Mediante otro plan de mejoramiento se cambia fecha de cumplimiento y las acciones a seguir. </t>
    </r>
    <r>
      <rPr>
        <sz val="10"/>
        <color theme="1"/>
        <rFont val="Arial"/>
        <family val="2"/>
      </rPr>
      <t xml:space="preserve">
</t>
    </r>
    <r>
      <rPr>
        <b/>
        <sz val="8"/>
        <color theme="1"/>
        <rFont val="Arial"/>
        <family val="2"/>
      </rPr>
      <t xml:space="preserve">30 de Diciembre de 2014: </t>
    </r>
    <r>
      <rPr>
        <sz val="8"/>
        <color theme="1"/>
        <rFont val="Arial"/>
        <family val="2"/>
      </rPr>
      <t xml:space="preserve">Al ejecutar el presupuesto asignado se considera que están asociadas las metas intermedias atendiendo que el personal contratado tiene dentro de sus funciones actividades tendientes al cumplimiento de estas. No se cierra el hallazgo buscando que la Dirección pueda generar un análisis que deje más claro este tema. </t>
    </r>
  </si>
  <si>
    <r>
      <rPr>
        <b/>
        <sz val="10"/>
        <color theme="1"/>
        <rFont val="Arial"/>
        <family val="2"/>
      </rPr>
      <t xml:space="preserve">22 de marzo 2016: </t>
    </r>
    <r>
      <rPr>
        <sz val="10"/>
        <color theme="1"/>
        <rFont val="Arial"/>
        <family val="2"/>
      </rPr>
      <t xml:space="preserve">Se solicito modificar a CI fecha del 31Mar al  30May del 2016, justificando en que no se ha formulado aún indicadores de eficiencia y efecitividad, considerando el ajuste del grupo y del proyecto PDD para este nuevo periodo.
</t>
    </r>
    <r>
      <rPr>
        <b/>
        <sz val="10"/>
        <color theme="1"/>
        <rFont val="Arial"/>
        <family val="2"/>
      </rPr>
      <t xml:space="preserve">10 de noviembre de 2015: </t>
    </r>
    <r>
      <rPr>
        <sz val="10"/>
        <color theme="1"/>
        <rFont val="Arial"/>
        <family val="2"/>
      </rPr>
      <t>No se han formulado indicadores de procesos para esta vigencia. No se ha dado un lineamiento de la directriz sobre losprocesos definidos desde a formulación del plan estratégico, los indicadores del proceso de mejoramiento de vivienda. Se encuentra una hoja de indicadores sobre los mapas de riesgos, proyectos y planes de acción que no se aterrizan la gestión del proceso como cumplimiento del objetivo del proceso. Se solicita ampliación de cumplimiento de acción al primer trimestre del 2016.</t>
    </r>
  </si>
  <si>
    <r>
      <rPr>
        <b/>
        <sz val="10"/>
        <color theme="1"/>
        <rFont val="Arial"/>
        <family val="2"/>
      </rPr>
      <t xml:space="preserve">22 de marzo 2016: </t>
    </r>
    <r>
      <rPr>
        <sz val="10"/>
        <color theme="1"/>
        <rFont val="Arial"/>
        <family val="2"/>
      </rPr>
      <t>Se solicito modificar a CI fecha del 31Mar al 30May del 2016, depende de la accion anteriores, enmarcadas en el mismo hallazgo, soportando la misma justificación
10 de noviembre de 2015: No se han formulado indicadores de procesos para esta vigencia. No se ha dado un lineamiento de la directriz sobre los procesos definidos desde a formulación del plan estratégico, los indicadores del proceso de mejoramiento de vivienda. Se encuentra una hoja de indicadores sobre los mapas de riesgos, proyectos y planes de acción que no se aterrizan a la gestión del proceso como cumplimiento del objetivo del proceso. Se solicita ampliación de cumplimiento de acción al primer trimestre del 2016.</t>
    </r>
  </si>
  <si>
    <r>
      <rPr>
        <b/>
        <sz val="10"/>
        <color theme="1"/>
        <rFont val="Arial"/>
        <family val="2"/>
      </rPr>
      <t xml:space="preserve">22-Mar-2016: </t>
    </r>
    <r>
      <rPr>
        <sz val="10"/>
        <color theme="1"/>
        <rFont val="Arial"/>
        <family val="2"/>
      </rPr>
      <t>Se solicitó modificar a CI fecha del 31Mar al 30May del 2016, depende de las dos acciones anteriores, enmarcadas en el mismo hallazgo, soportando la misma justificación.
10 de noviembre de 2015: No se han formulado indicadores de procesos para esta vigencia. No se ha dado un lineamiento de la directriz sobre los procesos definidos desde a formulación del plan estratégico, los indicadores del proceso de mejoramiento de vivienda. Se encuentra una hoja de indicadores sobre los mapas de riesgos, proyectos y planes de acción que no se aterrizan a la gestión del proceso como cumplimiento del objetivo del proceso. Se solicita ampliación de cumplimiento de acción al primer trimestre del 2016.</t>
    </r>
  </si>
  <si>
    <t xml:space="preserve">1. No han sido publicadas en la carpeta de calidad, con la frecuencia que solicitó la Oficina Asesora de Planeación,  herramientas como:
• Matriz de Riesgos,
• Plan de acción
• Reporte de producto y/o servicio no conforme
• Reporte y control del diseño y desarrollo
• Actualización del normograma
</t>
  </si>
  <si>
    <t>2. Efectuar el análisis de los riesgos después de cumplidas las acciones, con el fin de definir si estas pasan a ser controles del procedimiento o si se requiere plantear nuevas acciones que permitan minimizar los riesgos.</t>
  </si>
  <si>
    <t xml:space="preserve">3. El registro de formato “Programación y avance actividades proyectos de inversión, con código: 208-PLA-Ft-12, versión 2, para los proyecto de inversión 7328 y 962, no fue presentado dentro del formato definido en la carpeta de calidad. Así mismo los porcentajes presentados no corresponden a una programación total en la vigencia, al considerar las obras de las diferentes APIS en las vigencias 2015, 2014 y 2013. </t>
  </si>
  <si>
    <r>
      <rPr>
        <b/>
        <sz val="10"/>
        <color theme="1"/>
        <rFont val="Arial"/>
        <family val="2"/>
      </rPr>
      <t xml:space="preserve">05-05-2016: </t>
    </r>
    <r>
      <rPr>
        <sz val="10"/>
        <color theme="1"/>
        <rFont val="Arial"/>
        <family val="2"/>
      </rPr>
      <t>Se elaboró un informe de análisis y se  tabularon las encuestas aplicadas con las comunidades beneficiarias de las obras de los contratos 506, 507,584 y 587 de 2013. Se evidenció  la debida  formalización del informe de análisis de los resultados</t>
    </r>
    <r>
      <rPr>
        <b/>
        <sz val="10"/>
        <color theme="1"/>
        <rFont val="Arial"/>
        <family val="2"/>
      </rPr>
      <t xml:space="preserve">
08-04-2015</t>
    </r>
    <r>
      <rPr>
        <sz val="10"/>
        <color theme="1"/>
        <rFont val="Arial"/>
        <family val="2"/>
      </rPr>
      <t xml:space="preserve">
No se ha llevado a cabo  la tabulación debido a que no ha finalizado obra,  se revisara para la próxima auditoria, de igual forma la fecha para el cumplimiento de esta acción se encuentra vigente.
28-12-2015
Se realizó el análisis y se generó el informe correspondiente a las encuestas aplicadas para los contratos de obra 506 de 2013, 507 de 2013, 584 de 2013 y 587 de 2013, se encuentra en revisión y observaciones generadas para aprobación por parte de la Dirección. Se solicita cambio en la fecha de terminación de la acción para 29/01/2016
Ubicación: \\serv-cv11\mejoramiento de barrios\ENCUESTAS DE SATISFACCIÓN</t>
    </r>
  </si>
  <si>
    <t>Se cumplio con la actividad</t>
  </si>
  <si>
    <r>
      <rPr>
        <b/>
        <sz val="10"/>
        <color theme="1"/>
        <rFont val="Arial"/>
        <family val="2"/>
      </rPr>
      <t xml:space="preserve">05-05-2016  </t>
    </r>
    <r>
      <rPr>
        <sz val="10"/>
        <color theme="1"/>
        <rFont val="Arial"/>
        <family val="2"/>
      </rPr>
      <t>Se revisan los indicadores con fecha de corte 30 de abril de 2016, los cuales arrojan los siguientes resultados:
Espacios de participación a la comunidad se ejecutó el  57% , 
Pactos de sostenibilidad generados  ejecutado el 27%.  
Procesos ejecutados en APIS  el  87%. 
Porcentaje de ejecución en Chiguaza  el 93%. Población participante supero la meta con 196. 955 personas, frente a lo programado en el proyecto que fue de  8.887 personas.
Ejecución presupuestal  11%
Falta diligenciamiento de formatos desde julio 30 de 2015 hasta abril 30 de 2016.
30-09-2015</t>
    </r>
    <r>
      <rPr>
        <b/>
        <sz val="10"/>
        <color theme="1"/>
        <rFont val="Arial"/>
        <family val="2"/>
      </rPr>
      <t xml:space="preserve">
</t>
    </r>
    <r>
      <rPr>
        <sz val="10"/>
        <color theme="1"/>
        <rFont val="Arial"/>
        <family val="2"/>
      </rPr>
      <t>Los avances de esta acción se verificarán en el próximo seguimiento puesto que los  nuevos indicadores, recientemente fueron formulados; de igual forma el cumplimento para esta acción todavía se encuentra vigente.
28-12-2015
Se realizó informe de gestión  2012 – 2015 (14 de diciembre) correspondiente a la Dirección De Mejoramiento de Barrios en el cual se incluyó el seguimiento a los indicadores del proyecto de inversión 208 así como los resultados obtenidos y las recomendaciones generadas.
El calculo de los indicadores del proyecto de inversión se encuentra en la carpeta de calidad
Ruta: \\serv-cv11\calidad\14. CONSOLIDADO INDICADORES DE PROCESOS\2015\6. PROCESO MEJORAMIENTO DE BARRIOS\PROYECTO DE INVERSIÓN\FECHA DE CORTE 30 DE JUNIO</t>
    </r>
  </si>
  <si>
    <t>Se evidencia la elaboración del Plan de Acción de Gestión con seguimiento a 30 de abril 2016, sin embargo,  no se encontró formalizado y publicado en la carpeta de calidad</t>
  </si>
  <si>
    <t>Al verificar el PI 208 FUSS, POA y PAG no se evidenció la inclusión de la meta intermedia, referida a la ejecución de los contratos 605, 606 y 611 de 2015 cuyos objetos son: realizar mantenimientos, reparaciones e interventorías. ni la variación de la meta 3 con relación a los dos procesos que no fueron viables.</t>
  </si>
  <si>
    <r>
      <rPr>
        <b/>
        <sz val="8"/>
        <color theme="1"/>
        <rFont val="Arial"/>
        <family val="2"/>
      </rPr>
      <t>19 de mayo de 2016.</t>
    </r>
    <r>
      <rPr>
        <sz val="8"/>
        <color theme="1"/>
        <rFont val="Arial"/>
        <family val="2"/>
      </rPr>
      <t xml:space="preserve"> Se va entregar un informe que permita evidenciar el seguimiento de los PI desde 2013 y 2014. Se va a construir un cuadro con cada uno de los proyectos de inversión, que incluya las tres acciones referenciadas en este hallazgo. </t>
    </r>
    <r>
      <rPr>
        <b/>
        <sz val="8"/>
        <color theme="1"/>
        <rFont val="Arial"/>
        <family val="2"/>
      </rPr>
      <t xml:space="preserve">Se fija fecha de cierre el 30 de junio de 2016(fecha inicial 30-05-2014). </t>
    </r>
    <r>
      <rPr>
        <sz val="8"/>
        <color theme="1"/>
        <rFont val="Arial"/>
        <family val="2"/>
      </rPr>
      <t xml:space="preserve">
19 de diciembre de 2014:
Se solicitó la información vía correo electrónico a los enlaces de cada proceso misional, a fin de consolidar el seguimiento de esta acción correctiva. 
Al respecto se recibió vía e-mail respuesta por parte de los procesos de Mejoramiento de Barrios y Mejoramiento de Vivienda.
El reporte se hace citando las fechas de los oficios y / o actas, y el objetivo de las mismas.
Es decir ya se cuenta con información de acciones por parte de dos de los cuatro misionales lo que se interpreta como un avance del 50%.
Se espera que una vez se cuente con la información consolidada de los procesos de Urbanizaciones y Titulación y Reasentamientos se pueda dar cierre a la acción</t>
    </r>
  </si>
  <si>
    <r>
      <rPr>
        <b/>
        <sz val="8"/>
        <color theme="1"/>
        <rFont val="Arial"/>
        <family val="2"/>
      </rPr>
      <t>19 de mayo de 2016.</t>
    </r>
    <r>
      <rPr>
        <sz val="8"/>
        <color theme="1"/>
        <rFont val="Arial"/>
        <family val="2"/>
      </rPr>
      <t xml:space="preserve"> Se va entregar un informe que permita evidenciar el seguimiento de los PI desde 2013 y 2014. Se va a construir un cuadro con cada uno de los proyectos de inversión, que incluya las tres acciones referenciadas en este hallazgo. </t>
    </r>
    <r>
      <rPr>
        <b/>
        <sz val="8"/>
        <color theme="1"/>
        <rFont val="Arial"/>
        <family val="2"/>
      </rPr>
      <t xml:space="preserve">Se fija fecha de cierre el 30 de junio de 2016(fecha inicial 31-01-2015). </t>
    </r>
    <r>
      <rPr>
        <sz val="8"/>
        <color theme="1"/>
        <rFont val="Arial"/>
        <family val="2"/>
      </rPr>
      <t xml:space="preserve">
19 de diciembre de 2014:
A la fecha se lleva un porcentaje de avance del 79% en la reformulación de los proyectos de inversión en los cuales se han  venido incorporando las metas intermedias.
Sin embargo, no se cuenta con el 100% de la acción debido a que se ha trabajando en conjunto con cada uno de los proyectos con el fin de ajustar las reformulaciones de acuerdo a lo definido en la Alta Dirección.
Por lo anterior y teniendo en cuenta que estos lineamientos fueron definidos el 19 de mayo de 2014 en el Comité Directivo, se solicita respetuosamente a la Oficina de control Interno modificar la fecha de cumplimiento de la acción para el 31 de enero de 2015. </t>
    </r>
  </si>
  <si>
    <r>
      <rPr>
        <b/>
        <sz val="8"/>
        <color theme="1"/>
        <rFont val="Arial"/>
        <family val="2"/>
      </rPr>
      <t xml:space="preserve">19 de mayo de 2016. </t>
    </r>
    <r>
      <rPr>
        <sz val="8"/>
        <color theme="1"/>
        <rFont val="Arial"/>
        <family val="2"/>
      </rPr>
      <t xml:space="preserve">Se va entregar un informe que permita evidenciar el seguimiento de los PI desde 2013 y 2014. Se va a construir un cuadro con cada uno de los proyectos de inversión, que incluya las tres acciones referenciadas en este hallazgo. </t>
    </r>
    <r>
      <rPr>
        <b/>
        <sz val="8"/>
        <color theme="1"/>
        <rFont val="Arial"/>
        <family val="2"/>
      </rPr>
      <t xml:space="preserve">Se fija fecha de cierre el 30 de junio de 2016(fecha inicial 31-01-2015). 
</t>
    </r>
    <r>
      <rPr>
        <sz val="8"/>
        <color theme="1"/>
        <rFont val="Arial"/>
        <family val="2"/>
      </rPr>
      <t xml:space="preserve">
19 de diciembre de 2014:
A la fecha se lleva un porcentaje de avance del 79% en la reformulación de los proyectos de inversión en los cuales se han  venido incorporando las metas intermedias.
Sin embargo, no se cuenta con el 100% de la acción debido a que se ha trabajando en conjunto con cada uno de los proyectos con el fin de ajustar las reformulaciones de acuerdo a lo definido en la Alta Dirección.
Por lo anterior y teniendo en cuenta que estos lineamientos fueron definidos el 19 de mayo de 2014 en el Comité Directivo, se solicita respetuosamente a la Oficina de control Interno modificar la fecha de cumplimiento de la acción para el 31 de enero de 2015. </t>
    </r>
  </si>
  <si>
    <r>
      <rPr>
        <b/>
        <sz val="10"/>
        <color theme="1"/>
        <rFont val="Arial"/>
        <family val="2"/>
      </rPr>
      <t>19 de mayo de 2016.</t>
    </r>
    <r>
      <rPr>
        <sz val="10"/>
        <color theme="1"/>
        <rFont val="Arial"/>
        <family val="2"/>
      </rPr>
      <t xml:space="preserve"> Mediante la Resolución 0381 del 20 de marzo de 2015 se ajustó el mapa de procesos con inclusión del proceso de Servicio al Ciudadano
19 de diciembre de 2014:
En las reuniones de Comité Directivo los días 02/04/2014, 21/07/2014, y 15/08/2014 se trató entre otros el tema de ajuste de ajuste del mapa de procesos de la Entidad.
En el comité del 15 de agosto se presentó la propuesta de un nuevo mapa de procesos.
A la fecha no se ha oficializado esta propuesta de mapa de procesos. Y teniendo en cuenta que la modificación de la plataforma estratégica de la Entidad ha sido pospuesta, a efectos de adelantar un plan de auditoría de recertificación del subsistema de Calidad actualmente vigente, se solicita respetuosamente a la Oficina de control Interno modificar la fecha de cumplimiento de la acción para el 28 de febrero de 2015. </t>
    </r>
  </si>
  <si>
    <t>Se cumplio la acción adecuadamente</t>
  </si>
  <si>
    <r>
      <rPr>
        <b/>
        <sz val="10"/>
        <color theme="1"/>
        <rFont val="Arial"/>
        <family val="2"/>
      </rPr>
      <t>19 de mayo de 2016.</t>
    </r>
    <r>
      <rPr>
        <sz val="10"/>
        <color theme="1"/>
        <rFont val="Arial"/>
        <family val="2"/>
      </rPr>
      <t xml:space="preserve"> Se actualizaron las caracterizaciones de los trece procesos que conforman el mapa de procesos de la Resolución 381 del 2015. Estas caracterizaciones se incluyeron como registros en el formato 208-PLA-Ft-59 V1 de 14-04-2015 y se registra la "fecha la actualización". Sin embargo no obra control de cambios en el último registro
19 de diciembre de 2014:
En el marco del ajuste institucional, En el comité del 15 de agosto se presentó la propuesta de un nuevo mapa compuesto por 16 procesos, de los cuales ya se han formulado propuestas de caracterización para 15 de estos procesos.
Sin embargo la aprobación de estas caracterizaciones dependen de la oficialización del nuevo mapa de procesos.
A fin de cumplir con esta acción, se estima necesario un plazo aproximado de un mes a partir de la fecha en que se oficialice el mapa de procesos. Por lo cual se requiere ampliar la fecha de finalización de ésta acción para el 31 de marzo de 2015</t>
    </r>
  </si>
  <si>
    <t>Se cierra la acción sin embargo se indica en el informe de la auditoria la observación que este documento no es posible llevar el control de cambios de este documento o registro (Considerando que es un documento de planeación)</t>
  </si>
  <si>
    <r>
      <rPr>
        <b/>
        <sz val="10"/>
        <color theme="1"/>
        <rFont val="Arial"/>
        <family val="2"/>
      </rPr>
      <t>19 de mayo de 2016.</t>
    </r>
    <r>
      <rPr>
        <sz val="10"/>
        <color theme="1"/>
        <rFont val="Arial"/>
        <family val="2"/>
      </rPr>
      <t xml:space="preserve"> Se revisan los registros del formato de Producto No conforme. No todos los procesos aplican el mismo criterio para este registro. Durante la vigencia 2015 todos los procesos hicieron el reporte. Sin embargo el manejo del formato 208-PLA-Ft-26 V4 no tiene la misma presentación en todos los procesos. (Ver Reasentamientos, Mejoramiento de Vivienda y Servicio al Ciudadano). Se van a revisar las formulaciones para la vigencia 2016 y se va a revisar con cada proceso su reporte.
19 de diciembre de 2014:
Las caracterizaciones del servicio de los procesos misionales fueron revisadas y actualizadas y están oficializadas en la carpeta de calidad con corte 30 de septiembre de 2014
(seguimiento informado por el proceso).
No se puede cerrar el hallazgo con el soporte enviado por el proceso en razón en auditoria al proceso Reasentamientos Humanos no se tiene actualizado el servicio no conforme y su medición no fue clara, se deja abierto hasta tanto no se subsane.
</t>
    </r>
  </si>
  <si>
    <r>
      <rPr>
        <b/>
        <sz val="10"/>
        <color theme="1"/>
        <rFont val="Arial"/>
        <family val="2"/>
      </rPr>
      <t>19de mayo de 2016.</t>
    </r>
    <r>
      <rPr>
        <sz val="10"/>
        <color theme="1"/>
        <rFont val="Arial"/>
        <family val="2"/>
      </rPr>
      <t xml:space="preserve"> Pendiente la actualización de diecisiete (17) procedimientos activos que no han sido actualizados. Se espera finalizar a mediados de agosto.
19 de diciembre de 2014:
A la fecha la OAP ha revisado 93 procedimientos a ser oficializados, de los cuales ya han sido oficializados 43</t>
    </r>
  </si>
  <si>
    <r>
      <rPr>
        <b/>
        <sz val="10"/>
        <color theme="1"/>
        <rFont val="Arial"/>
        <family val="2"/>
      </rPr>
      <t>19 de mayo de 2016.</t>
    </r>
    <r>
      <rPr>
        <sz val="10"/>
        <color theme="1"/>
        <rFont val="Arial"/>
        <family val="2"/>
      </rPr>
      <t xml:space="preserve"> Se actualizó el mapa de procesos y se gestionaron herramientas como el PAG y la matriz de Riesgos con indicadores enmarcados en los procesos.
19 de diciembre de 2014:
Se encuentra el seguimiento a los indicadores de proceso actualizados a septiembre de 2014.
Sin embargo los indicadores se deberán reformular o ajustar una vez sea aprobado el nuevo mapa de procesos.</t>
    </r>
  </si>
  <si>
    <t xml:space="preserve">Se recomienda formular indicadores que den cuenta del objetivo del proceso enmarcado en la misionalidad de la CVP. </t>
  </si>
  <si>
    <r>
      <rPr>
        <b/>
        <sz val="10"/>
        <color theme="1"/>
        <rFont val="Arial"/>
        <family val="2"/>
      </rPr>
      <t>19 de mayo de 2016.</t>
    </r>
    <r>
      <rPr>
        <sz val="10"/>
        <color theme="1"/>
        <rFont val="Arial"/>
        <family val="2"/>
      </rPr>
      <t xml:space="preserve"> Se actualizó la matriz de riegos en la nueva herramienta V2, para los procesos de la vigencia 2015. Los procesos adelantaron sus registros y enmarcaron sus indicadores en esta herramienta.
19 de diciembre de 2014:
Se encuentra el seguimiento a mapa de riesgos de los procesos, con corte a septiembre de 2014.
Sin embargo los riesgos muy posiblemente se deberán reformular o ajustar una vez sea aprobado el nuevo mapa de procesos.</t>
    </r>
  </si>
  <si>
    <t>Se cierra el hallazgo considerando el registro durante la vigencia de 2015</t>
  </si>
  <si>
    <r>
      <rPr>
        <b/>
        <sz val="10"/>
        <color theme="1"/>
        <rFont val="Arial"/>
        <family val="2"/>
      </rPr>
      <t>19 de mayo de 2016.</t>
    </r>
    <r>
      <rPr>
        <sz val="10"/>
        <color theme="1"/>
        <rFont val="Arial"/>
        <family val="2"/>
      </rPr>
      <t xml:space="preserve"> Se espera la oficialización del documento Módulo Contratación del Aplicativo de Si Capital. Debe asegurarse en ese documento (o en el que se requiera) la definición de las funciones de las personas responsables en el cargue de la información.
19-12-2014 Se evidencia el cumplimiento de esta acción por parte del personal de la Oficina Asesora de Planeación al definir las competencias dentro del SISCO, sin embargo se debe incluir  con los responsables de los gastos de funcionamiento.</t>
    </r>
  </si>
  <si>
    <r>
      <rPr>
        <b/>
        <sz val="10"/>
        <color theme="1"/>
        <rFont val="Arial"/>
        <family val="2"/>
      </rPr>
      <t>19 de mayo de 2016.</t>
    </r>
    <r>
      <rPr>
        <sz val="10"/>
        <color theme="1"/>
        <rFont val="Arial"/>
        <family val="2"/>
      </rPr>
      <t xml:space="preserve"> Se espera la oficialización del documento Módulo Contratación del Aplicativo de Si Capital. Debe asegurarse en ese documento (o en el que se requiera) la definición de las competencias de las responsables en el cargue de la información. Se cuenta con el procedimiento "programación, elaboración, ejecución, control y seguimiento del plan anual de adquisiciones. 208-PLA-Pr-20 v1 del 30 de diciembre de 2015, aunque no se menciona el enlace con el documento que se aprueba sobre el módulo de SI Capital - Contratación Esta acción es complemento de la anterior en cuento a la definición de las competencias y el hacer referencia a ellas (numeral 3.7 de esta manual propuesto).
19-12-2014 
El instructivo no ha sido actualizado, se propone su eliminación y en su lugar formular un procedimiento llamado Plan de Adquisición.
El documento ya fue formulado por la OAP y se encuentra en proceso de revisión y ajuste, por lo cual se considera que a la fecha se tiene un avance del 50% </t>
    </r>
  </si>
  <si>
    <r>
      <rPr>
        <b/>
        <sz val="8"/>
        <color theme="1"/>
        <rFont val="Arial"/>
        <family val="2"/>
      </rPr>
      <t>19 de mayo de 2016.</t>
    </r>
    <r>
      <rPr>
        <sz val="8"/>
        <color theme="1"/>
        <rFont val="Arial"/>
        <family val="2"/>
      </rPr>
      <t xml:space="preserve"> Se realizó reunión el 4 de septiembre de 2015 donde se tomaron decisiones para la disposición de estos residuos. Pendiente la evidencia del registro de reunión llevada a cabo
2 de Febrero de 2015:
Seguimiento registrado en acción anterior, adicional: dado que a la fecha, los RAEES que se han identificado se tienen previstos para su entrega al programa Computadores para educar, de momento no se han identificado RAEES restantes y no recuperables que requieran ser entregados a entidades con licencia ambiental para su disposición final.
Se deja abierto hasta tanto no se realice la entrega y se confirme que no hay elementos para dar disposición final.
Se solicita cambio de fecha a 31 de diciembre de 2015, sujeta al cumplimiento de la anterior acción.
4 de Septiembre de 2015: 
Se está adelantando una gestión con ECOCOMPUTO, con el fin de realizar la entrega ambientalmente segura de los RAESS, para dar continuidad con el proceso de entrega, se encuentra pendiente la calibración de la báscula para realizar el pesaje de los elementos la cual depende de asignación presupuestal que se encuentra en gestión</t>
    </r>
  </si>
  <si>
    <r>
      <rPr>
        <b/>
        <sz val="10"/>
        <color theme="1"/>
        <rFont val="Arial"/>
        <family val="2"/>
      </rPr>
      <t>9 de mayo de 2016</t>
    </r>
    <r>
      <rPr>
        <sz val="10"/>
        <color theme="1"/>
        <rFont val="Arial"/>
        <family val="2"/>
      </rPr>
      <t>. Se deben actualizar el procedimiento y el manual referencia respecto de dos normas que no corresponden: Decretos Distritales 456 de 2008 y 540 de 2013.
2 de febrero de 2015:
En el año 2014 el funcionario que lidera el PIGA, realizó capacitación y sensibilización en materia de Gestión Ambiental Contractual en todas las dependencias de la Entidad, y adicionalmente se verificaron las necesidades en materia contractual de cada dependencia con el fin de identificar posibles mejoras que se puedan hacer a las fichas verdes.
El procedimiento 208-PLA-Pr-10 PROCEDIMIENTO PROGRAMA DE CRITERIOS AMBIENTALES PARA LAS COMPRAS Y LA GESTIÓN CONTRACTUAL se encuentra publicado en la carpeta de calidad, con vigencia 06/01/2012.
La acción de revisión y ajuste del procedimiento no se ha cumplido, se solicita ampliar la fecha de cumplimiento a 31 de marzo de 2015.</t>
    </r>
  </si>
  <si>
    <r>
      <rPr>
        <b/>
        <sz val="10"/>
        <color theme="1"/>
        <rFont val="Arial"/>
        <family val="2"/>
      </rPr>
      <t>19 de mayo de 2016</t>
    </r>
    <r>
      <rPr>
        <sz val="10"/>
        <color theme="1"/>
        <rFont val="Arial"/>
        <family val="2"/>
      </rPr>
      <t>. La acción se mantiene en la misma situación y se amplía la fecha al 31 de junio de 2016
05/01/2015 
Se informa que es necesario replantear la acción de mejoramiento involucrando los responsables de la implementación de la acción y se identifiquen las necesidades(en términos de contratación de profesionales en ingeniería eléctrico electrónica y que la información generada del contrato sea de consulta permanente.) 
2 de febrero de 2015:
Al respecto la Oficina Asesora e Planeación aclara que si  se han adelantado  seguimientos a los consumos institucionales de energía, lo cual se ha documentado en formatos suministrados por la Secretaría Distrital de Ambiente.
No obstante lo anterior La acción propuesta de revisión del procedimiento todavía es necesaria, por lo cual se solicita ampliar la fecha de cumplimiento a 31 de marzo de 2015.</t>
    </r>
  </si>
  <si>
    <r>
      <rPr>
        <b/>
        <sz val="10"/>
        <color theme="1"/>
        <rFont val="Arial"/>
        <family val="2"/>
      </rPr>
      <t xml:space="preserve">19 de mayo de 2016. </t>
    </r>
    <r>
      <rPr>
        <sz val="10"/>
        <color theme="1"/>
        <rFont val="Arial"/>
        <family val="2"/>
      </rPr>
      <t>Se debe gestionar la inclusión, dentro el PAG del proceso de Gestión Estratégica, de alguna acción tanto en el PIGA como en el PIRE para la vigencia 2016. Se solicita ampliar fecha.
En el PIGA hacer referencia a documentos de la Secretaría Distrital de Ambiente a través de la herramienta storm y en el PIRE se requiere formular un plan de acción especifico.
2 de febrero de 2015:
Al respecto la Oficina Asesora e Planeación formuló un plan de acción con indicadores para el seguimiento al PIGA, el cual se reportó a la Secretaría Distrital de Ambiente en agosto de 2014.
A este plan de acción se le hace seguimiento cada seis meses, y finalizará el 31 de enero de 2015.
Se propone incluir este plan de acción dentro del Documento Plan de Acción de la Dependencia.
Dado que aún no se han incluido indicadores de cumplimiento del PIRE dentro del plan de acción de la Entidad, se solicita respetuosamente a Control Interno ampliar la fecha de cumplimiento de la acción para el próximo 31 de diciembre de 2015.</t>
    </r>
  </si>
  <si>
    <r>
      <rPr>
        <b/>
        <sz val="10"/>
        <color theme="1"/>
        <rFont val="Arial"/>
        <family val="2"/>
      </rPr>
      <t>19 de mayo de 2016.</t>
    </r>
    <r>
      <rPr>
        <sz val="10"/>
        <color theme="1"/>
        <rFont val="Arial"/>
        <family val="2"/>
      </rPr>
      <t xml:space="preserve"> En atención a que los enlaces son nuevos, el 28 de abril se oficializó, mediante correo, su identificación dentro del sistema SIG, donde se incluyen como enlaces ambientales. Se evidencia el listado de varias capacitaciones dadas en la vigencia 2016, como las del 19 de abril y el 3 de mayo.
2 de febrero de 2015:
En comité directivo del 2 de abril de 2014 se realizó la socialización del Plan Institucional de Gestión Ambiental PIGA a los Directivos.
Así mismo se incluyó este tema en las jornadas de capacitación de Re inducción adelantadas en los meses de agosto y septiembre para todos los funcionarios de la CVP.
Se solicita ampliación de fecha para analizar y dar cumplimiento a la acción No. 1.</t>
    </r>
  </si>
  <si>
    <t>Se recomienda que estos enlaces sean en su mayor parte planta fija y que se mantenga la base de datos con esta identificación y comunique nuevamente para estos enlaces su responsabilidad con el PIGA.</t>
  </si>
  <si>
    <r>
      <rPr>
        <b/>
        <sz val="10"/>
        <color theme="1"/>
        <rFont val="Arial"/>
        <family val="2"/>
      </rPr>
      <t>19 de mayo de 2016.</t>
    </r>
    <r>
      <rPr>
        <sz val="10"/>
        <color theme="1"/>
        <rFont val="Arial"/>
        <family val="2"/>
      </rPr>
      <t xml:space="preserve"> Se debe gestionar la inclusión, dentro el PAG del proceso de Gestión Estratégica, de alguna acción tanto en el PIGA como en el PIRE para la vigencia 2016. Se solicita ampliar fecha.
05/01/2015 
Se solicita replantear la fecha de finalización de la acción dado que situaciones administrativos en el distrito asociadas al cambio de entidades responsables. El plan de acción se crearía en el primer trimestre de 2015
2 de febrero de 2015:
Se revisó el estado de la no conformidad planteada y de la acción correctiva formulada.
Al respecto se advierte que por cambios normativos que se han dado a raíz de la restructuración que se produjo en el antiguo FOPAE hoy IDIGER, se requiere hacer una actualización al PIRE de la Entidad.
Se solicita respetuosamente ampliar la fecha:
Actualización del PIRE de la CVP para el primer trimestre de 2015 (31 de marzo)
Formular el plan de acción del PIRE para el primer trimestre de 2015 (31 de marzo).</t>
    </r>
  </si>
  <si>
    <r>
      <rPr>
        <b/>
        <sz val="10"/>
        <color theme="1"/>
        <rFont val="Arial"/>
        <family val="2"/>
      </rPr>
      <t>19 de mayo de 2016.</t>
    </r>
    <r>
      <rPr>
        <sz val="10"/>
        <color theme="1"/>
        <rFont val="Arial"/>
        <family val="2"/>
      </rPr>
      <t xml:space="preserve"> Se actualizó el PIRE, 208-PLA-Mn-02 versión 8 del 28 de abril de 2015 y se dio a conocer el 27 y 28 de agosto de 2015.
2 de febrero de 2015:
Al respecto se advierte que por cambios normativos que se han dado a raíz de la restructuración que se produjo en el antiguo FOPAE hoy IDIGER, se requiere hacer una actualización al PIRE de la Entidad.
Se solicita respetuosamente ampliar la fecha a 31 de junio 2015
</t>
    </r>
  </si>
  <si>
    <t>Se da cierre a la acción sin embargo se recomienda que dentro del PAG sea incluido el fortalecimiento de socialización de los documentos de plan institucional de PIGA y PIRE  y el ajuste del los enlaces de operación del PIRE.</t>
  </si>
  <si>
    <r>
      <rPr>
        <b/>
        <sz val="10"/>
        <color theme="1"/>
        <rFont val="Arial"/>
        <family val="2"/>
      </rPr>
      <t>19 de mayo de 2016</t>
    </r>
    <r>
      <rPr>
        <sz val="10"/>
        <color theme="1"/>
        <rFont val="Arial"/>
        <family val="2"/>
      </rPr>
      <t xml:space="preserve">. Se actualizó la matriz de riegos en la nueva herramienta V2, para los procesos de la vigencia 2015. Los procesos adelantaron sus registros y enmarcaron sus indicadores en esta herramienta.
19 de diciembre de 2014:
En las reuniones de Comité Directivo los días 02/04/2014, 21/07/2014, y 15/08/2014 se trató entre otros el tema de ajuste de la Planeación Estratégica de la Entidad.
En comité Directivo de Fecha 15 de agosto, se presentó la propuesta de la misión, la visión, y los objetivos estratégicos ajustados.
A la fecha no se ha oficializado esta nueva misión visión y objetivos estratégicos. Y teniendo en cuenta que la modificación de la plataforma estratégica de la Entidad ha sido pospuesta, a efectos de adelantar un plan de auditoría de recertificación del subsistema de Calidad actualmente vigente, se solicita respetuosamente a la Oficina de control Interno modificar la fecha de cumplimiento de la acción para el 28 de febrero de 2015. 
</t>
    </r>
  </si>
  <si>
    <t>Se actualizó la misión y la visión de acuerdo con la resolución 381 de 2015</t>
  </si>
  <si>
    <r>
      <rPr>
        <b/>
        <sz val="10"/>
        <color theme="1"/>
        <rFont val="Arial"/>
        <family val="2"/>
      </rPr>
      <t>19 de mayo de 2016</t>
    </r>
    <r>
      <rPr>
        <sz val="10"/>
        <color theme="1"/>
        <rFont val="Arial"/>
        <family val="2"/>
      </rPr>
      <t>. Se formalizaron las nuevas misión,  visión y los objetivos estratégicos mediante la Resolución 381 del 20 de marzo de 2015, divulgada y dada a conocer a través de varios documentos y medios (presentaciones, resolución, manual de calidad, página web) actualizados en la vigencia 2015
19 de diciembre de 2014:
Se solicita cambio de fecha, ver celda anterior.</t>
    </r>
  </si>
  <si>
    <r>
      <rPr>
        <b/>
        <sz val="10"/>
        <color theme="1"/>
        <rFont val="Arial"/>
        <family val="2"/>
      </rPr>
      <t>19 de mayo de 2016.</t>
    </r>
    <r>
      <rPr>
        <sz val="10"/>
        <color theme="1"/>
        <rFont val="Arial"/>
        <family val="2"/>
      </rPr>
      <t xml:space="preserve"> Se han publicado los objetivos estratégicos y/o de calidad a través de varios documentos y medios (presentaciones, resolución, manual de calidad, página web) actualizados en la vigencia 2015.
19-diciembre-2015
El plan estratégico de la Entidad se consolidó y socializó enmarcándolo en el PDD Bogotá Humana, mediante la publicación en la Carpeta de Calidad, en la Intranet, y en la página web (actualización 21 de noviembre).
Se implementó el documento Estrategia de rendición de cuentas el cual se encuentra socializado en la Carpeta de Calidad desde el 24 de septiembre. 
Cabe aclarar que los lineamientos de rendición de cuentas no hacen parte de la Planeación Estratégica,. Por lo cual se solicita la modificación de la Acción correctiva propuesta separándola en dos acciones así.
- Consolidar y socializar el Plan estratégico de la CVP enmarcado en el Plan de Desarrollo Bogotá Positiva, 
- Formular y oficializar la Estrategia de Rendición de Cuentas de la Entidad.</t>
    </r>
  </si>
  <si>
    <r>
      <rPr>
        <b/>
        <sz val="10"/>
        <color theme="1"/>
        <rFont val="Arial"/>
        <family val="2"/>
      </rPr>
      <t>19 de mayo de 2016.</t>
    </r>
    <r>
      <rPr>
        <sz val="10"/>
        <color theme="1"/>
        <rFont val="Arial"/>
        <family val="2"/>
      </rPr>
      <t xml:space="preserve"> Se requiere reformular la acción, para este hallazgo.
Se actualizó el procedimiento 208-PLA-Pr-01 V4 con fecha 29 de enero de 2016 Formulación, reformulación y/o actualización a proyectos de inversión, que menciona una concordancia con la planeación estratégica, pero sin indicación sobre el plan institucional y su vinculación con planes de acción de gestión de cada proceso.19 de diciembre:
La oficina Asesora de Planeación definió no realizar un procedimiento de Planeación Institucional.
Sin embargo se contempla la posibilidad de documentarlo como un instructivo.</t>
    </r>
  </si>
  <si>
    <r>
      <rPr>
        <b/>
        <sz val="10"/>
        <color theme="1"/>
        <rFont val="Arial"/>
        <family val="2"/>
      </rPr>
      <t>20 de junio de 2016.</t>
    </r>
    <r>
      <rPr>
        <sz val="10"/>
        <color theme="1"/>
        <rFont val="Arial"/>
        <family val="2"/>
      </rPr>
      <t xml:space="preserve"> No se efectuó seguimiento.
4 de septiembre de 2015: Se cambia responsable de acción atendiendo el cambio de líder de proceso sería la Dirección corporativa.
4 de septiembre de 2015: Se cambia responsable de acción atendiendo el cambio de líder de proceso sería la Dirección corporativa.</t>
    </r>
  </si>
  <si>
    <r>
      <rPr>
        <b/>
        <sz val="10"/>
        <color theme="1"/>
        <rFont val="Arial"/>
        <family val="2"/>
      </rPr>
      <t>19 de mayo de 2016.</t>
    </r>
    <r>
      <rPr>
        <sz val="10"/>
        <color theme="1"/>
        <rFont val="Arial"/>
        <family val="2"/>
      </rPr>
      <t xml:space="preserve"> 1. Se presenta en las dos publicaciones del plan anticorrupción, tanto del cierre vigencia 2014 como formulación y cierre de la vigencia 2015, seguimiento y cumplimiento de las acciones formuladas y que quedaron pendientes en la vigencia 2014. Caso: "Revisión y ajuste de los trámites de acuerdo con la normatividad vigente y el proyecto de ajuste institucional", cumplimiento del 70% en la vigencia 2014 y del 100% en la vigencia 2015. En la vigencia 2016 se formulan acciones para cada tramite "Revisar, actualizar y publicar el trámite con los ajustes pertinentes" considerando cambios de normatividad que apliquen
2. La Oficina Asesora de Planeación, con memorando 2014IE6191, solicito la revisión de la formulación de las herramientas. Documento publicado en la carpeta de calidad \\serv-cv11\calidad\15. CONSOLIDADO MAPAS DE RIESGO\ANÁLISIS RIESGOS DE PROCESOS\2014 y los soportes dados por las áreas agrupado en el archivo: "SOPORTES ANÁLISIS MAPA DE RIESGOS"</t>
    </r>
  </si>
  <si>
    <t>Se ajusto formulación de los mapas de riesgos vigencia 2015</t>
  </si>
  <si>
    <r>
      <rPr>
        <b/>
        <sz val="10"/>
        <rFont val="Arial"/>
        <family val="2"/>
      </rPr>
      <t xml:space="preserve">19 de mayo de 2016. </t>
    </r>
    <r>
      <rPr>
        <sz val="10"/>
        <rFont val="Arial"/>
        <family val="2"/>
      </rPr>
      <t>La Oficina Asesora de Planeación, con memorando 2014IE6191, solicitó la revisión de la formulación de las herramientas. Documento publicado en la carpeta de calidad \\serv-cv11\calidad\15. CONSOLIDADO MAPAS DE RIESGO\ANÁLISIS RIESGOS DE PROCESOS\2014, y soportes dados por las áreas agrupados en el archivo: "SOPORTES ANÁLISIS MAPA DE RIESGOS". Se han dictado sensibilizaciones a los enlaces de cada uno de los procesos: en la vigencia 2015 el 23 de septiembre y en la vigencia 2016, lineamientos el 29 de febrero y el 19 abril. Soportes verificados en la ruta: \\serv-cv11\calidad\27. PRESENTACIONES E INFORMES\SISTEMA INTEGRADO DE GESTIÓN para cada vigencia.</t>
    </r>
  </si>
  <si>
    <r>
      <rPr>
        <b/>
        <sz val="10"/>
        <rFont val="Arial"/>
        <family val="2"/>
      </rPr>
      <t xml:space="preserve">19 de mayo de 2016. </t>
    </r>
    <r>
      <rPr>
        <sz val="10"/>
        <rFont val="Arial"/>
        <family val="2"/>
      </rPr>
      <t>Pendiente la verificación del memorando.</t>
    </r>
  </si>
  <si>
    <r>
      <rPr>
        <b/>
        <sz val="10"/>
        <rFont val="Arial"/>
        <family val="2"/>
      </rPr>
      <t xml:space="preserve">20 de junio de 2016. </t>
    </r>
    <r>
      <rPr>
        <sz val="10"/>
        <rFont val="Arial"/>
        <family val="2"/>
      </rPr>
      <t>No se efectuó seguimiento.</t>
    </r>
  </si>
  <si>
    <r>
      <rPr>
        <b/>
        <sz val="10"/>
        <color theme="1"/>
        <rFont val="Arial"/>
        <family val="2"/>
      </rPr>
      <t>19 de mayo de 2016.</t>
    </r>
    <r>
      <rPr>
        <sz val="10"/>
        <color theme="1"/>
        <rFont val="Arial"/>
        <family val="2"/>
      </rPr>
      <t xml:space="preserve"> El plan estratégico fue revisado y actualizado en el Comité Directivo del 2 de marzo de 2015. El plan estratégico fue oficializado a través de la Resolución 0381 de 20 de marzo de 2015. El Manual de Calidad se actualizó de acuerdo con el nuevo Plan Estratégico de la entidad y está oficializado en la carpeta de calidad con versión 5 del 28 de octubre de 2015. \\serv-cv11\calidad\1. PROCESO DE GESTIÓN ESTRATÉGICA\MANUALES\208-PLA-Mn-01 MANUAL DE CALIDAD
El artículo 2º de la Resolución 381 estableció: "Durante el primer trimestre de cada anualidad la Caja de la Vivienda Popular revisará y evaluará el Plan Estratégico, con el fin de actualizarlo de esta manera contar con un horizonte de Planeación permanente"
En el artículo 3º dispone la responsabilidad de la Oficina Asesora de Planeación en la divulgación del Plan Estratégico en coordinación con la Oficina Asesora de Comunicaciones.
En la vigencia 2016, por cambio de administración, no se ha efectuado revisión y actualización de este plan estratégico.
17-12-2015 Revisar en la vigencia 2016</t>
    </r>
  </si>
  <si>
    <r>
      <rPr>
        <b/>
        <sz val="8"/>
        <color theme="1"/>
        <rFont val="Arial"/>
        <family val="2"/>
      </rPr>
      <t>19 de mayo de 2016</t>
    </r>
    <r>
      <rPr>
        <sz val="8"/>
        <color theme="1"/>
        <rFont val="Arial"/>
        <family val="2"/>
      </rPr>
      <t xml:space="preserve">. Se formuló acción para corregir los hallazgos presentados en el plan de mejoramiento.
27-Noviembre-2015
Se validó: 
En el documento \\serv-cv11\calidad\Listado Maestro de documentos que se encuentra en el renglón 273 y aparece la versión 4 que es la que está vigente actualmente.
En el documento \\serv-cv11\calidad\Listado Maestro de documentos , donde el formato oficio aparece la versión 9 que es la que está vigente actualmente, y adicionalmente se validó en la carpeta plantillas que el documento publicado está en la versión 9.
En el documento \\serv-cv11\calidad\Listado Maestro de documentos , donde el formato oficio aparece la versión 5  que es la que está vigente actualmente, y adicionalmente se validó en la carpeta  tablas de retención documental 2014 que el documento publicado está en la versión 5.
Se actualizaron las doce caracterizaciones y se aprobó una caracterización de proceso de Servicio al ciudadano, las cuales se encuentran en el formato vigente de Caracterización de Proceso.
En el marco de las acciones de preparación para la auditoría de Calidad de 2015, se revisó el Listado Maestro de documentos y se consolidó la carpeta con la estructura documental vigente de la Entidad.
En el listado maestro de documentos y en la carpeta de calidad se encuentra vigente la versión 6 del formato, con vigencia 20 de noviembre de 2014.
Se enviará comunicación a los funcionarios usuarios de dicho formato para que revisen el uso de la versión del formato que se encuentra aprobada en Calidad.
</t>
    </r>
    <r>
      <rPr>
        <b/>
        <sz val="8"/>
        <color theme="1"/>
        <rFont val="Arial"/>
        <family val="2"/>
      </rPr>
      <t>Control Interno verificó las correcciones que se indican en el seguimiento la acción queda abierta hasta que se envíe el comunicado que se indica en el último párrafo.</t>
    </r>
  </si>
  <si>
    <r>
      <rPr>
        <b/>
        <sz val="10"/>
        <color theme="1"/>
        <rFont val="Arial"/>
        <family val="2"/>
      </rPr>
      <t>19 de mayo de 2016</t>
    </r>
    <r>
      <rPr>
        <sz val="10"/>
        <color theme="1"/>
        <rFont val="Arial"/>
        <family val="2"/>
      </rPr>
      <t>. Se registró la actividad en el formato y se verificó en prueba aleatoria la actualización y ubicación del documento en la carpeta de calidad. En el procedimiento se deja el registro
27-Noviembre-2015
En la versión 6 del procedimiento con vigencia 23/04/2015, se incluyo en el punto 6 del procedimiento la actualización del código y vigencia de los documentos dentro del listado maestro de documentos. Se solicita el cierre de la acción propuesta.
Control Interno verifica el paso en el procedimiento pero se deja abierta la acción para que en próxima auditoria se confirme su efectividad.</t>
    </r>
  </si>
  <si>
    <t>Se verifica el registro en el procedimiento y en el Listado Maestro de documentos.
s.</t>
  </si>
  <si>
    <r>
      <rPr>
        <b/>
        <sz val="10"/>
        <color theme="1"/>
        <rFont val="Arial"/>
        <family val="2"/>
      </rPr>
      <t>19 de mayo de 2016.</t>
    </r>
    <r>
      <rPr>
        <sz val="10"/>
        <color theme="1"/>
        <rFont val="Arial"/>
        <family val="2"/>
      </rPr>
      <t xml:space="preserve"> Se revisan los reportes del registro de los productos No conformes. Sin embargo a fecha de corte del 20 de junio de 2016 no se ha reportado este registro. Se cierra la acción pero se genera una nueva que asegure el compromiso de los líderes de procesos en sus reportes.
27-Noviembre de 2015
El seguimiento al servicio no conforme para la vigencia 2014, se encuentra publicado en la carpeta de calidad  \serv-cv11\calidad\17. CONSOLIDADO SERVICIO NO CONFORME\2014.
Para la vigencia 2015 se encuentra el seguimiento cada trimestre. \\serv-cv11\calidad\17. CONSOLIDADO SERVICIO NO CONFORME\2015.
Se validó que a la fecha se encuentra la información reportada para 4 de los 5 procesos misionales. A la fecha el líder de proceso de Mejoramiento de Barrios no ha entregado el reporte correspondiente, por lo cual se continuará con el acompañamiento a fin de lograr el cumplimiento efectivo del reporte para los 5 procesos misionales.
Por lo anterior se solicita a Control Interno ampliar la fecha de cumplimiento a 31 de diciembre de 2015</t>
    </r>
  </si>
  <si>
    <t>20Jun2016. Se cierra la acción. Se deja formulado como resultado de este ejercicio la oportunidad de la publicación de estos registros dentro de la carpeta de Producto No conforme</t>
  </si>
  <si>
    <r>
      <rPr>
        <b/>
        <sz val="10"/>
        <color theme="1"/>
        <rFont val="Arial"/>
        <family val="2"/>
      </rPr>
      <t>20 de junio de 2016.</t>
    </r>
    <r>
      <rPr>
        <sz val="10"/>
        <color theme="1"/>
        <rFont val="Arial"/>
        <family val="2"/>
      </rPr>
      <t xml:space="preserve"> Se dieron a conocer, el 19 de abril de 2016, las herramientas de gestión lideradas por la Oficina Asesora de Planeación. Además se presentó a los enlaces el formato de Producto NO Conforme. Se cierra la acción pero se solicita generar una nueva que asegure el compromiso de los líderes de procesos en sus reportes.
27-Noviembre de 2015
El seguimiento al servicio no conforme para la vigencia 2014, se encuentra publicado en la carpeta de calidad  \serv-cv11\calidad\17. CONSOLIDADO SERVICIO NO CONFORME\2014.
Para la vigencia 2015 se encuentra el seguimiento cada trimestre. \\serv-cv11\calidad\17. CONSOLIDADO SERVICIO NO CONFORME\2015.
Se validó que a la fecha se encuentra la información reportada para 4 de los 5 procesos misionales. A la fecha el líder de proceso de Mejoramiento de Barrios no ha entregado el reporte correspondiente, por lo cual se continuará con el acompañamiento a fin de lograr el cumplimiento efectivo del reporte para los 5 procesos misionales.
Por lo anterior se solicita a Control Interno ampliar la fecha de cumplimiento a 31 de diciembre de 2015</t>
    </r>
  </si>
  <si>
    <r>
      <rPr>
        <b/>
        <sz val="10"/>
        <color theme="1"/>
        <rFont val="Arial"/>
        <family val="2"/>
      </rPr>
      <t>20 de junio de 2016.</t>
    </r>
    <r>
      <rPr>
        <sz val="10"/>
        <color theme="1"/>
        <rFont val="Arial"/>
        <family val="2"/>
      </rPr>
      <t xml:space="preserve">  Para el corte a diciembre de 2015, se consolidó el servicio no conforme para los cinco procesos misionales, lo cual se puede validar en la ruta:
\\serv-cv11\calidad\17. CONSOLIDADO SERVICIO NO CONFORME\2015\FECHA DE CORTE 15 DE DICIEMBRE.
Se solcitó mediante correo dirigido el 01 de diciembre de 2015
27-Noviembre de 2015
El seguimiento al servicio no conforme para la vigencia 2014, se encuentra publicado en la carpeta de calidad  \serv-cv11\calidad\17. CONSOLIDADO SERVICIO NO CONFORME\2014.
Para la vigencia 2015 se encuentra el seguimiento cada trimestre. \\serv-cv11\calidad\17. CONSOLIDADO SERVICIO NO CONFORME\2015.
Se validó que a la fecha se encuentra la información reportada para 4 de los 5 procesos misionales. A la fecha el líder de proceso de Mejoramiento de Barrios no ha entregado el reporte correspondiente, por lo cual se continuará con el acompañamiento a fin de lograr el cumplimiento efectivo del reporte para los 5 procesos misionales.
Por lo anterior se solicita a Control Interno ampliar la fecha de cumplimiento a 31 de diciembre de 2015</t>
    </r>
  </si>
  <si>
    <r>
      <rPr>
        <b/>
        <sz val="8"/>
        <color theme="1"/>
        <rFont val="Arial"/>
        <family val="2"/>
      </rPr>
      <t>20 de junio de 2016.</t>
    </r>
    <r>
      <rPr>
        <sz val="8"/>
        <color theme="1"/>
        <rFont val="Arial"/>
        <family val="2"/>
      </rPr>
      <t xml:space="preserve"> No se efectuó seguimiento.
27 de noviembre de 2015
La Subdirección Administrativa remitió las últimas TRD aprobada en comité de gestión documental. Estas ya fueron ingresadas a la carpeta de calidad.
Validar  \\serv-cv2\calidad\10. PROCESO ADMINISTRACIÓN DE LA INFORMACIÓN\TABLAS RETENCIÓN DOCUMENTAL\VIGENCIA 2014.
Las tablas de retención documental ya fueron convalidadas por el Archivo Distrital, de lo cual ya se ha dado amplia difusión y socialización por parte de la OAC a todos los funcionarios.
Por lo anterior, se solicita a Control Interno dar cierre a la no conformidad.
</t>
    </r>
    <r>
      <rPr>
        <b/>
        <sz val="8"/>
        <color theme="1"/>
        <rFont val="Arial"/>
        <family val="2"/>
      </rPr>
      <t>Control Interno: A pesar que se cumplieron las acciones el hallazgo sigue igual, se debe dar línea para que las TRD estén de acuerdo con los procedimientos.</t>
    </r>
  </si>
  <si>
    <r>
      <rPr>
        <b/>
        <sz val="8"/>
        <color theme="1"/>
        <rFont val="Arial"/>
        <family val="2"/>
      </rPr>
      <t>20 de junio de 2016</t>
    </r>
    <r>
      <rPr>
        <sz val="8"/>
        <color theme="1"/>
        <rFont val="Arial"/>
        <family val="2"/>
      </rPr>
      <t xml:space="preserve">. Se han formulado los siguientes procedimientos definidos en la norma NTD-SIG-2011: 
a. Reporte e investigación de accidentes laborales: Se encuentra descrito en el manual "Subsistema de Gestión de la Salud y Seguridad en el Trabajo, en el capítulo 11.3. PROGRAMA DE HIGIENE Y SEGURIDAD INDUSTRIAL, ítem 11.3. PROGRAMA DE HIGIENE Y SEGURIDAD INDUSTRIAL. Validar el manual en la ruta:\\serv-cv11\calidad\12. PROCESO GESTIÓN HUMANA\MANUALES\208-SADM-Mn-07 SUBSISTEMA GESTIÓN SST
b. Construcción y actualización del normograma: Se encuentra descrito en el documento Control Documental con Código: 208-PLA-Pr-15, capítulo III. Elaboración de la normatividad vigente y IV. Actualización de la normatividad vigente
c. Monitoreo del uso de los medios de procesamiento de información se encuentra presentado en el procedimiento: PROCEDIMIENTO VERIFICACIÓN DE INTEGRIDAD DE DATOS EN SISTEMAS DE INFORMACIÓN código 208-DGC-Pr-08 Versión 1 del 05-11-2015. (Revisar en auditoria de Administración de Sistemas de Información). y el instructivo 208-DGC-In-03 INSTRUCTIVO MEDIDAS TECNOLÓGICAS Y ADMINISTRATIVAS DE PROTECCIÓN DE DATOS. (Revisar en auditoria de Administración de Sistemas de Información) 
Se modificó fecha de cierre del 31 de diciembre de 2015 al 31 de diciembre de 2016 para la elaboración de los procedimientos protección del intercambio de información y monitoreo del uso de los medios de procesamiento de información.
12-08-2015 Seguimiento del proceso
El reporte de accidentes de trabajo: Para este reporte no se va a realizar procedimiento, esta actividad se va a dejar inmersa dentro del manual de SST.
La investigación de accidentes laborales.  Para este reporte no se va a realizar procedimiento, esta actividad se va a dejar inmersa dentro del manual de SST.
La construcción y actualización del Normograma: Esta actividad quedo inmersa dentro del procedimiento Control Documental.
El monitoreo del uso de los medios de procesamiento de información. Esta actividad va a quedar inmersa dentro de los nuevos  procedimientos del proceso de administración de la información.
La Planificación Operativa esta descrita en las siguientes herramientas: Caracterización del proceso, caracterización del producto y/o servicio, la matriz de trámites y servicios y en la matriz de servicios del proceso de administración de la información.
</t>
    </r>
  </si>
  <si>
    <r>
      <rPr>
        <b/>
        <sz val="8"/>
        <color theme="1"/>
        <rFont val="Arial"/>
        <family val="2"/>
      </rPr>
      <t>20 de junio de 2016.</t>
    </r>
    <r>
      <rPr>
        <sz val="8"/>
        <color theme="1"/>
        <rFont val="Arial"/>
        <family val="2"/>
      </rPr>
      <t xml:space="preserve"> En la actualidad se usan logos correspondientes a la nueva administración distrital. Sin embargo el hallazgo se enmarca en asegurar que sea utilizado el logo en los procedimientos y documentos que indique: "Caja de la Vivienda Popular", presentado en la guía 208-COM-G-01 V1 del 29 de septiembre de 2014. A pesar de que deba actualizarse la guía, el logo de la entidad se mantiene como se ha indicado. 
En los procedimientos del último semestre del 2015 continua la utilización del logo que no corresponde al nombre oficial de la entidad.
Se modifica la fecha de cierre del 31 de diciembre de 2015 al 31 de diciembre de 2016, con el fin de aplicar y utilizar el logo dentro de los procedimiento y documentos de la entidad.12-08-2015
Se solicitó a la Oficina Asesora de Comunicaciones la actualización de la  Guía de Manejo de imagen CVP. (en esta revisión se incluyó todos los logos institucionales que actualmente esta manejando la entidad). 
Esta guía esta en proceso de ajuste por parte de la oficina asesora de comunicaciones.</t>
    </r>
  </si>
  <si>
    <r>
      <rPr>
        <b/>
        <sz val="8"/>
        <color theme="1"/>
        <rFont val="Arial"/>
        <family val="2"/>
      </rPr>
      <t>20 de junio de 2016</t>
    </r>
    <r>
      <rPr>
        <sz val="8"/>
        <color theme="1"/>
        <rFont val="Arial"/>
        <family val="2"/>
      </rPr>
      <t>.  Se construyó el plan de trabajo que asegure su completa implementación. Se lleva acabo seguimiento para su culminación.
12/08/2015. Se elaboró el cronograma para los productos mínimos de los  trece elementos de control, y se debe continuar con la elaboración del cronograma para los productos mínimos del eje transversal de Información y Comunicación. Por lo cual se determina un avance de 2/3 partes de la primera Actividad de formular el cronograma o plan de trabajo, la cual tiene un porcentaje ponderado de 25%.
Para la segunda actividad de seguimiento a la implementación la cual tiene una ponderación del 75%, ya se tiene un avance de 11 productos (componente talento humano) y cinco productos  (componente administración del riesgo) de los 64 productos mínimos requeridos.
=(2/3*0,25) + (36/64)*0,75 = 35%.
12/08/2015
Se elaboró el cronograma para los productos mínimos de los  trece elementos de control, y se debe continuar con la elaboración del cronograma para los productos mínimos del eje transversal de Información y Comunicación. Por lo cual se determina un avance de 2/3 partes de la primera Actividad de formular el cronograma o plan de trabajo, la cual tiene un porcentaje ponderado de 25%.
Para la segunda actividad de seguimiento a la implementación la cual tiene una ponderación del 75%, ya se tiene un avance de 11 productos (componente talento humano) y cinco productos  (componente administración del riesgo) de los 64 productos mínimos requeridos.
=(2/3*0,25) + (36/64)*0,75 = 35%.
27 de noviembre de 2015
Se elaboró el cronograma y se realiza seguimiento permanente con un consolidado semestral, dado que aún se requiere implementar algunos productos mínimos y que en cuadro de seguimiento se estima un porcentaje de implementación del 87%, se solicita a control interno ampliar la fecha a 31 de marzo de 2016.</t>
    </r>
  </si>
  <si>
    <t xml:space="preserve">No se reportan las herramientas de gestión en cumplimiento de los términos establecidos por la entidad.
Matriz de Riesgos,
- Plan de acción
- Reporte de producto y/o Servicio No conforme
- Reporte y control del Diseño y desarrollo
- Actualización del normograma
</t>
  </si>
  <si>
    <t>No se ha adelantado el registro de las actas del comité del Sistema Integrado de Gestión, para todos los comités reunidos en la vigencia 2016.</t>
  </si>
  <si>
    <t>El mapa de riesgos por procesos 2015 debe ser analizado para constatar que las acciones formuladas y ejecutadas aporten a efectos de mitigarlos, reducirlos o evitarlos y tomarlos como insumo en la construcción del mapa de riesgos de la vigencia 2016.</t>
  </si>
  <si>
    <t>No se ha elaborado la matriz de producto y/o Servicio No conforme</t>
  </si>
  <si>
    <r>
      <rPr>
        <b/>
        <sz val="8"/>
        <rFont val="Arial"/>
        <family val="2"/>
      </rPr>
      <t>16 de junio de 2016.</t>
    </r>
    <r>
      <rPr>
        <sz val="8"/>
        <rFont val="Arial"/>
        <family val="2"/>
      </rPr>
      <t xml:space="preserve"> Se da cierre de este hallazgo, ya que no existe un procedimiento o lineamiento que establezca un parámetro de distribución equitativa de los procesos. </t>
    </r>
  </si>
  <si>
    <t>No formularon plan pero se realiza seguimiento en la auditoria cerrada e 30 de junio de 2016</t>
  </si>
  <si>
    <t>Se da cierre por considerar que no aplica el hallazgo</t>
  </si>
  <si>
    <t xml:space="preserve">16 de junio de 2016. Se da cierre ya que revisado el aplicativo SIPROJWEB se evidencia que en el proceso 2008-00132 el 25 agosto 2009 fue desvinculada la CVP. Ausente en el aplicativo el poder otorgado al abogado (estado del proceso terminado). Proceso 2012-00140, el 15 de enero de 2013 se da cumplimiento al fallo de tutela, los soportes de la actuación se pueden revisar en el aplicativo pero no obra el poder otorgado al abogado (estado del proceso terminado). Los otros tres números que se relacionan en el hallazgo no corresponden a procesos que se encuentren en el aplicativo (1-2011-11123, 1-2013-26409 y 1-2013-40151). </t>
  </si>
  <si>
    <t xml:space="preserve">Se da cierre ya que revisado el aplicativo SIPROJWEB se evidencia que en el proceso 2008-00132 el 25 agosto 2009 fue desvinculada la CVP. Ausente en el aplicativo el poder otorgado al abogado (estado del proceso terminado). Proceso 2012-00140, el 15 de enero de 2013 se da cumplimiento al fallo de tutela, los soportes de la actuación se pueden revisar en el aplicativo pero no obra el poder otorgado al abogado (estado del proceso terminado). Los otros tres números que se relacionan en el hallazgo no corresponden a procesos que se encuentren en el aplicativo (1-2011-11123, 1-2013-26409 y 1-2013-40151). </t>
  </si>
  <si>
    <r>
      <rPr>
        <b/>
        <sz val="9"/>
        <color theme="1"/>
        <rFont val="Arial"/>
        <family val="2"/>
      </rPr>
      <t>16 de junio de 2016.</t>
    </r>
    <r>
      <rPr>
        <sz val="9"/>
        <color theme="1"/>
        <rFont val="Arial"/>
        <family val="2"/>
      </rPr>
      <t xml:space="preserve"> Se da cierre, puesto que la Dirección Jurídica presenta los soportes de trasferencia al archivo de gestión central de la entidad. Soportes firmados por la persona encargada de la época. 
12-01-2016
Se hizo entrega de las cajas de los archivos muertos a gestión documental, área encargada de hacer la intervención en calidad de apoyo a la Dirección Jurídica; actividad que está en proceso. Una vez terminada esta labor se procederá a formalizar la transferencia, de conformidad con el cronograma de la vigencia 2016, aprobado por el Comité Interno de Archivo de la entidad. Por lo anterior, esta acción continúa abierta.</t>
    </r>
  </si>
  <si>
    <r>
      <t xml:space="preserve">16 de junio de 2016. </t>
    </r>
    <r>
      <rPr>
        <sz val="8"/>
        <color theme="1"/>
        <rFont val="Arial"/>
        <family val="2"/>
      </rPr>
      <t>Se da cierre, puesto que</t>
    </r>
    <r>
      <rPr>
        <sz val="8"/>
        <color rgb="FF000000"/>
        <rFont val="Arial"/>
        <family val="2"/>
      </rPr>
      <t xml:space="preserve"> la Dirección Jurídica presenta los soportes de trasferencia al archivo de gestión central de la entidad. Soportes firmados por la persona encargada de la época.</t>
    </r>
    <r>
      <rPr>
        <b/>
        <sz val="8"/>
        <color rgb="FF000000"/>
        <rFont val="Arial"/>
        <family val="2"/>
      </rPr>
      <t xml:space="preserve"> </t>
    </r>
  </si>
  <si>
    <r>
      <rPr>
        <b/>
        <sz val="10"/>
        <color theme="1"/>
        <rFont val="Arial"/>
        <family val="2"/>
      </rPr>
      <t>16 de junio de 2016.</t>
    </r>
    <r>
      <rPr>
        <sz val="10"/>
        <color theme="1"/>
        <rFont val="Arial"/>
        <family val="2"/>
      </rPr>
      <t xml:space="preserve"> Se da cierre, se evidenció que el formato fue actualizado
12-01-2016
El formato 2018-DJ-Pr-06, no ha sido actualizado. Esta acción continúa abierta.</t>
    </r>
  </si>
  <si>
    <r>
      <rPr>
        <b/>
        <sz val="10"/>
        <color theme="1"/>
        <rFont val="Arial"/>
        <family val="2"/>
      </rPr>
      <t>16 de junio de 2016.</t>
    </r>
    <r>
      <rPr>
        <sz val="10"/>
        <color theme="1"/>
        <rFont val="Arial"/>
        <family val="2"/>
      </rPr>
      <t xml:space="preserve"> Se solicitaron al funcionario Leonardo Garnica, responsable del archivo, los soportes de la sensibilización a la que asistió pero estos no fueron allegados. Continúa abierta.
12-01-2016
Se asignó funcionario de planta encargado del archivo de jurídica. Esta acción establece la sensibilización al funcionario encargado, de lo cual no se presenta evidencia. Continúa abierta.</t>
    </r>
  </si>
  <si>
    <t>16 de junio de 2016. Se verifica que los expedientes que fueron transferidos al archivo de gestión central fueron digitalizados, los expedientes que se encuentran en la Dirección Jurídica están en proceso de digitalización. Continúa Abierta.
12-01-2016
Los documentos de los procesos judiciales son digitalizados y subidos en el SIPROJWEB. EL SIPROJWEB es una “herramienta de trabajo para la consulta, análisis y actualización de información judicial relacionada con Bogotá.”. La Entidad cuenta con el aplicativo Zaffiro, que permite entre otros aspectos, la digitalización de la totalidad de los tipos documentales susceptibles de archivo. Esta acción continúa abierta.</t>
  </si>
  <si>
    <r>
      <rPr>
        <b/>
        <sz val="8"/>
        <color theme="1"/>
        <rFont val="Arial"/>
        <family val="2"/>
      </rPr>
      <t>16 de junio de 2016.</t>
    </r>
    <r>
      <rPr>
        <sz val="8"/>
        <color theme="1"/>
        <rFont val="Arial"/>
        <family val="2"/>
      </rPr>
      <t xml:space="preserve"> Se solicitó al funcionario (Leonardo Garnica) responsable los soportes de la sensibilización a la que asistió pero no fueron allegados a Control Interno. Continúa Abierta.
12-01-2016
Acción cerrada en el Plan de Mejoramiento de la Contraloría. Sin embargo, en revisión del 06 de enero de 2016, se evidenció en presencia de la contratista Maryoris Esther Carrilllo Esmeral, que se siguen presentando procesos judiciales desactualizados en el SIPROJ, en especial en lo relacionado con los documentos en PDF. Por lo anterior, la acción continúa abierta. </t>
    </r>
  </si>
  <si>
    <t>Respecto a los informes que deben entregar los abogados de representación judicial al Director Jurídico, no se evidencia el cumplimiento de uno de ellos, tampoco que haya sido requerido por el supervisor del contrato para la entrega de los mismos. Así mismo no se está cumpliendo con los tiempos establecidos en el procedimiento 208-DJ-Pr-08 “Seguimiento a los procesos judiciales”, el cual determina que su periodicidad debe ser semanal.</t>
  </si>
  <si>
    <t>Respecto al plan de mejoramiento revisado en el ejercicio de esta auditoría a cuatro hallazgos no se habían formulado acciones, igualmente se hizo seguimiento dentro del ejercicio de la auditoría.</t>
  </si>
  <si>
    <t xml:space="preserve">24-06-2016 En la formulación del Plan de mejoramiento derivado de la auditoría de 2015, se solicita ampliación de la fecha de cierre para el 30 de octubre de 2016, para efectos de cumplir con la acción.
El procedimiento se construyó y está en proceso de revisión y firma.
20 de octubre de 2015
El procedimiento 208-COM-Pr-03 ADMINISTRACIÓN Y GESTIÓN DE CONTENIDOS EN WEB E INTRANET, Vr 2 formalizado a partir del 22 de septiembre de 2015, no cuenta con  el aparte de evaluación sobre la percepción de la WEB e Intranet.
Revisada la página web se encontró, en el link de servicio al ciudadano, sondeo de percepción portal web, el cual no se encuentra asociado a ningún procedimiento del proceso.
</t>
  </si>
  <si>
    <t>No se ha incluido en el normograma la Resolución 3564 del 31 de diciembre de 2015 expedida por el Ministerio de Tecnologías de la Información de las Comunicaciones. Los procedimientos 208-COM-Pr-03, 208-COM-Pr-04, 208-COM-Pr-05, 208-COM-Pr-06, 208-COM-Pr-07 y 208-COM-Pr-08 no se encuentran actualizados de conformidad con la norma citada.</t>
  </si>
  <si>
    <r>
      <rPr>
        <b/>
        <sz val="8"/>
        <color theme="1"/>
        <rFont val="Arial"/>
        <family val="2"/>
      </rPr>
      <t xml:space="preserve">14 de junio de 2016: </t>
    </r>
    <r>
      <rPr>
        <sz val="8"/>
        <color theme="1"/>
        <rFont val="Arial"/>
        <family val="2"/>
      </rPr>
      <t>Se evidenció la actualización del procedimiento desde el punto de vista de la nueva normatividad aplicable. Falta verificar el listado maestro de documentos contra el procedimiento, para garantizar la codificación de los registros.</t>
    </r>
  </si>
  <si>
    <r>
      <rPr>
        <b/>
        <sz val="9"/>
        <color theme="1"/>
        <rFont val="Arial"/>
        <family val="2"/>
      </rPr>
      <t>14 de junio de 2016:</t>
    </r>
    <r>
      <rPr>
        <sz val="9"/>
        <color theme="1"/>
        <rFont val="Arial"/>
        <family val="2"/>
      </rPr>
      <t>No se evidenció avance. Se presenta el inventario de activos de información de la Dirección Corporativa y CID sin ninguno de los componentes que tengan relación directa  proceso servicio al ciudadano.</t>
    </r>
  </si>
  <si>
    <r>
      <rPr>
        <b/>
        <sz val="10"/>
        <color theme="1"/>
        <rFont val="Arial"/>
        <family val="2"/>
      </rPr>
      <t xml:space="preserve">14 de junio de 2016: </t>
    </r>
    <r>
      <rPr>
        <sz val="10"/>
        <color theme="1"/>
        <rFont val="Arial"/>
        <family val="2"/>
      </rPr>
      <t>En la página WEB que se encuentran publicados, tanto el nombre del Defensor del Ciudadano como la Resolución 4142 de 2015.</t>
    </r>
  </si>
  <si>
    <r>
      <rPr>
        <b/>
        <sz val="10"/>
        <color theme="1"/>
        <rFont val="Arial"/>
        <family val="2"/>
      </rPr>
      <t>14 de junio de 2016:</t>
    </r>
    <r>
      <rPr>
        <sz val="10"/>
        <color theme="1"/>
        <rFont val="Arial"/>
        <family val="2"/>
      </rPr>
      <t xml:space="preserve"> Correo enviado a Ángela Díaz  con contrato 264 de 2016 asignándole la función, de verificación trimestral que la información del proceso al servicio al ciudadano, se encuentre actualizada y publicada.</t>
    </r>
  </si>
  <si>
    <r>
      <rPr>
        <b/>
        <sz val="8"/>
        <color theme="1"/>
        <rFont val="Arial"/>
        <family val="2"/>
      </rPr>
      <t>14 de junio de 2016:</t>
    </r>
    <r>
      <rPr>
        <sz val="8"/>
        <color theme="1"/>
        <rFont val="Arial"/>
        <family val="2"/>
      </rPr>
      <t xml:space="preserve"> En el desarrollo de esta auditoría se evidencia de nuevo que la pantalla no se encuentra en funcionamiento. La acción debe ser reformulada o reasignada.
Correo de respuesta para dar a conocer las comunicaciones al área de sistemas. Esta informa que se han “generado varias comunicaciones para dar solución a la problemática y se observa que la empresa no ha estado muy receptiva para apoyarnos y eso se ve reflejado en las demoras”
</t>
    </r>
  </si>
  <si>
    <r>
      <rPr>
        <b/>
        <sz val="8"/>
        <color theme="1"/>
        <rFont val="Arial"/>
        <family val="2"/>
      </rPr>
      <t xml:space="preserve">14 de junio de 2016: </t>
    </r>
    <r>
      <rPr>
        <sz val="8"/>
        <color theme="1"/>
        <rFont val="Arial"/>
        <family val="2"/>
      </rPr>
      <t>Se vuelve a evidenciar que la pantalla no se encuentra en funcionamiento.</t>
    </r>
  </si>
  <si>
    <r>
      <rPr>
        <b/>
        <sz val="10"/>
        <color theme="1"/>
        <rFont val="Arial"/>
        <family val="2"/>
      </rPr>
      <t>14 de junio de 2016</t>
    </r>
    <r>
      <rPr>
        <sz val="10"/>
        <color theme="1"/>
        <rFont val="Arial"/>
        <family val="2"/>
      </rPr>
      <t>: Se asignó a la contratista Silenia Neira Torres para el seguimiento y la formulación de los planes de mejoramiento del proceso servicio al ciudadano.</t>
    </r>
  </si>
  <si>
    <r>
      <rPr>
        <b/>
        <sz val="10"/>
        <color theme="1"/>
        <rFont val="Arial"/>
        <family val="2"/>
      </rPr>
      <t>14 de junio de 2016</t>
    </r>
    <r>
      <rPr>
        <sz val="10"/>
        <color theme="1"/>
        <rFont val="Arial"/>
        <family val="2"/>
      </rPr>
      <t>: Se asignó a la contratista Silenia Neira Torres para el seguimiento y la formulación de los planes de mejoramiento del proceso servicio al ciudadano. No se evidencia la formulación del indicador de cumplimiento.</t>
    </r>
  </si>
  <si>
    <r>
      <rPr>
        <b/>
        <sz val="10"/>
        <color theme="1"/>
        <rFont val="Arial"/>
        <family val="2"/>
      </rPr>
      <t>14 de junio de 2016:</t>
    </r>
    <r>
      <rPr>
        <sz val="10"/>
        <color theme="1"/>
        <rFont val="Arial"/>
        <family val="2"/>
      </rPr>
      <t xml:space="preserve"> El normograma se encuentra actualizado y publicado en la carpeta de calidad con fecha 6 de mayo de 2016.</t>
    </r>
  </si>
  <si>
    <r>
      <rPr>
        <b/>
        <sz val="10"/>
        <color theme="1"/>
        <rFont val="Arial"/>
        <family val="2"/>
      </rPr>
      <t>14 de junio de 2016:</t>
    </r>
    <r>
      <rPr>
        <sz val="10"/>
        <color theme="1"/>
        <rFont val="Arial"/>
        <family val="2"/>
      </rPr>
      <t xml:space="preserve"> El contrato 057 de 2016, suscrito con Gilda Miriam España Rodríguez, establece dentro de las obligaciones específicas, actualizar la documentación del proceso. Esta acción se adelantará durante toda la vigencia.</t>
    </r>
  </si>
  <si>
    <r>
      <rPr>
        <b/>
        <sz val="9"/>
        <color theme="1"/>
        <rFont val="Arial"/>
        <family val="2"/>
      </rPr>
      <t xml:space="preserve">14 de juniode 2016: </t>
    </r>
    <r>
      <rPr>
        <sz val="9"/>
        <color theme="1"/>
        <rFont val="Arial"/>
        <family val="2"/>
      </rPr>
      <t>El contrato 057 de 2016, suscrito con Gilda Miriam España Rodríguez, establece dentro de las obligaciones específicas, actualizar la documentación del proceso. Esta acción se adelantará durante toda la vigencia. Falta la formulación del indicador de cumplimiento.</t>
    </r>
  </si>
  <si>
    <t>Verificar las acciones del mapa de riesgos para formulación conforme al PDD Bogotá Mejor para todos</t>
  </si>
  <si>
    <t xml:space="preserve">Hacer seguimiento a las metas de las sub-actividades para identificar su cumplimiento </t>
  </si>
  <si>
    <t>Aprobar las acciones correctivas y preventivas identificadas</t>
  </si>
  <si>
    <t xml:space="preserve">Dirección de Urbanización y Titulación </t>
  </si>
  <si>
    <t xml:space="preserve">Revisar y actualizar a tiempo cada una de las herramientas de la direccion de Mejoramiento de Vivienda, con el fin de mantener y oficializar los resultados de las mediciones </t>
  </si>
  <si>
    <t>Director de Mejoramiento de Vivienda, Coordinadores DMV y Profesional de planeación de la DMV</t>
  </si>
  <si>
    <t>Realizar la revisión de las acciones propuestas en la matriz de riesgos, con el fin de definir si se continua con el seguimiento o si se requiere realizar un nuevo planteamiento</t>
  </si>
  <si>
    <t xml:space="preserve">Se debe revisar y ajustar el formato " 208-PLA-Ft-12" según la carpeta de calidad y  realizar la revision y ajuste a los ponderados  de las actividades y subactividades </t>
  </si>
  <si>
    <t> Ajustar la minuta contractual para los abogados, incluyendo la renuncia de los poderes en término prudencial posterior a la terminación del contrato de prestación de servicios</t>
  </si>
  <si>
    <r>
      <rPr>
        <b/>
        <sz val="10"/>
        <color theme="1"/>
        <rFont val="Arial"/>
        <family val="2"/>
      </rPr>
      <t>14 de octubre de 2016</t>
    </r>
    <r>
      <rPr>
        <sz val="10"/>
        <color theme="1"/>
        <rFont val="Arial"/>
        <family val="2"/>
      </rPr>
      <t xml:space="preserve">. Mediante memorando 2016IE5811, la Dirección Jurídica remite los soportes para subsanar este hallazgo y una vez verificada la información se da cierre. En cuanto a la modificación de la minuta contractual se hará a partir de la vigencia 2017, según lo informado por el contratista Gilberto Suarez                               </t>
    </r>
    <r>
      <rPr>
        <b/>
        <sz val="10"/>
        <color theme="1"/>
        <rFont val="Arial"/>
        <family val="2"/>
      </rPr>
      <t>16 de junio de 2016</t>
    </r>
    <r>
      <rPr>
        <sz val="10"/>
        <color theme="1"/>
        <rFont val="Arial"/>
        <family val="2"/>
      </rPr>
      <t>. La abogada Yamile Castiblanco manifiesta que el poder otorgado a los abogados aún cuando no tengan vínculo con la entidad continua vigente si no se ha radicado la renuncia a los mismos o si no son aceptadas por el juez. Art 69 CPC, lo mantiene el Art 76 CGP. (Riesgo operativo). GENERAR PLAN DE MEJORAMIENTO</t>
    </r>
  </si>
  <si>
    <t>Se da cierre por Monica Bustamante  en Auditoria de octubre 20 de 2016, comprobando el cumplimiento.</t>
  </si>
  <si>
    <t>Ajustar el procedimiento de Seguimiento a procesos judiciales para que, anexo al informe de procesos judiciales se allegue al reporte del histórico de actuaciones de cada proceso que genera el SIPROJ incluyendo el registro de PDF.</t>
  </si>
  <si>
    <t>Ajustar el procedimiento de seguimiento a procesos judiciales para generar el punto de control del manejo, cuidado y custodia del archivo de gestión de defensa judicial de acuerdo a la normatividad archivística vigente.</t>
  </si>
  <si>
    <r>
      <rPr>
        <b/>
        <sz val="9"/>
        <color theme="1"/>
        <rFont val="Arial"/>
        <family val="2"/>
      </rPr>
      <t xml:space="preserve"> 14 de octubre de 2016.  </t>
    </r>
    <r>
      <rPr>
        <sz val="9"/>
        <color theme="1"/>
        <rFont val="Arial"/>
        <family val="2"/>
      </rPr>
      <t>Se evidencia que no ha sido efectiva la acción planteada por el área. Se encuentra documentación suelta (documentos, expedientes, AZ) tanto en el área de archivo de procesos judiciales, como en el área de la secretaría. Continúa abierta. (se replantea la acción y la fecha de cumplimiento)</t>
    </r>
    <r>
      <rPr>
        <b/>
        <sz val="9"/>
        <color theme="1"/>
        <rFont val="Arial"/>
        <family val="2"/>
      </rPr>
      <t xml:space="preserve">                                                       16 de junio de 2016.  </t>
    </r>
    <r>
      <rPr>
        <sz val="9"/>
        <color theme="1"/>
        <rFont val="Arial"/>
        <family val="2"/>
      </rPr>
      <t>Dentro del ejercicio de la auditoría se evidencia que  no hay efectividad dentro de la acción planteada por el área. Continúa abierta.</t>
    </r>
    <r>
      <rPr>
        <b/>
        <sz val="9"/>
        <color theme="1"/>
        <rFont val="Arial"/>
        <family val="2"/>
      </rPr>
      <t xml:space="preserve">
30/01/2015 </t>
    </r>
    <r>
      <rPr>
        <sz val="9"/>
        <color theme="1"/>
        <rFont val="Arial"/>
        <family val="2"/>
      </rPr>
      <t xml:space="preserve">El 19/09/2014 con el código 208-DJ-Pr-08 se incorporo en calidad el procedimiento correspondiente al seguimiento de los procesos judiciales; la acción se cumplió </t>
    </r>
  </si>
  <si>
    <t>Ajustar el procedimiento audiencias de conciliación y pacto de cumplimiento, incluyendo el punto de control que realiza el Secretario Técnico del Comité de Conciliación, en lo que corresponde a las certificaciones bimensuales de la Dirección de Defensa Judicial</t>
  </si>
  <si>
    <r>
      <rPr>
        <b/>
        <sz val="8"/>
        <color theme="1"/>
        <rFont val="Arial"/>
        <family val="2"/>
      </rPr>
      <t>14 de octubre de 2016</t>
    </r>
    <r>
      <rPr>
        <sz val="8"/>
        <color theme="1"/>
        <rFont val="Arial"/>
        <family val="2"/>
      </rPr>
      <t xml:space="preserve">. La Dirección Jurídica remite el informe semestral  de gestión y el informe bimensual de indicadores con sus respectivos soportes. Sobre estos informes es necesario aclarar que si bien es cierto se cumple con los establecido en la Circular 024 de la Secretaría General, en el Manual de las Políticas del Daño Antijurídico y la Representación Judicial establecen otras fechas. Así mismo en el Decreto Reglamentario 1167 de 2016 modifica y suprime algunas disposiciones del Decreto Reglamentario 1069 de 2015, soporte legal del manual en mención. (se replanteo la acción y la fecha de cumplimiento)  Se cierra                                                                             </t>
    </r>
    <r>
      <rPr>
        <b/>
        <sz val="8"/>
        <color theme="1"/>
        <rFont val="Arial"/>
        <family val="2"/>
      </rPr>
      <t xml:space="preserve">  16 de junio de 2016. </t>
    </r>
    <r>
      <rPr>
        <sz val="8"/>
        <color theme="1"/>
        <rFont val="Arial"/>
        <family val="2"/>
      </rPr>
      <t>Revisado el PROCEDIMIENTO AUDIENCIAS DE CONCILIACIÓN Y DE PACTO DE CUMPLIMIENTO 208-DJ-Pr-05; se evidencia que no se  ha incluido el mencionado punto de control. Continúa abierta
12-01-2016
Se expidió constancia por parte del Secretario del Comité de Conciliación, de la no generación de reporte de indicadores.  Se anexa soporte. Esta acción estableció incluir en el procedimiento de la conciliación el punto de control vinculado a la expedición de la constancia bimestral de no generación del reporte de indicadores. Revisado el PROCEDIMIENTO AUDIENCIAS DE CONCILIACIÓN Y DE PACTO DE CUMPLIMIENTO 208-DJ-Pr-05; se evidencia que no se  ha incluido el mencionado punto de control. Continúa Abierta.</t>
    </r>
  </si>
  <si>
    <t xml:space="preserve">Se solicitará al proceso de Gestión Documental la capacitación y el apoyo para el levante, depuración y foliación de la documentacion de la Dirección jurídica </t>
  </si>
  <si>
    <r>
      <rPr>
        <b/>
        <sz val="10"/>
        <color theme="1"/>
        <rFont val="Arial"/>
        <family val="2"/>
      </rPr>
      <t>14 oct 2016.</t>
    </r>
    <r>
      <rPr>
        <sz val="10"/>
        <color theme="1"/>
        <rFont val="Arial"/>
        <family val="2"/>
      </rPr>
      <t xml:space="preserve"> Una vez revisados los soportes enviados por la Dirección Jurídica se evidencia que aún el aplicativo se encuentra desactualizado. Se mantiene el hallazgo.   (replantean la acción y la fecha de cumplimiento)                                          </t>
    </r>
    <r>
      <rPr>
        <b/>
        <sz val="10"/>
        <color theme="1"/>
        <rFont val="Arial"/>
        <family val="2"/>
      </rPr>
      <t>12-01-2016</t>
    </r>
    <r>
      <rPr>
        <sz val="10"/>
        <color theme="1"/>
        <rFont val="Arial"/>
        <family val="2"/>
      </rPr>
      <t xml:space="preserve">
Se organizó el archivo judicial supeditado a esta acción, en unidades de almacenamiento (carpetas) conforme a las normas archivísticas, y previamente se incluyó en el inventario de los procesos judiciales. Se anexan los soportes en archivo electrónico que incluye copia Pdf de 34 folios del Formato Único de Inventario Documental FUID 208-SADM-Ft-02 V3 (13/10/2011) diligenciados con la intervención de  Gestión Documental. Se solicita cierre.</t>
    </r>
  </si>
  <si>
    <t xml:space="preserve">Se da cierre por José Orjuela en seguimiento en enero de 2016, comprobando el cumplimiento       Se abre nuevamente por una observación realizada por la Contraloría </t>
  </si>
  <si>
    <t>Ajustar el procedimiento audiencias de conciliación y pacto de cumplimiento, incluyendo el punto de control que realiza el Secretario Técnico del Comité de Conciliación, en lo que corresponde a las certificaciones bimensuales de la Dirección de Defensa Judicial.</t>
  </si>
  <si>
    <r>
      <rPr>
        <b/>
        <sz val="10"/>
        <color theme="1"/>
        <rFont val="Arial"/>
        <family val="2"/>
      </rPr>
      <t>14 de octubre de 2016</t>
    </r>
    <r>
      <rPr>
        <sz val="10"/>
        <color theme="1"/>
        <rFont val="Arial"/>
        <family val="2"/>
      </rPr>
      <t xml:space="preserve">. La Dirección Jurídica remite el informe semestral  de gestión y el informe bimensual de indicadores con sus respectivos soportes. Sobre estos informes es necesario aclarar que si bien es cierto se cumple con los establecido en la Circular 024 de la Secretaría General, en el Manual de las Políticas del Daño Antijurídico y la Representación Judicial establecen otras fechas. Así mismo en el Decreto Reglamentario 1167 de 2016 modifica y suprime algunas disposiciones del Decreto Reglamentario 1069 de 2015, soporte legal del manual en mención. Se cierra                                                           </t>
    </r>
    <r>
      <rPr>
        <b/>
        <sz val="10"/>
        <color theme="1"/>
        <rFont val="Arial"/>
        <family val="2"/>
      </rPr>
      <t xml:space="preserve">12-01-2016  </t>
    </r>
    <r>
      <rPr>
        <sz val="10"/>
        <color theme="1"/>
        <rFont val="Arial"/>
        <family val="2"/>
      </rPr>
      <t>Se expidió constancia por parte del Secretario del Comité de Conciliación, de la no generación de reporte de indicadores.  Se anexa soporte. (Certificación suscrita el 08 de enero de 2016). Se solicita el cierre de esta acción.</t>
    </r>
  </si>
  <si>
    <t>Se da cierre por José Orjuela en seguimiento en enero de 2016, comprobando el cumplimiento, y los soportes se dejan en carpeta de soportes del plan de mejoramiento Se da cierre por Monica Bustamante  en Auditoria de octubre 20 de 2016, comprobando el cumplimiento.</t>
  </si>
  <si>
    <t xml:space="preserve">Realizar capacitación en políticas de la prevención del daño antijurídico con 1 capacitación semestral. </t>
  </si>
  <si>
    <r>
      <rPr>
        <b/>
        <sz val="10"/>
        <color theme="1"/>
        <rFont val="Arial"/>
        <family val="2"/>
      </rPr>
      <t>14 de octubre de 2016</t>
    </r>
    <r>
      <rPr>
        <sz val="10"/>
        <color theme="1"/>
        <rFont val="Arial"/>
        <family val="2"/>
      </rPr>
      <t xml:space="preserve">. La Dirección Jurídica imparte capacitación el 23 de septiembre de 2016 (soporte en la carpeta compartida de Control Interno) y da cumplimiento a la acción planteada. Para la próxima vigencia se recomienda verificar que se cumpla con la propuesta de impartir una capacitación semestral. Se da cierre.                            </t>
    </r>
    <r>
      <rPr>
        <b/>
        <sz val="10"/>
        <color theme="1"/>
        <rFont val="Arial"/>
        <family val="2"/>
      </rPr>
      <t>16 de junio de 2016</t>
    </r>
    <r>
      <rPr>
        <sz val="10"/>
        <color theme="1"/>
        <rFont val="Arial"/>
        <family val="2"/>
      </rPr>
      <t>. A la fecha de la auditoría, no se ha impartido ninguna capacitación en esta vigencia. Continúa abierta
12-01-2016
Se realizó solo una capacitación en la vigencia 2015.  Por lo tanto, esta acción continúa abierta.</t>
    </r>
  </si>
  <si>
    <r>
      <rPr>
        <b/>
        <sz val="10"/>
        <color theme="1"/>
        <rFont val="Arial"/>
        <family val="2"/>
      </rPr>
      <t xml:space="preserve">14 de octubre </t>
    </r>
    <r>
      <rPr>
        <sz val="10"/>
        <color theme="1"/>
        <rFont val="Arial"/>
        <family val="2"/>
      </rPr>
      <t xml:space="preserve">de 2016. El técnico operativo que en este momento se encuentra a cargo de esta actividad menciona que a la fecha no han convocado por parte de Gestión Documental la capacitación que está pendiente. Continúa abierta.                                                                         </t>
    </r>
    <r>
      <rPr>
        <b/>
        <sz val="10"/>
        <color theme="1"/>
        <rFont val="Arial"/>
        <family val="2"/>
      </rPr>
      <t>12-01-2016</t>
    </r>
    <r>
      <rPr>
        <sz val="10"/>
        <color theme="1"/>
        <rFont val="Arial"/>
        <family val="2"/>
      </rPr>
      <t xml:space="preserve">
Se organizó el archivo judicial supeditado a esta acción, en unidades de almacenamiento (carpetas) conforme a las normas archivísticas, y previamente se incluyó en el inventario de los procesos judiciales. Se anexan los soportes en archivo electrónico que incluye copia Pdf de 34 folios del Formato Único de Inventario Documental FUID 208-SADM-Ft-02 V3 (13/10/2011) diligenciados con la intervención de  Gestión Documental. Se solicita cierre.</t>
    </r>
  </si>
  <si>
    <t xml:space="preserve">Se solicitara al proceso de Gestión Documental la capacitación y el apoyo para el levante, depuración y foliación de la documentación de la dirección jurídica. Así mismo, se solicitará que por parte del personal encargado del proceso de Gestión Documental se intervenga el archivo de esta Dirección para adelantar la labor de digitalización de la documentación allí obrante. </t>
  </si>
  <si>
    <t xml:space="preserve">Para la firma del informe de actividades mensual, los abogados deberan certificar previamente que los procesos que correspondan al periodo de dicho informe estan debidamente actualizados en el SIPROJ, precisandose  que ello no podrá exiguirse en princiio respecto de aquellos procesos que se encuentran sufriendo tramirtes de recurso ordinario y extraordinarios ante las distintas corporaciones judiciales, toda vez que los mismos pueden permanecer largo tiempo ingresados al despacho, lo cual impide el acceso material al expediente, por un término que en la prática  resulta indeterminado atentiendo a la falta de perentoriedad para resolver los mismo.  </t>
  </si>
  <si>
    <r>
      <rPr>
        <b/>
        <sz val="8"/>
        <rFont val="Arial"/>
        <family val="2"/>
      </rPr>
      <t xml:space="preserve">14 de octubre de 2016. </t>
    </r>
    <r>
      <rPr>
        <sz val="8"/>
        <rFont val="Arial"/>
        <family val="2"/>
      </rPr>
      <t xml:space="preserve">Con memorando 2016IE5811, formulan plan de mejoramiento. Una vez revisados los soportes enviados por la Dirección Jurídica se evidencia que aún el aplicativo se encuentra desactualizado. Se mantiene abierta la acción. </t>
    </r>
    <r>
      <rPr>
        <b/>
        <sz val="8"/>
        <rFont val="Arial"/>
        <family val="2"/>
      </rPr>
      <t xml:space="preserve">   </t>
    </r>
    <r>
      <rPr>
        <sz val="8"/>
        <rFont val="Arial"/>
        <family val="2"/>
      </rPr>
      <t xml:space="preserve">(se replantea la acción y la fecha de cumplimiento)  </t>
    </r>
    <r>
      <rPr>
        <b/>
        <sz val="8"/>
        <rFont val="Arial"/>
        <family val="2"/>
      </rPr>
      <t xml:space="preserve">                                              16 de junio de 2016</t>
    </r>
    <r>
      <rPr>
        <sz val="8"/>
        <rFont val="Arial"/>
        <family val="2"/>
      </rPr>
      <t>. Una vez revisado el aplicativo se evidencia que subsiste esta situación. GENERAR PLAN DE MEJORAMIENTO</t>
    </r>
  </si>
  <si>
    <r>
      <rPr>
        <b/>
        <sz val="8"/>
        <color theme="1"/>
        <rFont val="Arial"/>
        <family val="2"/>
      </rPr>
      <t xml:space="preserve">14 oct 2016. </t>
    </r>
    <r>
      <rPr>
        <sz val="8"/>
        <color theme="1"/>
        <rFont val="Arial"/>
        <family val="2"/>
      </rPr>
      <t xml:space="preserve">Una vez revisados los soportes enviados por la Dirección Jurídica se evidencia que aún el aplicativo se encuentra desactualizado. Se mantiene el hallazgo.  (se replantea la acción y la fecha de cumplimiento)                                             </t>
    </r>
    <r>
      <rPr>
        <b/>
        <sz val="8"/>
        <color theme="1"/>
        <rFont val="Arial"/>
        <family val="2"/>
      </rPr>
      <t xml:space="preserve">16 de junio de 2016. </t>
    </r>
    <r>
      <rPr>
        <sz val="8"/>
        <color theme="1"/>
        <rFont val="Arial"/>
        <family val="2"/>
      </rPr>
      <t>La acción continúa y dentro del ejercicio de la auditoría se sigue evidenciando la falta de actualización en el aplicativo.</t>
    </r>
    <r>
      <rPr>
        <b/>
        <sz val="8"/>
        <color theme="1"/>
        <rFont val="Arial"/>
        <family val="2"/>
      </rPr>
      <t xml:space="preserve">
30-01-2015 </t>
    </r>
    <r>
      <rPr>
        <sz val="8"/>
        <color theme="1"/>
        <rFont val="Arial"/>
        <family val="2"/>
      </rPr>
      <t xml:space="preserve">De acuerdo a la última Auditoría realizada en el mes de Diciembre el sistema SIPROJWEB, se encuentra aún desactualizado.
</t>
    </r>
    <r>
      <rPr>
        <b/>
        <sz val="8"/>
        <color theme="1"/>
        <rFont val="Arial"/>
        <family val="2"/>
      </rPr>
      <t xml:space="preserve">13-06-2013 </t>
    </r>
    <r>
      <rPr>
        <sz val="8"/>
        <color theme="1"/>
        <rFont val="Arial"/>
        <family val="2"/>
      </rPr>
      <t>No se evidenciaron soportes que den cuenta de la actividad realizada por los contratistas para la fecha de corte. Y en los informes mensuales de los contratistas se observó que cada uno enuncia haber realizado la actualización en la pagina de SIPROJ, sin embargo lo hace de manera general y no detalla los procesos actualizados.
12-01-2016
La acción continúa abierta, por cuanto se siguen presentando procesos judiciales desactualizados en el SIPROJ, en especial en lo relacionado con los documentos en PDF.</t>
    </r>
  </si>
  <si>
    <r>
      <rPr>
        <b/>
        <sz val="10"/>
        <color theme="1"/>
        <rFont val="Arial"/>
        <family val="2"/>
      </rPr>
      <t>14 de octubre de 2016</t>
    </r>
    <r>
      <rPr>
        <sz val="10"/>
        <color theme="1"/>
        <rFont val="Arial"/>
        <family val="2"/>
      </rPr>
      <t xml:space="preserve">. No se está llevando a cabo la digitalización de los expedientes. Continúa abierta.                                                                      </t>
    </r>
    <r>
      <rPr>
        <b/>
        <sz val="10"/>
        <color theme="1"/>
        <rFont val="Arial"/>
        <family val="2"/>
      </rPr>
      <t>12-01-2016</t>
    </r>
    <r>
      <rPr>
        <sz val="10"/>
        <color theme="1"/>
        <rFont val="Arial"/>
        <family val="2"/>
      </rPr>
      <t xml:space="preserve"> Se remitió inventario del archivo a gestión documental, para que con su intervención se lleve a cabo la foliación y digitalización de los documentos.  Se anexan soportes. Se solicita el cierre de esta acción.</t>
    </r>
  </si>
  <si>
    <r>
      <rPr>
        <b/>
        <sz val="8"/>
        <color theme="1"/>
        <rFont val="Arial"/>
        <family val="2"/>
      </rPr>
      <t>14 de octubre de 2016.</t>
    </r>
    <r>
      <rPr>
        <sz val="8"/>
        <color theme="1"/>
        <rFont val="Arial"/>
        <family val="2"/>
      </rPr>
      <t xml:space="preserve"> Vía correo electrónico, la Dirección Jurídica remite el soporte del informe entregado por parte del técnico judicial. Con base en la actualización del procedimiento se procede al cierre.                                                      </t>
    </r>
    <r>
      <rPr>
        <b/>
        <sz val="8"/>
        <color theme="1"/>
        <rFont val="Arial"/>
        <family val="2"/>
      </rPr>
      <t>16 de junio de 2016</t>
    </r>
    <r>
      <rPr>
        <sz val="8"/>
        <color theme="1"/>
        <rFont val="Arial"/>
        <family val="2"/>
      </rPr>
      <t>. El funcionario a cargo del seguimiento informa que no está presentando al Director Jurídico el seguimiento de SIPROJ. Sin embargo entrega soportes de los correos que envía a los apoderados para informar sobre las inconsistencias que se presentan en el aplicativo. Así mismo una comunicación al abogado Juan Manuel Russy, para solicitarle mantener actualizado el sistema. Soportes en la carpeta compartida de Control Interno. Continúa Abierta</t>
    </r>
  </si>
  <si>
    <t>Ajustar el procedimiento de seguimiento a procesos judiciales para que anexo al informe de procesos judiciales se allegue el reporte del histórico de actuaciones de cada proceso que genera el SIPROJ incluyendo el registro de PDF y  puntos de control.</t>
  </si>
  <si>
    <r>
      <t xml:space="preserve">
</t>
    </r>
    <r>
      <rPr>
        <b/>
        <sz val="8"/>
        <color theme="1"/>
        <rFont val="Arial"/>
        <family val="2"/>
      </rPr>
      <t>14 de octubre de 2016.</t>
    </r>
    <r>
      <rPr>
        <sz val="8"/>
        <color theme="1"/>
        <rFont val="Arial"/>
        <family val="2"/>
      </rPr>
      <t xml:space="preserve"> Una vez revisados los soportes presentados por la Dirección Jurídica se evidencia que el aplicativo se encuentra desactualizado. Continúa abierta.
</t>
    </r>
    <r>
      <rPr>
        <b/>
        <sz val="8"/>
        <color theme="1"/>
        <rFont val="Arial"/>
        <family val="2"/>
      </rPr>
      <t>16 de junio de 2016</t>
    </r>
    <r>
      <rPr>
        <sz val="8"/>
        <color theme="1"/>
        <rFont val="Arial"/>
        <family val="2"/>
      </rPr>
      <t xml:space="preserve">. La abogada Yamile Castiblanco menciona que el punto de control para estos contratos está compuesto por: el manual de contratación, el informe mensual, el seguimiento al aplicativo SIPROJWEB. Teniendo en cuenta lo anterior se puede evidenciar que el aplicativo continúa desactualizado en varios de los procesos tomados como muestra selectiva para revisión. Así mismo, como se mencionó anteriormente, no obran informes del abogado Juan Manuel Russy. El seguimiento se hace en el aplicativo SIPROJ por parte del funcionario a cargo, pero no es una acción eficaz, ya que al parecer por parte de los abogados no hay interés en actualizarlo. En el caso del abogado Juan Manuel Russy tampoco en la presentación de informes. Resulta necesario que quien supervise estos contratos tenga en cuenta la exigencia de cumplimiento de las obligaciones generales y especiales de los contratos, así como de los procedimientos aprobados de la entidad para el debido cumplimiento. Si el área considera que es suficiente con las herramientas para la supervisión de contratos, es necesario hacer un análisis de causa y reformular la acción planteada. Continúa Abierta. En la revisión del </t>
    </r>
    <r>
      <rPr>
        <b/>
        <sz val="8"/>
        <color theme="1"/>
        <rFont val="Arial"/>
        <family val="2"/>
      </rPr>
      <t>6 de enero de 2016</t>
    </r>
    <r>
      <rPr>
        <sz val="8"/>
        <color theme="1"/>
        <rFont val="Arial"/>
        <family val="2"/>
      </rPr>
      <t xml:space="preserve"> se evidenció en presencia de la contratista que se siguen presentando procesos judiciales desactualizados en el SIPROJ, en especial en lo relacionado con los documentos en PDF</t>
    </r>
  </si>
  <si>
    <r>
      <rPr>
        <b/>
        <sz val="10"/>
        <color theme="1"/>
        <rFont val="Arial"/>
        <family val="2"/>
      </rPr>
      <t>14 de octubre de 2016.</t>
    </r>
    <r>
      <rPr>
        <sz val="10"/>
        <color theme="1"/>
        <rFont val="Arial"/>
        <family val="2"/>
      </rPr>
      <t xml:space="preserve"> No se ha cumplido con la acción propuesta. Continúa abierta                                                                  </t>
    </r>
    <r>
      <rPr>
        <b/>
        <sz val="10"/>
        <color theme="1"/>
        <rFont val="Arial"/>
        <family val="2"/>
      </rPr>
      <t>16 de junio de 2016</t>
    </r>
    <r>
      <rPr>
        <sz val="10"/>
        <color theme="1"/>
        <rFont val="Arial"/>
        <family val="2"/>
      </rPr>
      <t>. No se ha cumplido con la acción propuesta. Continúa abierta</t>
    </r>
  </si>
  <si>
    <r>
      <t xml:space="preserve">14 de octubre de 2016. </t>
    </r>
    <r>
      <rPr>
        <sz val="8"/>
        <color theme="1"/>
        <rFont val="Arial"/>
        <family val="2"/>
      </rPr>
      <t>En las carpetas de informes de los abogados no reposa el histórico de actuaciones (en PDF) de cada proceso, generado por el aplicativo SIPROJ. Continúa abierta.</t>
    </r>
  </si>
  <si>
    <r>
      <t>14 de octubre de 2016</t>
    </r>
    <r>
      <rPr>
        <sz val="8"/>
        <color theme="1"/>
        <rFont val="Arial"/>
        <family val="2"/>
      </rPr>
      <t>. Se remiten por parte la Dirección Jurídica los registros de reunión, soportes del seguimiento que se hace a los procesos. Se cierra.</t>
    </r>
  </si>
  <si>
    <t xml:space="preserve">Auditoria Interna </t>
  </si>
  <si>
    <t>Al verificar la muestra de procesos judiciales se evidencia que persiste el mismo hallazgo de años anteriores. Desde 2012 se presenta la misma inconsistencia en las auditorías como: información desactualizada en el aplicativo SIPROJWEB. Por lo tanto no es eficaz la supervisión en los  contratos de representación judicial.     Se aclara que no es necesario formular plan de mejoramiento para este hallazgo, sino verificar el análisis de causa y las acciones planteadas en el plan de mejoramiento actual de la Dirección Jurídica; así mismo reformular las fechas de cierre de las mismas ya que se encuentran vencidas.</t>
  </si>
  <si>
    <t>Respecto a los informes que deben entregar los abogados de representación judicial al Director Jurídico, se evidencia que no se está haciendo uso de la herramienta para tal fin, denominada 208-DJ-Ft-44 REPORTES DE PROCESOS JUDICIALES; de igual manera no se adjunta a estos el formato histórico de actuaciones, que genera el aplicativo SIRPOJWEB.</t>
  </si>
  <si>
    <t xml:space="preserve">Director Jurídico </t>
  </si>
  <si>
    <t xml:space="preserve">Se envio requerimiento a los abogados Alejandro Guayara y Juan Manuel Russi solicitandoles el diligenciamiento del formato 208-DJ-Ft-44 y  anexándoles copia física y digital del mismo para su conocimiento y ejecución. Igualmente, este documento hará parte de los anexos que se deben adjuntar al informe mensual de actividades, para su revisión y aprobación. Sin embargo la gestión adelantada es evaluada con relación a su eficacia y eficiencia, a través de la contratación de veracidad y oportunidad de la información contenida en el reporte mensual de procesos, entre el SIPROJ y la página web de la Rama Judicial. se tiene una base de 22 procesos que tienen fecha de otorgamiento de poder a los abogados que se encuentren vinculados actualmente a la CVP, posterior a la fecha de inicio del mismo, y a los caules les vamos a solicitar que actualicen el SIPROJ a partir del 1° de julio de 2016  </t>
  </si>
  <si>
    <t>Se envio requerimiento a los abogados Alejandro Guayara y Juan Manuel Russi solicitandoles el diligenciamiento del formato 208-DJ-Ft-44 y  anexándoles copia física y digital del mismo para su conocimiento y ejecución. Igualmente, este documento hará parte de los anexos que se deben adjuntar al informe mensual de actividades, para su revisión y aprobación.</t>
  </si>
  <si>
    <t>Durante la revisión de los planes de acción se evidencian acciones que a la fecha no registran avance de ejecución, así como acciones que no establecían meta pero presentan avance de ejecución. El resultado, planes con mínimo avance en su ejecución, sin determinar medición y análisis de la misma para formular y ejecutar acciones de mejora</t>
  </si>
  <si>
    <t xml:space="preserve">Verificado en el Formato Único de Seguimiento Sectorial FUSS la ejecución del  proyecto 691, programada para el periodo 2012 – 2016,  presenta un mínimo  avance del siete punto cero ochenta y cinco por ciento (7.085%) de acuerdo con el reporte fechado el 30 de mayo. Este proyecto no continuará para el segundo periodo.  Esta situación se presenta debido a la mínima planeación  en la elaboración del proyecto. 
Debido a esta mínima planeación en los proyectos la institución corre el riesgo de no cumplir con las metas establecidas
</t>
  </si>
  <si>
    <t>Al verificar la actualización del normograma se evidencia que la publicación en la página web institucional no presenta la última actualización. Esta situación se presenta debido a la falta de control y trazabilidad con el documento para verificar su publicación.</t>
  </si>
  <si>
    <t>A partir del mes Julio de 2016 con el nuevo Plan de Desarrollo se efectúa seguimiento  a las metas de entrega de 2 zonas de cesión y cierre de 3 proyectos constructivos y de urbanismo para vivienda VIP y a los nuevos indiciadores planeados.</t>
  </si>
  <si>
    <t>A partir del mes Julio de 2016 con el nuevo Plan de Desarrollo se efectua seguimiento a las metas de  la titulación de 1000 predios, entrega de 2 zonas de cesión y cierre de 3 proyectos constructivos y de urbanismo para vivienda VIP y a los nuevos indiciadores planeados.</t>
  </si>
  <si>
    <t>Mensualmente se efectuará seguimiento a la publicación por parte de Planeación</t>
  </si>
  <si>
    <t xml:space="preserve">Auditoria </t>
  </si>
  <si>
    <t>Analizar el procedimiento para observar la alternativa de ajustes al mismo, en los pasos que se realizan a través E-mail. Se realizan actas de reuniones, documentación que requiere firma de los que participan.</t>
  </si>
  <si>
    <t>Oficina Asesora de Comunicaciones</t>
  </si>
  <si>
    <t>Revisión, análisis y ajuste (eliminación o modificación) del procedimiento para evidenciar la vigencia y aplicabilidad de los documentos enlistados.</t>
  </si>
  <si>
    <t>Revisión y actualización TRD para el área de comunicaciones.</t>
  </si>
  <si>
    <t>Crear carpeta virtual que evidencia el proceso. Generar un soporte que incluya la relación de los archivos guaradados de manera virtual para tener evidencia.</t>
  </si>
  <si>
    <t>La OAC lideró junto con la Dirección Corportativa el seguimiento a la actualización del Esquema de Publicaciones CVP; Activos de Información y Guía de Transparencia Activa de la Procuraduría y cada numeral de la Resolución 3564 de 2015</t>
  </si>
  <si>
    <t>La OAC cumple con la normatividad del Decreto 103 de 2015, Art. 4, y la Resolución 3564 de 2015 MINTIC,  en el link TRANSPARENCIA se despliega el acceso a TRANSPARENCIA Y ACCESO A LA INFORMACIÓN PÚBLICA , con todos los contenidos norma.</t>
  </si>
  <si>
    <t xml:space="preserve">La OAC lidera la solicitud de información a las diferentes direcciones corresponsables de la producción de ésta infromación del Directorio, con base en la normatividad. </t>
  </si>
  <si>
    <t>Los directorios, perfiles y demás información que señala la norma, se encuentran actualizados a corte abril 2016</t>
  </si>
  <si>
    <t xml:space="preserve">Este hallazgo tiene como acción de mejoramiento el de enlazar a la página web de CVP el formulario de búsqueda avanzada  de SECOP </t>
  </si>
  <si>
    <t xml:space="preserve">Se cuenta como una ayuda adicional al proceso de búsqueda del usuario, el chat en línea del SECOP. Para noviembre se tendrán las pruebas del  tutorial dirigido a los usuarios </t>
  </si>
  <si>
    <t>De acuerdo con los contenidos del Tíulo V del Decreto 103 de 2015 y la Resolución 3564 de 2015 MINTIC, lo señalado allí se encuentra hoy, marzo de 2016  publicado y actualizado.</t>
  </si>
  <si>
    <t xml:space="preserve">La OAC lidera junto con la Dirección Corportativa el seguimiento a la actualización del Esquema de Publicaciones CVP; Activos de Información y Guía de Transparencia Activa de la Procuraduría y cada numeral de la Resolución 3564 de 2015. </t>
  </si>
  <si>
    <t>En el menú de TRANSPARENCIA Y ACCESO A LA INFORMACIÓN PÚBLICA, numeral 10, Instrumentos de Gestión de Información Pública, se encuentran los contenidos regulados por el  Artículo  52 (Informes de solicitudes de acceso a información) del Decreto 103 de 2015.</t>
  </si>
  <si>
    <t>La OAC lidera junto con la Dirección Corportativa el seguimiento a la actualización del Esquema de Publicaciones CVP; Activos de Información y Guía de Transparencia Activa de la Procuraduría y cada numeral de la Resolución 3564 de 2015.</t>
  </si>
  <si>
    <t>Gestión Documental/ Oficina asesora de Comuniaciones</t>
  </si>
  <si>
    <t xml:space="preserve">La Dirección Corporativa, la OAC y profesionales Web Master y Transparencia </t>
  </si>
  <si>
    <t>El Enlace de la Dirección de Mejoramiento de Barrios con la Oficina Asesora de Planeación, solicita la publicación en la carpeta de la Calidad y comprueba que este publicado.</t>
  </si>
  <si>
    <t>María Fernanda Narváez</t>
  </si>
  <si>
    <t>El Enlace de la Dirección de Mejoramiento de Barrios con la Oficina Asesora de Planeación, realiza la planificación de las herrramientas de seguimiento incluyendo todos los procesos vigentes.</t>
  </si>
  <si>
    <t>Remitir comunicación (correo o memorando) a los enlaces y líderes de los procesos informando cuales de los procedimientos se encuentran en el formato anterior, y solicitar su concepto acerca de la necesidad o no de actualizarlos.</t>
  </si>
  <si>
    <t>Profesional  Oficina Asesora de Planeación</t>
  </si>
  <si>
    <t>Realizar una jornada de socialización a los enlaces de cada proceso donde se expondrá el formato de procedimiento y el contenido de los capítulos -Condiciones Generales (Políticas de Operación) y -Puntos de Control.</t>
  </si>
  <si>
    <t>Una vez recibida la respuesta por parte de los procesos, actualizar los procedimientos en el nuevo formato.</t>
  </si>
  <si>
    <t>Gestionar que el comité Directivo se reuna para que se Analice, revise y ajuste el Plan Estratégico de la Entidad.</t>
  </si>
  <si>
    <t>Comité Directivo - Jefe Oficina Asesora de Planeación.</t>
  </si>
  <si>
    <t>Solicitar a la Secretaría Distrital de Hábitat el envió de la última versión oficial del formato FUSS, socializarlo con los enlaces de los proyectos y hacer seguimiento mensual a su diligenciamiento. Con el envió de la información se solicitará que nos sea informado cualquier cambio futuro en el formato.</t>
  </si>
  <si>
    <t>Realizar nuevas jornadas de socialización a los enlaces de las dependencias, en el manejo de las herramientas de gestión.
Matriz de Riesgos,
- Plan de acción
- Reporte de producto y/o Servicio No conforme
- Reporte y control del Diseño y desarrollo
- Actualización del normograma</t>
  </si>
  <si>
    <t>Gestionar ante el comité SIG una reunión para la revisión por la dirección para presente vigencia y por lo menos una reunión de revisión del Plán Estratégico de la Caja dentro del primer trimestre de 2017</t>
  </si>
  <si>
    <t xml:space="preserve">Actualización inmediata correspondiente y presentación a la OAP para la respectiva publicacion </t>
  </si>
  <si>
    <t>La OAC contrató un profesional encargado de mantener actualizados los documentos de control normativo.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</si>
</sst>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d/mm/yyyy;@"/>
    <numFmt numFmtId="165" formatCode="dd/mmm/yyyy"/>
    <numFmt numFmtId="166" formatCode="0.0%"/>
    <numFmt numFmtId="167" formatCode="_(* #,##0_);_(* \(#,##0\);_(* &quot;-&quot;??_);_(@_)"/>
    <numFmt numFmtId="168" formatCode="[$-C0A]dd\-mmm\-yy;@"/>
  </numFmts>
  <fonts count="39" x14ac:knownFonts="1">
    <font>
      <sz val="11"/>
      <color theme="1"/>
      <name val="Calibri"/>
      <family val="2"/>
      <scheme val="minor"/>
    </font>
    <font>
      <sz val="11"/>
      <color theme="1"/>
      <name val="Arial"/>
      <family val="2"/>
    </font>
    <font>
      <sz val="11"/>
      <color theme="1"/>
      <name val="Arial"/>
      <family val="2"/>
    </font>
    <font>
      <sz val="10"/>
      <color theme="1"/>
      <name val="Arial"/>
      <family val="2"/>
    </font>
    <font>
      <sz val="11"/>
      <color theme="1"/>
      <name val="Calibri"/>
      <family val="2"/>
      <scheme val="minor"/>
    </font>
    <font>
      <sz val="10"/>
      <color rgb="FF000000"/>
      <name val="Arial"/>
      <family val="2"/>
    </font>
    <font>
      <b/>
      <sz val="10"/>
      <color rgb="FF000000"/>
      <name val="Arial"/>
      <family val="2"/>
    </font>
    <font>
      <b/>
      <sz val="11"/>
      <color theme="1"/>
      <name val="Calibri"/>
      <family val="2"/>
      <scheme val="minor"/>
    </font>
    <font>
      <b/>
      <sz val="9"/>
      <color indexed="81"/>
      <name val="Tahoma"/>
      <family val="2"/>
    </font>
    <font>
      <sz val="9"/>
      <color indexed="81"/>
      <name val="Tahoma"/>
      <family val="2"/>
    </font>
    <font>
      <b/>
      <sz val="10"/>
      <color theme="1"/>
      <name val="Arial"/>
      <family val="2"/>
    </font>
    <font>
      <b/>
      <sz val="12"/>
      <color theme="1"/>
      <name val="Arial"/>
      <family val="2"/>
    </font>
    <font>
      <b/>
      <sz val="9"/>
      <color theme="1"/>
      <name val="Arial"/>
      <family val="2"/>
    </font>
    <font>
      <sz val="8"/>
      <color theme="1"/>
      <name val="Arial"/>
      <family val="2"/>
    </font>
    <font>
      <b/>
      <sz val="8"/>
      <color theme="1"/>
      <name val="Arial"/>
      <family val="2"/>
    </font>
    <font>
      <sz val="9"/>
      <color theme="1"/>
      <name val="Arial"/>
      <family val="2"/>
    </font>
    <font>
      <sz val="11"/>
      <color rgb="FF000000"/>
      <name val="Arial"/>
      <family val="2"/>
    </font>
    <font>
      <b/>
      <sz val="11"/>
      <color theme="1"/>
      <name val="Arial"/>
      <family val="2"/>
    </font>
    <font>
      <b/>
      <sz val="12"/>
      <color rgb="FF000000"/>
      <name val="Arial"/>
      <family val="2"/>
    </font>
    <font>
      <sz val="10"/>
      <name val="Arial"/>
      <family val="2"/>
    </font>
    <font>
      <sz val="8"/>
      <name val="Arial"/>
      <family val="2"/>
    </font>
    <font>
      <sz val="10"/>
      <color rgb="FF00B0F0"/>
      <name val="Arial"/>
      <family val="2"/>
    </font>
    <font>
      <sz val="9"/>
      <color rgb="FF000000"/>
      <name val="Arial"/>
      <family val="2"/>
    </font>
    <font>
      <b/>
      <sz val="18"/>
      <color theme="1"/>
      <name val="Arial"/>
      <family val="2"/>
    </font>
    <font>
      <b/>
      <sz val="9"/>
      <color rgb="FFFFCCCC"/>
      <name val="Arial"/>
      <family val="2"/>
    </font>
    <font>
      <sz val="10"/>
      <color rgb="FFFF0000"/>
      <name val="Arial"/>
      <family val="2"/>
    </font>
    <font>
      <sz val="11"/>
      <color rgb="FF000000"/>
      <name val="Calibri"/>
      <family val="2"/>
      <scheme val="minor"/>
    </font>
    <font>
      <sz val="8"/>
      <color rgb="FFFF0000"/>
      <name val="Arial"/>
      <family val="2"/>
    </font>
    <font>
      <sz val="9"/>
      <name val="Arial"/>
      <family val="2"/>
    </font>
    <font>
      <sz val="12"/>
      <name val="Arial"/>
      <family val="2"/>
    </font>
    <font>
      <b/>
      <sz val="14"/>
      <color theme="1"/>
      <name val="Arial"/>
      <family val="2"/>
    </font>
    <font>
      <sz val="11"/>
      <name val="Arial"/>
      <family val="2"/>
    </font>
    <font>
      <b/>
      <sz val="8"/>
      <name val="Arial"/>
      <family val="2"/>
    </font>
    <font>
      <b/>
      <sz val="11"/>
      <color rgb="FF000000"/>
      <name val="Arial"/>
      <family val="2"/>
    </font>
    <font>
      <b/>
      <sz val="16"/>
      <color theme="1"/>
      <name val="Arial"/>
      <family val="2"/>
    </font>
    <font>
      <b/>
      <sz val="11"/>
      <color rgb="FFFFCCCC"/>
      <name val="Arial"/>
      <family val="2"/>
    </font>
    <font>
      <b/>
      <sz val="10"/>
      <name val="Arial"/>
      <family val="2"/>
    </font>
    <font>
      <b/>
      <sz val="8"/>
      <color rgb="FF000000"/>
      <name val="Arial"/>
      <family val="2"/>
    </font>
    <font>
      <sz val="8"/>
      <color rgb="FF000000"/>
      <name val="Arial"/>
      <family val="2"/>
    </font>
  </fonts>
  <fills count="33">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
      <gradientFill degree="90">
        <stop position="0">
          <color theme="0"/>
        </stop>
        <stop position="0.5">
          <color theme="6" tint="0.80001220740379042"/>
        </stop>
        <stop position="1">
          <color theme="0"/>
        </stop>
      </gradientFill>
    </fill>
    <fill>
      <patternFill patternType="solid">
        <fgColor theme="4" tint="0.79998168889431442"/>
        <bgColor indexed="64"/>
      </patternFill>
    </fill>
    <fill>
      <gradientFill degree="90">
        <stop position="0">
          <color theme="0"/>
        </stop>
        <stop position="0.5">
          <color theme="9" tint="0.80001220740379042"/>
        </stop>
        <stop position="1">
          <color theme="0"/>
        </stop>
      </gradientFill>
    </fill>
    <fill>
      <patternFill patternType="solid">
        <fgColor rgb="FFFFC0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D8D8D8"/>
        <bgColor rgb="FF000000"/>
      </patternFill>
    </fill>
    <fill>
      <patternFill patternType="solid">
        <fgColor theme="0" tint="-4.9989318521683403E-2"/>
        <bgColor indexed="64"/>
      </patternFill>
    </fill>
    <fill>
      <gradientFill degree="90">
        <stop position="0">
          <color theme="0"/>
        </stop>
        <stop position="0.5">
          <color theme="5" tint="0.80001220740379042"/>
        </stop>
        <stop position="1">
          <color theme="0"/>
        </stop>
      </gradientFill>
    </fill>
    <fill>
      <gradientFill degree="90">
        <stop position="0">
          <color theme="0"/>
        </stop>
        <stop position="0.5">
          <color theme="4" tint="0.80001220740379042"/>
        </stop>
        <stop position="1">
          <color theme="0"/>
        </stop>
      </gradientFill>
    </fill>
    <fill>
      <patternFill patternType="solid">
        <fgColor theme="6" tint="0.39997558519241921"/>
        <bgColor indexed="64"/>
      </patternFill>
    </fill>
    <fill>
      <patternFill patternType="solid">
        <fgColor theme="9" tint="-0.499984740745262"/>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CD5B4"/>
        <bgColor rgb="FF000000"/>
      </patternFill>
    </fill>
    <fill>
      <patternFill patternType="solid">
        <fgColor rgb="FFFFFF00"/>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39997558519241921"/>
        <bgColor indexed="64"/>
      </patternFill>
    </fill>
    <fill>
      <gradientFill degree="45">
        <stop position="0">
          <color theme="0"/>
        </stop>
        <stop position="1">
          <color theme="4"/>
        </stop>
      </gradientFill>
    </fill>
    <fill>
      <gradientFill degree="135">
        <stop position="0">
          <color theme="0"/>
        </stop>
        <stop position="1">
          <color theme="5" tint="0.40000610370189521"/>
        </stop>
      </gradient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top style="medium">
        <color indexed="64"/>
      </top>
      <bottom style="double">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double">
        <color rgb="FF000000"/>
      </bottom>
      <diagonal/>
    </border>
    <border>
      <left style="thin">
        <color indexed="64"/>
      </left>
      <right/>
      <top style="double">
        <color indexed="64"/>
      </top>
      <bottom style="thin">
        <color indexed="64"/>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style="thin">
        <color indexed="64"/>
      </top>
      <bottom style="double">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s>
  <cellStyleXfs count="5">
    <xf numFmtId="0" fontId="0" fillId="0" borderId="0"/>
    <xf numFmtId="43" fontId="4" fillId="0" borderId="0" applyFont="0" applyFill="0" applyBorder="0" applyAlignment="0" applyProtection="0"/>
    <xf numFmtId="9" fontId="4" fillId="0" borderId="0" applyFont="0" applyFill="0" applyBorder="0" applyAlignment="0" applyProtection="0"/>
    <xf numFmtId="0" fontId="19" fillId="0" borderId="0"/>
    <xf numFmtId="0" fontId="4" fillId="0" borderId="0"/>
  </cellStyleXfs>
  <cellXfs count="531">
    <xf numFmtId="0" fontId="0" fillId="0" borderId="0" xfId="0"/>
    <xf numFmtId="0" fontId="0" fillId="0" borderId="0" xfId="0"/>
    <xf numFmtId="0" fontId="3" fillId="0" borderId="3" xfId="0" applyFont="1" applyBorder="1" applyAlignment="1">
      <alignment horizontal="center" vertical="center" wrapText="1"/>
    </xf>
    <xf numFmtId="0" fontId="3" fillId="0" borderId="1" xfId="0" applyFont="1" applyFill="1" applyBorder="1" applyAlignment="1">
      <alignment horizontal="center" vertical="center" wrapText="1"/>
    </xf>
    <xf numFmtId="0" fontId="7" fillId="8" borderId="0" xfId="0" applyFont="1" applyFill="1"/>
    <xf numFmtId="0" fontId="7" fillId="8" borderId="0" xfId="0" applyFont="1" applyFill="1" applyAlignment="1">
      <alignment horizontal="center" vertical="center"/>
    </xf>
    <xf numFmtId="0" fontId="0" fillId="4" borderId="0" xfId="0" applyFill="1"/>
    <xf numFmtId="0" fontId="0" fillId="0" borderId="0" xfId="0" applyAlignment="1">
      <alignment wrapText="1"/>
    </xf>
    <xf numFmtId="0" fontId="0" fillId="9" borderId="0" xfId="0" applyFill="1"/>
    <xf numFmtId="0" fontId="10" fillId="0" borderId="0" xfId="0" applyFont="1" applyAlignment="1">
      <alignment horizontal="left" vertical="center"/>
    </xf>
    <xf numFmtId="0" fontId="10" fillId="0" borderId="0" xfId="0" applyFont="1" applyBorder="1" applyAlignment="1">
      <alignment horizontal="right"/>
    </xf>
    <xf numFmtId="0" fontId="11" fillId="10" borderId="6" xfId="0" applyFont="1" applyFill="1" applyBorder="1" applyAlignment="1">
      <alignment vertical="center"/>
    </xf>
    <xf numFmtId="0" fontId="10" fillId="0" borderId="0" xfId="0" applyFont="1" applyFill="1" applyBorder="1" applyAlignment="1"/>
    <xf numFmtId="164" fontId="10" fillId="0" borderId="0" xfId="0" applyNumberFormat="1" applyFont="1" applyBorder="1" applyAlignment="1"/>
    <xf numFmtId="0" fontId="10" fillId="0" borderId="0" xfId="0" applyFont="1" applyBorder="1" applyAlignment="1">
      <alignment horizontal="center"/>
    </xf>
    <xf numFmtId="0" fontId="10" fillId="0" borderId="0" xfId="0" applyFont="1" applyBorder="1" applyAlignment="1">
      <alignment horizontal="center" vertical="center"/>
    </xf>
    <xf numFmtId="0" fontId="3" fillId="0" borderId="0" xfId="0" applyFont="1"/>
    <xf numFmtId="0" fontId="3" fillId="0" borderId="0" xfId="0" applyFont="1" applyAlignment="1">
      <alignment horizontal="center" vertical="center"/>
    </xf>
    <xf numFmtId="0" fontId="10" fillId="0" borderId="0" xfId="0" applyFont="1" applyBorder="1" applyAlignment="1"/>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xf>
    <xf numFmtId="0" fontId="12" fillId="3" borderId="8" xfId="0" applyFont="1" applyFill="1" applyBorder="1" applyAlignment="1">
      <alignment horizontal="center" vertical="center" wrapText="1"/>
    </xf>
    <xf numFmtId="164" fontId="10" fillId="3" borderId="8" xfId="0" applyNumberFormat="1" applyFont="1" applyFill="1" applyBorder="1" applyAlignment="1">
      <alignment horizontal="center" vertical="center" wrapText="1"/>
    </xf>
    <xf numFmtId="0" fontId="6" fillId="11" borderId="8"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pplyAlignment="1">
      <alignment horizontal="justify" vertical="center" wrapText="1"/>
    </xf>
    <xf numFmtId="0" fontId="3" fillId="0" borderId="3" xfId="0" applyFont="1" applyBorder="1" applyAlignment="1">
      <alignment wrapText="1"/>
    </xf>
    <xf numFmtId="0" fontId="15" fillId="0" borderId="3" xfId="0" applyFont="1" applyBorder="1" applyAlignment="1">
      <alignment horizontal="center" vertical="center" wrapText="1"/>
    </xf>
    <xf numFmtId="165" fontId="15" fillId="0" borderId="3" xfId="0" applyNumberFormat="1" applyFont="1" applyBorder="1" applyAlignment="1">
      <alignment horizontal="center" vertical="center"/>
    </xf>
    <xf numFmtId="0" fontId="16" fillId="0" borderId="3" xfId="0" applyFont="1" applyBorder="1"/>
    <xf numFmtId="0" fontId="13" fillId="0" borderId="3" xfId="0" applyFont="1" applyBorder="1" applyAlignment="1">
      <alignment horizontal="center" vertical="center"/>
    </xf>
    <xf numFmtId="0" fontId="3" fillId="0" borderId="1" xfId="0" applyFont="1" applyBorder="1" applyAlignment="1">
      <alignment horizontal="center" vertical="center"/>
    </xf>
    <xf numFmtId="2" fontId="3" fillId="3" borderId="3" xfId="0" applyNumberFormat="1" applyFont="1" applyFill="1" applyBorder="1"/>
    <xf numFmtId="0" fontId="3" fillId="2" borderId="3" xfId="0" applyFont="1" applyFill="1" applyBorder="1" applyAlignment="1">
      <alignment horizontal="justify" vertical="center" wrapText="1"/>
    </xf>
    <xf numFmtId="0" fontId="3" fillId="2" borderId="3" xfId="0" applyFont="1" applyFill="1" applyBorder="1" applyAlignment="1">
      <alignment wrapText="1"/>
    </xf>
    <xf numFmtId="0" fontId="3" fillId="2" borderId="3" xfId="0" applyFont="1" applyFill="1" applyBorder="1" applyAlignment="1">
      <alignment horizontal="center" vertical="center" wrapText="1"/>
    </xf>
    <xf numFmtId="0" fontId="10" fillId="2" borderId="0" xfId="0" applyFont="1" applyFill="1" applyAlignment="1">
      <alignment horizontal="left" vertical="center"/>
    </xf>
    <xf numFmtId="0" fontId="3" fillId="0" borderId="0" xfId="0" applyFont="1" applyAlignment="1"/>
    <xf numFmtId="164" fontId="3" fillId="0" borderId="0" xfId="0" applyNumberFormat="1" applyFont="1" applyAlignment="1"/>
    <xf numFmtId="0" fontId="3" fillId="0" borderId="0" xfId="0" applyFont="1" applyAlignment="1">
      <alignment horizontal="center"/>
    </xf>
    <xf numFmtId="0" fontId="3" fillId="0" borderId="0" xfId="0" applyFont="1" applyFill="1" applyAlignment="1">
      <alignment horizontal="left" vertical="center"/>
    </xf>
    <xf numFmtId="0" fontId="12" fillId="0" borderId="11" xfId="0" applyFont="1" applyBorder="1" applyAlignment="1">
      <alignment horizontal="center" vertical="center"/>
    </xf>
    <xf numFmtId="0" fontId="10" fillId="5" borderId="12" xfId="0" applyFont="1" applyFill="1" applyBorder="1" applyAlignment="1">
      <alignment horizontal="center" vertical="center" wrapText="1"/>
    </xf>
    <xf numFmtId="0" fontId="6" fillId="7" borderId="13" xfId="0" applyFont="1" applyFill="1" applyBorder="1" applyAlignment="1">
      <alignment horizontal="center" vertical="center"/>
    </xf>
    <xf numFmtId="0" fontId="10" fillId="0" borderId="7" xfId="0" applyFont="1" applyBorder="1" applyAlignment="1"/>
    <xf numFmtId="0" fontId="10" fillId="0" borderId="8" xfId="0" applyFont="1" applyBorder="1" applyAlignment="1">
      <alignment horizontal="center" vertical="center"/>
    </xf>
    <xf numFmtId="0" fontId="10" fillId="0" borderId="8" xfId="0" applyFont="1" applyBorder="1" applyAlignment="1">
      <alignment horizontal="center" vertical="center" wrapText="1"/>
    </xf>
    <xf numFmtId="0" fontId="10" fillId="5" borderId="8" xfId="0" applyFont="1" applyFill="1" applyBorder="1" applyAlignment="1">
      <alignment horizontal="center" vertical="center" wrapText="1"/>
    </xf>
    <xf numFmtId="0" fontId="6" fillId="7" borderId="9" xfId="0" applyFont="1" applyFill="1" applyBorder="1" applyAlignment="1">
      <alignment horizontal="center" vertical="center"/>
    </xf>
    <xf numFmtId="0" fontId="10" fillId="12" borderId="14" xfId="0" applyFont="1" applyFill="1" applyBorder="1" applyAlignment="1">
      <alignment horizontal="center" vertical="center"/>
    </xf>
    <xf numFmtId="0" fontId="11" fillId="0" borderId="0" xfId="0" applyFont="1" applyAlignment="1"/>
    <xf numFmtId="0" fontId="3" fillId="13" borderId="15" xfId="0" applyFont="1" applyFill="1" applyBorder="1" applyAlignment="1"/>
    <xf numFmtId="0" fontId="10" fillId="3" borderId="1" xfId="0" applyFont="1" applyFill="1" applyBorder="1" applyAlignment="1">
      <alignment horizontal="center" vertical="center"/>
    </xf>
    <xf numFmtId="0" fontId="3" fillId="0" borderId="16" xfId="0" applyFont="1" applyBorder="1" applyAlignment="1">
      <alignment horizontal="center" vertical="center"/>
    </xf>
    <xf numFmtId="0" fontId="3" fillId="13" borderId="17" xfId="0" applyFont="1" applyFill="1" applyBorder="1" applyAlignment="1"/>
    <xf numFmtId="0" fontId="10" fillId="0" borderId="18" xfId="0" applyFont="1" applyBorder="1" applyAlignment="1">
      <alignment horizontal="center" vertical="center"/>
    </xf>
    <xf numFmtId="0" fontId="3" fillId="0" borderId="3" xfId="0" applyFont="1" applyBorder="1" applyAlignment="1">
      <alignment horizontal="center"/>
    </xf>
    <xf numFmtId="0" fontId="3" fillId="0" borderId="19" xfId="0" applyFont="1" applyBorder="1" applyAlignment="1">
      <alignment horizontal="center" vertical="center"/>
    </xf>
    <xf numFmtId="0" fontId="3" fillId="12" borderId="20" xfId="0" applyFont="1" applyFill="1" applyBorder="1" applyAlignment="1">
      <alignment horizontal="center" vertical="center"/>
    </xf>
    <xf numFmtId="0" fontId="3" fillId="5" borderId="21" xfId="0" applyFont="1" applyFill="1" applyBorder="1" applyAlignment="1"/>
    <xf numFmtId="0" fontId="3" fillId="0" borderId="4" xfId="0" applyFont="1" applyBorder="1" applyAlignment="1">
      <alignment horizontal="center" vertical="center"/>
    </xf>
    <xf numFmtId="0" fontId="10" fillId="3" borderId="22" xfId="0" applyFont="1" applyFill="1" applyBorder="1" applyAlignment="1">
      <alignment horizontal="center" vertical="center"/>
    </xf>
    <xf numFmtId="0" fontId="3" fillId="0" borderId="23" xfId="0" applyFont="1" applyBorder="1" applyAlignment="1">
      <alignment horizontal="center" vertical="center"/>
    </xf>
    <xf numFmtId="0" fontId="3" fillId="5" borderId="24" xfId="0" applyFont="1" applyFill="1" applyBorder="1" applyAlignment="1"/>
    <xf numFmtId="0" fontId="10" fillId="0" borderId="25" xfId="0" applyFont="1" applyBorder="1" applyAlignment="1">
      <alignment horizontal="center" vertical="center"/>
    </xf>
    <xf numFmtId="0" fontId="3" fillId="0" borderId="26" xfId="0" applyFont="1" applyBorder="1" applyAlignment="1">
      <alignment horizont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12" borderId="28" xfId="0" applyFont="1" applyFill="1" applyBorder="1" applyAlignment="1">
      <alignment horizontal="center" vertical="center"/>
    </xf>
    <xf numFmtId="0" fontId="10" fillId="0" borderId="25" xfId="0" applyFont="1" applyBorder="1" applyAlignment="1">
      <alignment horizontal="right"/>
    </xf>
    <xf numFmtId="0" fontId="10" fillId="0" borderId="29" xfId="0" applyFont="1" applyBorder="1" applyAlignment="1">
      <alignment horizont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0" xfId="0" applyFont="1" applyFill="1" applyBorder="1" applyAlignment="1">
      <alignment horizontal="righ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xf>
    <xf numFmtId="0" fontId="10" fillId="3" borderId="33" xfId="0" applyFont="1" applyFill="1" applyBorder="1" applyAlignment="1">
      <alignment horizontal="center" vertical="center"/>
    </xf>
    <xf numFmtId="0" fontId="10" fillId="0" borderId="34" xfId="0" applyFont="1" applyFill="1" applyBorder="1" applyAlignment="1">
      <alignment horizontal="right" vertical="center" wrapText="1"/>
    </xf>
    <xf numFmtId="0" fontId="10" fillId="3" borderId="6" xfId="0" applyFont="1" applyFill="1" applyBorder="1" applyAlignment="1">
      <alignment horizontal="center" vertical="center"/>
    </xf>
    <xf numFmtId="0" fontId="3" fillId="0" borderId="0" xfId="0" applyFont="1" applyFill="1" applyBorder="1" applyAlignment="1">
      <alignment horizontal="center" vertical="center"/>
    </xf>
    <xf numFmtId="0" fontId="10" fillId="14" borderId="35" xfId="0" applyFont="1" applyFill="1" applyBorder="1" applyAlignment="1">
      <alignment horizontal="center" vertical="center"/>
    </xf>
    <xf numFmtId="164" fontId="3" fillId="0" borderId="0" xfId="0" applyNumberFormat="1" applyFont="1" applyFill="1" applyBorder="1" applyAlignment="1"/>
    <xf numFmtId="0" fontId="5" fillId="0" borderId="0" xfId="0" applyFont="1" applyFill="1" applyBorder="1"/>
    <xf numFmtId="0" fontId="3" fillId="0" borderId="0" xfId="0" applyFont="1" applyFill="1" applyBorder="1"/>
    <xf numFmtId="0" fontId="12" fillId="14" borderId="36" xfId="0" applyFont="1" applyFill="1" applyBorder="1" applyAlignment="1">
      <alignment horizontal="center" vertical="center"/>
    </xf>
    <xf numFmtId="0" fontId="10" fillId="5" borderId="37" xfId="0" applyFont="1" applyFill="1" applyBorder="1" applyAlignment="1">
      <alignment horizontal="center" vertical="center" wrapText="1"/>
    </xf>
    <xf numFmtId="0" fontId="10" fillId="0" borderId="0" xfId="0" applyFont="1" applyAlignment="1">
      <alignment horizontal="right"/>
    </xf>
    <xf numFmtId="0" fontId="17" fillId="15" borderId="0" xfId="0" applyFont="1" applyFill="1" applyAlignment="1"/>
    <xf numFmtId="0" fontId="3" fillId="14" borderId="20" xfId="0" applyFont="1" applyFill="1" applyBorder="1"/>
    <xf numFmtId="0" fontId="3" fillId="0" borderId="38" xfId="0" applyFont="1" applyBorder="1" applyAlignment="1">
      <alignment horizontal="center" vertical="center"/>
    </xf>
    <xf numFmtId="0" fontId="3" fillId="14" borderId="40" xfId="0" applyFont="1" applyFill="1" applyBorder="1"/>
    <xf numFmtId="0" fontId="3" fillId="0" borderId="22" xfId="0" applyFont="1" applyBorder="1" applyAlignment="1">
      <alignment horizontal="center" vertical="center"/>
    </xf>
    <xf numFmtId="0" fontId="3" fillId="0" borderId="4" xfId="0" applyFont="1" applyBorder="1" applyAlignment="1">
      <alignment horizontal="center" vertical="center" wrapText="1"/>
    </xf>
    <xf numFmtId="0" fontId="13" fillId="13" borderId="21" xfId="0" applyFont="1" applyFill="1" applyBorder="1" applyAlignment="1">
      <alignment horizontal="center"/>
    </xf>
    <xf numFmtId="0" fontId="13" fillId="5" borderId="4" xfId="0" applyFont="1" applyFill="1" applyBorder="1" applyAlignment="1">
      <alignment horizontal="center"/>
    </xf>
    <xf numFmtId="0" fontId="10" fillId="3" borderId="4" xfId="0" applyFont="1" applyFill="1" applyBorder="1" applyAlignment="1">
      <alignment horizontal="center" vertical="center"/>
    </xf>
    <xf numFmtId="0" fontId="10" fillId="3" borderId="23" xfId="0" applyFont="1" applyFill="1" applyBorder="1" applyAlignment="1">
      <alignment horizontal="center" vertical="center"/>
    </xf>
    <xf numFmtId="0" fontId="3" fillId="0" borderId="25" xfId="0" applyFont="1" applyBorder="1" applyAlignment="1">
      <alignment horizontal="center" vertical="center"/>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0" fillId="0" borderId="18" xfId="0" applyBorder="1"/>
    <xf numFmtId="0" fontId="3" fillId="0" borderId="18" xfId="0" applyFont="1" applyBorder="1" applyAlignment="1">
      <alignment horizontal="center" vertical="center"/>
    </xf>
    <xf numFmtId="0" fontId="3" fillId="6" borderId="6" xfId="0" applyFont="1" applyFill="1" applyBorder="1" applyAlignment="1">
      <alignment horizontal="center" vertical="center"/>
    </xf>
    <xf numFmtId="0" fontId="0" fillId="0" borderId="15" xfId="0" applyBorder="1" applyAlignment="1">
      <alignment wrapText="1"/>
    </xf>
    <xf numFmtId="0" fontId="3" fillId="0" borderId="15" xfId="0" applyFont="1" applyBorder="1" applyAlignment="1">
      <alignment horizontal="center" vertical="center"/>
    </xf>
    <xf numFmtId="0" fontId="0" fillId="0" borderId="15" xfId="0" applyBorder="1"/>
    <xf numFmtId="0" fontId="10" fillId="7" borderId="35" xfId="0" applyFont="1" applyFill="1" applyBorder="1" applyAlignment="1">
      <alignment horizontal="center" vertical="center"/>
    </xf>
    <xf numFmtId="0" fontId="12" fillId="14" borderId="41" xfId="0" applyFont="1" applyFill="1" applyBorder="1" applyAlignment="1">
      <alignment horizontal="center" vertical="center"/>
    </xf>
    <xf numFmtId="0" fontId="10" fillId="5" borderId="7" xfId="0" applyFont="1" applyFill="1" applyBorder="1" applyAlignment="1">
      <alignment horizontal="center" vertical="center" wrapText="1"/>
    </xf>
    <xf numFmtId="0" fontId="3" fillId="14" borderId="42" xfId="0" applyFont="1" applyFill="1" applyBorder="1"/>
    <xf numFmtId="0" fontId="3" fillId="14" borderId="43" xfId="0" applyFont="1" applyFill="1" applyBorder="1"/>
    <xf numFmtId="0" fontId="3" fillId="0" borderId="21" xfId="0" applyFont="1" applyBorder="1" applyAlignment="1">
      <alignment horizontal="center" vertical="center"/>
    </xf>
    <xf numFmtId="0" fontId="3" fillId="0" borderId="44" xfId="0" applyFont="1" applyBorder="1" applyAlignment="1">
      <alignment horizontal="center" vertical="center"/>
    </xf>
    <xf numFmtId="0" fontId="3" fillId="6" borderId="33" xfId="0" applyFont="1" applyFill="1" applyBorder="1" applyAlignment="1">
      <alignment horizontal="center" vertical="center"/>
    </xf>
    <xf numFmtId="0" fontId="0" fillId="0" borderId="21" xfId="0" applyBorder="1"/>
    <xf numFmtId="0" fontId="11" fillId="0" borderId="0" xfId="0" applyFont="1" applyAlignment="1">
      <alignment horizontal="right"/>
    </xf>
    <xf numFmtId="0" fontId="3" fillId="3" borderId="31" xfId="0" applyNumberFormat="1" applyFont="1" applyFill="1" applyBorder="1" applyAlignment="1">
      <alignment horizontal="center" vertical="center"/>
    </xf>
    <xf numFmtId="0" fontId="3" fillId="3" borderId="6"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8" fillId="0" borderId="21" xfId="0" applyFont="1" applyBorder="1" applyAlignment="1">
      <alignment horizontal="center" vertical="center"/>
    </xf>
    <xf numFmtId="0" fontId="13" fillId="13" borderId="4" xfId="0" applyFont="1" applyFill="1" applyBorder="1" applyAlignment="1"/>
    <xf numFmtId="0" fontId="13" fillId="5" borderId="4" xfId="0" applyFont="1" applyFill="1" applyBorder="1" applyAlignment="1"/>
    <xf numFmtId="164" fontId="10" fillId="0" borderId="23" xfId="0" applyNumberFormat="1" applyFont="1" applyBorder="1" applyAlignment="1">
      <alignment horizontal="center" vertical="center"/>
    </xf>
    <xf numFmtId="166" fontId="3" fillId="0" borderId="19" xfId="2" applyNumberFormat="1" applyFont="1" applyBorder="1" applyAlignment="1">
      <alignment horizontal="center" vertical="center"/>
    </xf>
    <xf numFmtId="166" fontId="3" fillId="0" borderId="19" xfId="2" applyNumberFormat="1" applyFont="1" applyFill="1" applyBorder="1" applyAlignment="1">
      <alignment horizontal="center" vertical="center"/>
    </xf>
    <xf numFmtId="166" fontId="3" fillId="0" borderId="23" xfId="2" applyNumberFormat="1" applyFont="1" applyBorder="1" applyAlignment="1">
      <alignment horizontal="center" vertical="center"/>
    </xf>
    <xf numFmtId="0" fontId="3" fillId="0" borderId="45" xfId="0" applyFont="1" applyBorder="1" applyAlignment="1">
      <alignment horizontal="center" vertical="center"/>
    </xf>
    <xf numFmtId="0" fontId="3" fillId="0" borderId="46" xfId="2" applyNumberFormat="1" applyFont="1" applyBorder="1" applyAlignment="1">
      <alignment horizontal="center" vertical="center"/>
    </xf>
    <xf numFmtId="166" fontId="3" fillId="0" borderId="47" xfId="2" applyNumberFormat="1" applyFont="1" applyBorder="1" applyAlignment="1">
      <alignment horizontal="center" vertical="center"/>
    </xf>
    <xf numFmtId="0" fontId="3" fillId="0" borderId="45" xfId="0" applyFont="1" applyFill="1" applyBorder="1" applyAlignment="1">
      <alignment horizontal="center" vertical="center"/>
    </xf>
    <xf numFmtId="166" fontId="3" fillId="0" borderId="45" xfId="2"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Fill="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2" borderId="31" xfId="0" applyNumberFormat="1" applyFont="1" applyFill="1" applyBorder="1" applyAlignment="1">
      <alignment horizontal="center" vertical="center"/>
    </xf>
    <xf numFmtId="0" fontId="3" fillId="3" borderId="48" xfId="0" applyFont="1" applyFill="1" applyBorder="1" applyAlignment="1">
      <alignment horizontal="center" vertical="center"/>
    </xf>
    <xf numFmtId="0" fontId="3" fillId="0" borderId="17" xfId="0" applyFont="1" applyBorder="1" applyAlignment="1">
      <alignment horizontal="center" vertical="center"/>
    </xf>
    <xf numFmtId="0" fontId="10" fillId="2" borderId="8" xfId="0" applyFont="1" applyFill="1" applyBorder="1" applyAlignment="1">
      <alignment horizontal="center" vertical="center" wrapText="1"/>
    </xf>
    <xf numFmtId="0" fontId="10" fillId="3" borderId="32" xfId="0" applyFont="1" applyFill="1" applyBorder="1" applyAlignment="1">
      <alignment horizontal="center" vertical="center"/>
    </xf>
    <xf numFmtId="0" fontId="10" fillId="2" borderId="33" xfId="0" applyFont="1" applyFill="1" applyBorder="1" applyAlignment="1">
      <alignment horizontal="center" vertical="center"/>
    </xf>
    <xf numFmtId="0" fontId="3" fillId="0" borderId="20" xfId="0" applyFont="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20" fillId="17" borderId="1" xfId="0" applyFont="1" applyFill="1" applyBorder="1" applyAlignment="1">
      <alignment horizontal="center" vertical="center" wrapText="1"/>
    </xf>
    <xf numFmtId="165" fontId="15" fillId="0" borderId="51" xfId="0" applyNumberFormat="1" applyFont="1" applyBorder="1" applyAlignment="1">
      <alignment horizontal="center" vertical="center"/>
    </xf>
    <xf numFmtId="165" fontId="15" fillId="0" borderId="1" xfId="0" applyNumberFormat="1" applyFont="1" applyBorder="1" applyAlignment="1">
      <alignment horizontal="center" vertical="center"/>
    </xf>
    <xf numFmtId="0" fontId="12" fillId="4" borderId="55" xfId="0" applyFont="1" applyFill="1" applyBorder="1" applyAlignment="1">
      <alignment horizontal="center" vertical="center" wrapText="1"/>
    </xf>
    <xf numFmtId="0" fontId="13" fillId="13" borderId="22" xfId="0" applyFont="1" applyFill="1" applyBorder="1" applyAlignment="1">
      <alignment horizontal="center" vertical="center"/>
    </xf>
    <xf numFmtId="0" fontId="13" fillId="5" borderId="4" xfId="0" applyFont="1" applyFill="1" applyBorder="1" applyAlignment="1">
      <alignment horizontal="center" vertical="center"/>
    </xf>
    <xf numFmtId="0" fontId="3" fillId="0" borderId="33" xfId="0" applyNumberFormat="1" applyFont="1" applyBorder="1" applyAlignment="1">
      <alignment horizontal="center" vertical="center"/>
    </xf>
    <xf numFmtId="0" fontId="3" fillId="0" borderId="8" xfId="0" applyFont="1" applyBorder="1" applyAlignment="1">
      <alignment horizontal="center" vertical="center" wrapText="1"/>
    </xf>
    <xf numFmtId="0" fontId="12" fillId="3" borderId="59" xfId="0" applyFont="1" applyFill="1" applyBorder="1" applyAlignment="1">
      <alignment horizontal="center" vertical="center" wrapText="1"/>
    </xf>
    <xf numFmtId="0" fontId="3" fillId="19" borderId="3" xfId="0" applyFont="1" applyFill="1" applyBorder="1" applyAlignment="1">
      <alignment horizontal="center" vertical="center"/>
    </xf>
    <xf numFmtId="168" fontId="20" fillId="0" borderId="1" xfId="0" applyNumberFormat="1" applyFont="1" applyFill="1" applyBorder="1" applyAlignment="1">
      <alignment horizontal="center" vertical="center" wrapText="1"/>
    </xf>
    <xf numFmtId="0" fontId="12" fillId="0" borderId="60" xfId="0" applyFont="1" applyBorder="1" applyAlignment="1">
      <alignment horizontal="center" vertical="center"/>
    </xf>
    <xf numFmtId="14" fontId="15" fillId="0" borderId="3" xfId="0" applyNumberFormat="1" applyFont="1" applyBorder="1" applyAlignment="1">
      <alignment horizontal="center" vertical="center" wrapText="1"/>
    </xf>
    <xf numFmtId="0" fontId="20"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11" borderId="59" xfId="0" applyFont="1" applyFill="1" applyBorder="1" applyAlignment="1">
      <alignment horizontal="center" vertical="center" wrapText="1"/>
    </xf>
    <xf numFmtId="0" fontId="14" fillId="3" borderId="37" xfId="0" applyFont="1" applyFill="1" applyBorder="1" applyAlignment="1">
      <alignment horizontal="center" vertical="center" wrapText="1"/>
    </xf>
    <xf numFmtId="165" fontId="15" fillId="17" borderId="3" xfId="0" applyNumberFormat="1" applyFont="1" applyFill="1" applyBorder="1" applyAlignment="1">
      <alignment horizontal="center" vertical="center"/>
    </xf>
    <xf numFmtId="0" fontId="3" fillId="17" borderId="3" xfId="0" applyFont="1" applyFill="1" applyBorder="1" applyAlignment="1">
      <alignment horizontal="center" vertical="center"/>
    </xf>
    <xf numFmtId="168" fontId="20" fillId="17" borderId="1" xfId="0" applyNumberFormat="1" applyFont="1" applyFill="1" applyBorder="1" applyAlignment="1">
      <alignment horizontal="center" vertical="center" wrapText="1"/>
    </xf>
    <xf numFmtId="0" fontId="3" fillId="17" borderId="3"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24" fillId="20" borderId="0"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168" fontId="19" fillId="0" borderId="1" xfId="0" applyNumberFormat="1" applyFont="1" applyFill="1" applyBorder="1" applyAlignment="1">
      <alignment horizontal="center" vertical="center" wrapText="1"/>
    </xf>
    <xf numFmtId="165" fontId="15" fillId="0" borderId="3" xfId="0" applyNumberFormat="1" applyFont="1" applyFill="1" applyBorder="1" applyAlignment="1">
      <alignment horizontal="center" vertical="center"/>
    </xf>
    <xf numFmtId="0" fontId="26" fillId="0" borderId="0" xfId="0" applyFont="1"/>
    <xf numFmtId="0" fontId="26" fillId="0" borderId="0" xfId="0" applyFont="1" applyAlignment="1">
      <alignment wrapText="1"/>
    </xf>
    <xf numFmtId="0" fontId="13" fillId="0" borderId="1" xfId="0" applyFont="1" applyBorder="1" applyAlignment="1">
      <alignment horizontal="center" vertical="center"/>
    </xf>
    <xf numFmtId="0" fontId="3" fillId="0" borderId="3" xfId="0" applyFont="1" applyFill="1" applyBorder="1" applyAlignment="1">
      <alignment horizontal="center" vertical="center"/>
    </xf>
    <xf numFmtId="0" fontId="13" fillId="0" borderId="2" xfId="0" applyFont="1" applyFill="1" applyBorder="1" applyAlignment="1">
      <alignment horizontal="center" vertical="center" wrapText="1"/>
    </xf>
    <xf numFmtId="0" fontId="3" fillId="0" borderId="17" xfId="0" applyFont="1" applyFill="1" applyBorder="1" applyAlignment="1">
      <alignment horizontal="center" vertical="center"/>
    </xf>
    <xf numFmtId="2" fontId="3" fillId="0" borderId="3" xfId="0" applyNumberFormat="1" applyFont="1" applyFill="1" applyBorder="1" applyAlignment="1">
      <alignment horizontal="center" vertical="center" wrapText="1"/>
    </xf>
    <xf numFmtId="0" fontId="3" fillId="0" borderId="0" xfId="0" applyFont="1" applyFill="1"/>
    <xf numFmtId="0" fontId="3" fillId="3" borderId="25"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21" xfId="0" applyFont="1" applyBorder="1" applyAlignment="1">
      <alignment horizontal="center" vertical="center" wrapText="1"/>
    </xf>
    <xf numFmtId="0" fontId="10" fillId="3" borderId="25" xfId="0" applyFont="1" applyFill="1" applyBorder="1" applyAlignment="1">
      <alignment horizontal="center" vertical="center" wrapText="1"/>
    </xf>
    <xf numFmtId="0" fontId="10" fillId="0" borderId="14" xfId="0" applyFont="1" applyBorder="1" applyAlignment="1">
      <alignment horizontal="center" vertical="center" wrapText="1"/>
    </xf>
    <xf numFmtId="0" fontId="10" fillId="2" borderId="33" xfId="0" applyFont="1" applyFill="1" applyBorder="1" applyAlignment="1">
      <alignment horizontal="center" vertical="center" wrapText="1"/>
    </xf>
    <xf numFmtId="0" fontId="6" fillId="7" borderId="54" xfId="0" applyFont="1" applyFill="1" applyBorder="1" applyAlignment="1">
      <alignment horizontal="center" vertical="center"/>
    </xf>
    <xf numFmtId="0" fontId="3" fillId="0" borderId="62" xfId="0" applyFont="1" applyBorder="1" applyAlignment="1">
      <alignment horizontal="center" vertical="center"/>
    </xf>
    <xf numFmtId="0" fontId="3" fillId="0" borderId="66" xfId="0" applyFont="1" applyBorder="1" applyAlignment="1">
      <alignment horizontal="center" vertical="center"/>
    </xf>
    <xf numFmtId="0" fontId="3" fillId="3" borderId="67" xfId="0" applyFont="1" applyFill="1" applyBorder="1" applyAlignment="1">
      <alignment horizontal="center" vertical="center" wrapText="1"/>
    </xf>
    <xf numFmtId="0" fontId="10" fillId="5" borderId="39"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3" borderId="32" xfId="0" applyFont="1" applyFill="1" applyBorder="1" applyAlignment="1">
      <alignment horizontal="center" vertical="center" wrapText="1"/>
    </xf>
    <xf numFmtId="0" fontId="10" fillId="0" borderId="52" xfId="0" applyFont="1" applyBorder="1" applyAlignment="1">
      <alignment horizontal="center" vertical="center"/>
    </xf>
    <xf numFmtId="0" fontId="10" fillId="0" borderId="53" xfId="0" applyFont="1" applyBorder="1" applyAlignment="1">
      <alignment horizontal="center" vertical="center"/>
    </xf>
    <xf numFmtId="168" fontId="20" fillId="0" borderId="3" xfId="0"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0" fontId="3" fillId="22" borderId="0" xfId="0" applyFont="1" applyFill="1" applyAlignment="1">
      <alignment horizontal="center" vertical="center"/>
    </xf>
    <xf numFmtId="0" fontId="3" fillId="22" borderId="16" xfId="0" applyFont="1" applyFill="1" applyBorder="1" applyAlignment="1">
      <alignment horizontal="center" vertical="center"/>
    </xf>
    <xf numFmtId="14" fontId="19" fillId="0" borderId="3" xfId="0" applyNumberFormat="1" applyFont="1" applyFill="1" applyBorder="1" applyAlignment="1">
      <alignment horizontal="center" vertical="center" wrapText="1"/>
    </xf>
    <xf numFmtId="0" fontId="3" fillId="0" borderId="64" xfId="0" applyFont="1" applyFill="1" applyBorder="1" applyAlignment="1">
      <alignment horizontal="center" vertical="center"/>
    </xf>
    <xf numFmtId="2" fontId="3" fillId="3" borderId="1" xfId="0" applyNumberFormat="1" applyFont="1" applyFill="1" applyBorder="1" applyAlignment="1">
      <alignment horizontal="center" vertical="center" wrapText="1"/>
    </xf>
    <xf numFmtId="0" fontId="23" fillId="23" borderId="6" xfId="0" applyFont="1" applyFill="1" applyBorder="1" applyAlignment="1">
      <alignment horizontal="center" vertical="center"/>
    </xf>
    <xf numFmtId="0" fontId="15" fillId="0" borderId="21" xfId="0" applyFont="1" applyBorder="1" applyAlignment="1">
      <alignment horizontal="center" vertical="center" wrapText="1"/>
    </xf>
    <xf numFmtId="0" fontId="15" fillId="0" borderId="23" xfId="0" applyFont="1" applyBorder="1" applyAlignment="1">
      <alignment horizontal="center" vertical="center" wrapText="1"/>
    </xf>
    <xf numFmtId="0" fontId="3" fillId="21" borderId="4"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3" fillId="0" borderId="0" xfId="0" applyFont="1" applyBorder="1"/>
    <xf numFmtId="0" fontId="3" fillId="0" borderId="0" xfId="0" applyFont="1" applyBorder="1" applyAlignment="1">
      <alignment vertical="center"/>
    </xf>
    <xf numFmtId="0" fontId="3" fillId="0" borderId="20" xfId="0" applyFont="1" applyBorder="1" applyAlignment="1">
      <alignment horizontal="center" vertical="center" wrapText="1"/>
    </xf>
    <xf numFmtId="0" fontId="3" fillId="0" borderId="20"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36" xfId="0" applyFont="1" applyBorder="1" applyAlignment="1">
      <alignment horizontal="center" vertical="center" wrapText="1"/>
    </xf>
    <xf numFmtId="0" fontId="3" fillId="0" borderId="58" xfId="0" applyFont="1" applyBorder="1" applyAlignment="1">
      <alignment horizontal="center" vertical="center"/>
    </xf>
    <xf numFmtId="0" fontId="30" fillId="0" borderId="0" xfId="0" applyFont="1" applyAlignment="1">
      <alignment horizontal="right"/>
    </xf>
    <xf numFmtId="0" fontId="15" fillId="0" borderId="78" xfId="0" applyFont="1" applyBorder="1" applyAlignment="1">
      <alignment horizontal="center" vertical="center" wrapText="1"/>
    </xf>
    <xf numFmtId="0" fontId="3" fillId="19" borderId="3" xfId="0" applyFont="1" applyFill="1" applyBorder="1" applyAlignment="1">
      <alignment horizontal="center" vertical="center" wrapText="1"/>
    </xf>
    <xf numFmtId="0" fontId="3" fillId="18" borderId="3" xfId="0" applyFont="1" applyFill="1" applyBorder="1" applyAlignment="1">
      <alignment horizontal="center" vertical="center" wrapText="1"/>
    </xf>
    <xf numFmtId="0" fontId="15" fillId="13" borderId="74" xfId="0" applyFont="1" applyFill="1" applyBorder="1" applyAlignment="1">
      <alignment horizontal="center" vertical="center" wrapText="1"/>
    </xf>
    <xf numFmtId="0" fontId="15" fillId="5" borderId="66" xfId="0" applyFont="1" applyFill="1" applyBorder="1" applyAlignment="1">
      <alignment horizontal="center" vertical="center"/>
    </xf>
    <xf numFmtId="0" fontId="17" fillId="30" borderId="29" xfId="0" applyFont="1" applyFill="1" applyBorder="1" applyAlignment="1">
      <alignment horizontal="center" vertical="center"/>
    </xf>
    <xf numFmtId="0" fontId="15" fillId="0" borderId="74" xfId="0" applyFont="1" applyBorder="1" applyAlignment="1">
      <alignment horizontal="center" vertical="center" wrapText="1"/>
    </xf>
    <xf numFmtId="0" fontId="15" fillId="0" borderId="66" xfId="0" applyFont="1" applyBorder="1" applyAlignment="1">
      <alignment horizontal="center" vertical="center" wrapText="1"/>
    </xf>
    <xf numFmtId="0" fontId="10" fillId="31" borderId="74" xfId="0" applyFont="1" applyFill="1" applyBorder="1" applyAlignment="1">
      <alignment horizontal="center" vertical="center"/>
    </xf>
    <xf numFmtId="0" fontId="10" fillId="32" borderId="78" xfId="0" applyFont="1" applyFill="1" applyBorder="1" applyAlignment="1">
      <alignment horizontal="center" vertical="center"/>
    </xf>
    <xf numFmtId="0" fontId="17" fillId="29" borderId="85" xfId="0" applyFont="1" applyFill="1" applyBorder="1" applyAlignment="1">
      <alignment horizontal="center" vertical="center"/>
    </xf>
    <xf numFmtId="0" fontId="17" fillId="30" borderId="86" xfId="0" applyFont="1" applyFill="1" applyBorder="1" applyAlignment="1">
      <alignment horizontal="center" vertical="center"/>
    </xf>
    <xf numFmtId="0" fontId="17" fillId="29" borderId="86" xfId="0" applyFont="1" applyFill="1" applyBorder="1" applyAlignment="1">
      <alignment horizontal="center" vertical="center"/>
    </xf>
    <xf numFmtId="0" fontId="11" fillId="3" borderId="8"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17" fillId="29" borderId="48" xfId="0" applyFont="1" applyFill="1" applyBorder="1" applyAlignment="1">
      <alignment horizontal="center" vertical="center"/>
    </xf>
    <xf numFmtId="0" fontId="17" fillId="29" borderId="32" xfId="0" applyFont="1" applyFill="1" applyBorder="1" applyAlignment="1">
      <alignment horizontal="center" vertical="center"/>
    </xf>
    <xf numFmtId="0" fontId="3" fillId="9" borderId="74" xfId="0" applyFont="1" applyFill="1" applyBorder="1" applyAlignment="1">
      <alignment horizontal="center" vertical="center" wrapText="1"/>
    </xf>
    <xf numFmtId="0" fontId="2" fillId="0" borderId="0" xfId="0" applyFont="1"/>
    <xf numFmtId="0" fontId="2" fillId="6" borderId="71" xfId="0" applyFont="1" applyFill="1" applyBorder="1" applyAlignment="1">
      <alignment vertical="center" wrapText="1"/>
    </xf>
    <xf numFmtId="0" fontId="2" fillId="6" borderId="15" xfId="0" applyFont="1" applyFill="1" applyBorder="1" applyAlignment="1">
      <alignment vertical="center" wrapText="1"/>
    </xf>
    <xf numFmtId="0" fontId="2" fillId="9" borderId="15" xfId="0" applyFont="1" applyFill="1" applyBorder="1" applyAlignment="1">
      <alignment vertical="center" wrapText="1"/>
    </xf>
    <xf numFmtId="0" fontId="2" fillId="27" borderId="15" xfId="0" applyFont="1" applyFill="1" applyBorder="1" applyAlignment="1">
      <alignment vertical="center" wrapText="1"/>
    </xf>
    <xf numFmtId="0" fontId="2" fillId="28" borderId="44" xfId="0" applyFont="1" applyFill="1" applyBorder="1" applyAlignment="1">
      <alignment vertical="center" wrapText="1"/>
    </xf>
    <xf numFmtId="15" fontId="2" fillId="0" borderId="6" xfId="0" applyNumberFormat="1" applyFont="1" applyBorder="1"/>
    <xf numFmtId="9" fontId="2" fillId="0" borderId="1" xfId="2" applyFont="1" applyBorder="1" applyAlignment="1">
      <alignment horizontal="center" vertical="center"/>
    </xf>
    <xf numFmtId="0" fontId="12" fillId="22" borderId="4" xfId="0" applyFont="1" applyFill="1" applyBorder="1" applyAlignment="1">
      <alignment horizontal="center" vertical="center" wrapText="1"/>
    </xf>
    <xf numFmtId="9" fontId="17" fillId="4" borderId="3" xfId="2" applyFont="1" applyFill="1" applyBorder="1" applyAlignment="1">
      <alignment horizontal="center" vertical="center"/>
    </xf>
    <xf numFmtId="9" fontId="2" fillId="0" borderId="72" xfId="2" applyFont="1" applyBorder="1" applyAlignment="1">
      <alignment horizontal="center" vertical="center"/>
    </xf>
    <xf numFmtId="9" fontId="2" fillId="0" borderId="4" xfId="2" applyFont="1" applyBorder="1" applyAlignment="1">
      <alignment horizontal="center" vertical="center"/>
    </xf>
    <xf numFmtId="0" fontId="31" fillId="0" borderId="66" xfId="0" applyFont="1" applyBorder="1" applyAlignment="1">
      <alignment horizontal="center" vertical="center"/>
    </xf>
    <xf numFmtId="0" fontId="3" fillId="3" borderId="0" xfId="0" applyNumberFormat="1"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15" fillId="0" borderId="0" xfId="0" applyFont="1" applyBorder="1" applyAlignment="1">
      <alignment horizontal="center" vertical="center" wrapText="1"/>
    </xf>
    <xf numFmtId="0" fontId="15" fillId="0" borderId="36" xfId="0" applyFont="1" applyBorder="1" applyAlignment="1">
      <alignment horizontal="center" vertical="center" wrapText="1"/>
    </xf>
    <xf numFmtId="0" fontId="35" fillId="20" borderId="0"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wrapText="1"/>
    </xf>
    <xf numFmtId="0" fontId="1" fillId="0" borderId="3" xfId="0" applyFont="1" applyBorder="1" applyAlignment="1">
      <alignment horizontal="center" vertical="center"/>
    </xf>
    <xf numFmtId="0" fontId="1" fillId="0" borderId="47" xfId="0" applyFont="1" applyBorder="1" applyAlignment="1">
      <alignment horizontal="center" vertical="center"/>
    </xf>
    <xf numFmtId="0" fontId="1" fillId="0" borderId="22" xfId="0" applyFont="1" applyBorder="1" applyAlignment="1">
      <alignment horizontal="center" vertical="center" wrapText="1"/>
    </xf>
    <xf numFmtId="0" fontId="1" fillId="0" borderId="18" xfId="0" applyFont="1" applyBorder="1" applyAlignment="1">
      <alignment horizontal="center" vertical="center"/>
    </xf>
    <xf numFmtId="0" fontId="17" fillId="0" borderId="68" xfId="0" applyFont="1" applyBorder="1" applyAlignment="1">
      <alignment horizontal="center" vertical="center"/>
    </xf>
    <xf numFmtId="0" fontId="17" fillId="0" borderId="0" xfId="0" applyFont="1" applyBorder="1" applyAlignment="1">
      <alignment horizontal="center" vertical="center"/>
    </xf>
    <xf numFmtId="0" fontId="1" fillId="0" borderId="0" xfId="0" applyFont="1" applyAlignment="1">
      <alignment horizontal="center" vertical="center"/>
    </xf>
    <xf numFmtId="0" fontId="17" fillId="15" borderId="6" xfId="0" applyFont="1" applyFill="1" applyBorder="1" applyAlignment="1">
      <alignment horizontal="center" vertical="center"/>
    </xf>
    <xf numFmtId="0" fontId="1" fillId="0" borderId="70" xfId="0" applyFont="1" applyBorder="1" applyAlignment="1">
      <alignment horizontal="center" vertical="center"/>
    </xf>
    <xf numFmtId="0" fontId="3" fillId="0" borderId="70" xfId="0" applyFont="1" applyBorder="1" applyAlignment="1">
      <alignment horizontal="center" vertical="center"/>
    </xf>
    <xf numFmtId="0" fontId="33" fillId="26" borderId="33" xfId="0" applyFont="1" applyFill="1" applyBorder="1" applyAlignment="1">
      <alignment horizontal="center" vertical="center"/>
    </xf>
    <xf numFmtId="0" fontId="17" fillId="29" borderId="29" xfId="0" applyFont="1" applyFill="1" applyBorder="1" applyAlignment="1">
      <alignment horizontal="center" vertical="center"/>
    </xf>
    <xf numFmtId="0" fontId="17" fillId="29" borderId="68" xfId="0" applyFont="1" applyFill="1" applyBorder="1" applyAlignment="1">
      <alignment horizontal="center" vertical="center"/>
    </xf>
    <xf numFmtId="165" fontId="15" fillId="0" borderId="3" xfId="4" applyNumberFormat="1" applyFont="1" applyFill="1" applyBorder="1" applyAlignment="1">
      <alignment horizontal="center" vertical="center"/>
    </xf>
    <xf numFmtId="0" fontId="3" fillId="0" borderId="3" xfId="4" applyFont="1" applyBorder="1" applyAlignment="1">
      <alignment horizontal="center" vertical="center"/>
    </xf>
    <xf numFmtId="165" fontId="15" fillId="0" borderId="3" xfId="4" applyNumberFormat="1" applyFont="1" applyBorder="1" applyAlignment="1">
      <alignment horizontal="center" vertical="center"/>
    </xf>
    <xf numFmtId="0" fontId="3" fillId="0" borderId="3" xfId="4"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1" xfId="0" applyFont="1" applyBorder="1" applyAlignment="1">
      <alignment horizontal="center" vertical="center" wrapText="1"/>
    </xf>
    <xf numFmtId="0" fontId="1"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4" xfId="0" applyFont="1" applyBorder="1" applyAlignment="1">
      <alignment horizontal="center" vertical="center"/>
    </xf>
    <xf numFmtId="0" fontId="3" fillId="0" borderId="38" xfId="0" applyFont="1" applyBorder="1" applyAlignment="1">
      <alignment horizontal="center" vertical="center"/>
    </xf>
    <xf numFmtId="0" fontId="13" fillId="0" borderId="1" xfId="0" applyFont="1" applyBorder="1" applyAlignment="1">
      <alignment horizontal="center" vertical="center" wrapText="1"/>
    </xf>
    <xf numFmtId="0" fontId="13" fillId="0" borderId="3" xfId="0" applyFont="1" applyBorder="1" applyAlignment="1">
      <alignment horizontal="center" vertical="center"/>
    </xf>
    <xf numFmtId="2" fontId="3" fillId="3" borderId="3" xfId="0" applyNumberFormat="1" applyFont="1" applyFill="1" applyBorder="1" applyAlignment="1">
      <alignment horizontal="center" vertical="center" wrapText="1"/>
    </xf>
    <xf numFmtId="0" fontId="13" fillId="2" borderId="3"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1"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1" xfId="0" applyFont="1" applyBorder="1" applyAlignment="1">
      <alignment horizontal="center" vertical="center"/>
    </xf>
    <xf numFmtId="0" fontId="15" fillId="0" borderId="51" xfId="0" applyFont="1" applyBorder="1" applyAlignment="1">
      <alignment horizontal="center" vertical="center" wrapText="1"/>
    </xf>
    <xf numFmtId="2" fontId="3" fillId="3" borderId="2" xfId="0" applyNumberFormat="1" applyFont="1" applyFill="1" applyBorder="1" applyAlignment="1">
      <alignment horizontal="center" vertical="center"/>
    </xf>
    <xf numFmtId="2" fontId="3" fillId="3" borderId="3" xfId="0" applyNumberFormat="1" applyFont="1" applyFill="1" applyBorder="1" applyAlignment="1">
      <alignment horizontal="center" vertical="center"/>
    </xf>
    <xf numFmtId="0" fontId="1" fillId="2" borderId="3" xfId="0" applyFont="1" applyFill="1" applyBorder="1" applyAlignment="1">
      <alignment horizontal="center" vertical="center" wrapText="1"/>
    </xf>
    <xf numFmtId="0" fontId="19" fillId="0" borderId="61" xfId="0" applyFont="1" applyBorder="1" applyAlignment="1">
      <alignment horizontal="center" vertical="center"/>
    </xf>
    <xf numFmtId="0" fontId="31" fillId="0" borderId="75" xfId="0" applyFont="1" applyBorder="1" applyAlignment="1">
      <alignment horizontal="center" vertical="center"/>
    </xf>
    <xf numFmtId="0" fontId="31" fillId="0" borderId="72" xfId="0" applyFont="1" applyBorder="1" applyAlignment="1">
      <alignment horizontal="center" vertical="center"/>
    </xf>
    <xf numFmtId="0" fontId="31" fillId="0" borderId="81" xfId="0" applyFont="1" applyBorder="1" applyAlignment="1">
      <alignment horizontal="center" vertical="center"/>
    </xf>
    <xf numFmtId="0" fontId="31" fillId="0" borderId="82" xfId="0" applyFont="1" applyBorder="1" applyAlignment="1">
      <alignment horizontal="center" vertical="center"/>
    </xf>
    <xf numFmtId="0" fontId="31" fillId="0" borderId="83" xfId="0" applyFont="1" applyBorder="1" applyAlignment="1">
      <alignment horizontal="center" vertical="center"/>
    </xf>
    <xf numFmtId="0" fontId="31" fillId="0" borderId="61" xfId="0" applyFont="1" applyBorder="1" applyAlignment="1">
      <alignment horizontal="center" vertical="center"/>
    </xf>
    <xf numFmtId="0" fontId="31" fillId="0" borderId="3" xfId="0" applyFont="1" applyBorder="1" applyAlignment="1">
      <alignment horizontal="center" vertical="center"/>
    </xf>
    <xf numFmtId="0" fontId="31" fillId="0" borderId="1" xfId="0" applyFont="1" applyBorder="1" applyAlignment="1">
      <alignment horizontal="center" vertical="center"/>
    </xf>
    <xf numFmtId="0" fontId="31" fillId="0" borderId="16" xfId="0" applyFont="1" applyBorder="1" applyAlignment="1">
      <alignment horizontal="center" vertical="center"/>
    </xf>
    <xf numFmtId="0" fontId="31" fillId="0" borderId="76" xfId="0" applyFont="1" applyBorder="1" applyAlignment="1">
      <alignment horizontal="center" vertical="center"/>
    </xf>
    <xf numFmtId="0" fontId="31" fillId="0" borderId="62" xfId="0" applyFont="1" applyBorder="1" applyAlignment="1">
      <alignment horizontal="center" vertical="center"/>
    </xf>
    <xf numFmtId="0" fontId="19" fillId="0" borderId="66" xfId="0" applyFont="1" applyBorder="1" applyAlignment="1">
      <alignment horizontal="center" vertical="center"/>
    </xf>
    <xf numFmtId="0" fontId="31" fillId="0" borderId="74" xfId="0" applyFont="1" applyBorder="1" applyAlignment="1">
      <alignment horizontal="center" vertical="center"/>
    </xf>
    <xf numFmtId="0" fontId="31" fillId="0" borderId="4" xfId="0" applyFont="1" applyBorder="1" applyAlignment="1">
      <alignment horizontal="center" vertical="center"/>
    </xf>
    <xf numFmtId="0" fontId="31" fillId="0" borderId="84" xfId="0" applyFont="1" applyBorder="1" applyAlignment="1">
      <alignment horizontal="center" vertical="center"/>
    </xf>
    <xf numFmtId="0" fontId="31" fillId="0" borderId="23" xfId="0" applyFont="1" applyBorder="1" applyAlignment="1">
      <alignment horizontal="center" vertical="center"/>
    </xf>
    <xf numFmtId="0" fontId="10" fillId="0" borderId="0" xfId="0" applyFont="1" applyAlignment="1">
      <alignment horizontal="center" vertical="center"/>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31" fillId="0" borderId="3" xfId="0" applyFont="1" applyFill="1" applyBorder="1" applyAlignment="1">
      <alignment horizontal="center" vertical="center" wrapText="1"/>
    </xf>
    <xf numFmtId="164" fontId="3" fillId="0" borderId="1" xfId="0" applyNumberFormat="1" applyFont="1" applyBorder="1" applyAlignment="1">
      <alignment horizontal="center" vertical="center"/>
    </xf>
    <xf numFmtId="0" fontId="15" fillId="0" borderId="6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3" fillId="0" borderId="62" xfId="0" applyFont="1" applyBorder="1" applyAlignment="1">
      <alignment horizontal="center" vertical="center" wrapText="1"/>
    </xf>
    <xf numFmtId="0" fontId="19" fillId="17" borderId="1" xfId="0" applyFont="1" applyFill="1" applyBorder="1" applyAlignment="1" applyProtection="1">
      <alignment horizontal="center" vertical="center" wrapText="1"/>
      <protection locked="0"/>
    </xf>
    <xf numFmtId="2" fontId="3" fillId="0" borderId="3" xfId="0" applyNumberFormat="1" applyFont="1" applyFill="1" applyBorder="1" applyAlignment="1">
      <alignment horizontal="center" vertical="center"/>
    </xf>
    <xf numFmtId="0" fontId="10" fillId="2" borderId="0" xfId="0" applyFont="1" applyFill="1" applyAlignment="1">
      <alignment horizontal="center" vertical="center"/>
    </xf>
    <xf numFmtId="0" fontId="3" fillId="16" borderId="0" xfId="0" applyFont="1" applyFill="1" applyAlignment="1">
      <alignment horizontal="center" vertical="center"/>
    </xf>
    <xf numFmtId="0" fontId="15" fillId="0" borderId="33" xfId="0" applyFont="1" applyBorder="1" applyAlignment="1">
      <alignment horizontal="center" vertical="center" wrapText="1"/>
    </xf>
    <xf numFmtId="0" fontId="10" fillId="0" borderId="34" xfId="0" applyFont="1" applyFill="1" applyBorder="1" applyAlignment="1">
      <alignment horizontal="center" vertical="center" wrapText="1"/>
    </xf>
    <xf numFmtId="0" fontId="1" fillId="0" borderId="18" xfId="0" applyFont="1" applyBorder="1" applyAlignment="1">
      <alignment horizontal="center" vertical="center" wrapText="1"/>
    </xf>
    <xf numFmtId="0" fontId="16" fillId="0" borderId="15" xfId="0" applyFont="1" applyBorder="1" applyAlignment="1">
      <alignment horizontal="center" vertical="center" wrapText="1"/>
    </xf>
    <xf numFmtId="0" fontId="1" fillId="0" borderId="0" xfId="0" applyFont="1" applyFill="1" applyBorder="1" applyAlignment="1">
      <alignment horizontal="center" vertical="center" wrapText="1"/>
    </xf>
    <xf numFmtId="164" fontId="3" fillId="0" borderId="0" xfId="0" applyNumberFormat="1" applyFont="1" applyBorder="1" applyAlignment="1">
      <alignment horizontal="center" vertical="center"/>
    </xf>
    <xf numFmtId="0" fontId="16"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0" xfId="0" applyFont="1" applyBorder="1" applyAlignment="1">
      <alignment horizontal="center" vertical="center" wrapText="1"/>
    </xf>
    <xf numFmtId="164" fontId="10" fillId="0" borderId="0" xfId="0" applyNumberFormat="1" applyFont="1" applyBorder="1" applyAlignment="1">
      <alignment horizontal="center" vertical="center"/>
    </xf>
    <xf numFmtId="0" fontId="17" fillId="0" borderId="0" xfId="0" applyFont="1" applyFill="1" applyBorder="1" applyAlignment="1">
      <alignment horizontal="center" vertical="center"/>
    </xf>
    <xf numFmtId="15" fontId="11" fillId="10" borderId="6" xfId="0" applyNumberFormat="1" applyFont="1" applyFill="1" applyBorder="1" applyAlignment="1">
      <alignment horizontal="center" vertical="center"/>
    </xf>
    <xf numFmtId="0" fontId="3" fillId="0" borderId="0" xfId="0" applyFont="1" applyAlignment="1">
      <alignment vertical="center"/>
    </xf>
    <xf numFmtId="0" fontId="10" fillId="0" borderId="30" xfId="0" applyFont="1" applyBorder="1" applyAlignment="1">
      <alignment horizontal="center" vertical="center" wrapText="1"/>
    </xf>
    <xf numFmtId="0" fontId="3" fillId="0" borderId="61" xfId="0" applyFont="1" applyFill="1" applyBorder="1" applyAlignment="1">
      <alignment horizontal="center" vertical="center" wrapText="1"/>
    </xf>
    <xf numFmtId="0" fontId="3" fillId="17" borderId="61" xfId="0" applyFont="1" applyFill="1" applyBorder="1" applyAlignment="1">
      <alignment horizontal="center" vertical="center" wrapText="1"/>
    </xf>
    <xf numFmtId="0" fontId="19" fillId="0" borderId="3" xfId="0" applyFont="1" applyBorder="1" applyAlignment="1">
      <alignment horizontal="center" vertical="center" wrapText="1"/>
    </xf>
    <xf numFmtId="0" fontId="5" fillId="0" borderId="62" xfId="0" applyFont="1" applyBorder="1" applyAlignment="1">
      <alignment horizontal="center" vertical="center" wrapText="1"/>
    </xf>
    <xf numFmtId="0" fontId="3" fillId="0" borderId="61" xfId="0" applyFont="1" applyBorder="1" applyAlignment="1">
      <alignment horizontal="center" vertical="center" wrapText="1"/>
    </xf>
    <xf numFmtId="0" fontId="5" fillId="0" borderId="62"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 fillId="0" borderId="63" xfId="0" applyFont="1" applyBorder="1" applyAlignment="1">
      <alignment horizontal="center" vertical="center" wrapText="1"/>
    </xf>
    <xf numFmtId="0" fontId="19" fillId="0" borderId="3" xfId="4" applyFont="1" applyBorder="1" applyAlignment="1">
      <alignment horizontal="center" vertical="center" wrapText="1"/>
    </xf>
    <xf numFmtId="0" fontId="19" fillId="0" borderId="3" xfId="4" applyFont="1" applyFill="1" applyBorder="1" applyAlignment="1">
      <alignment horizontal="center" vertical="center" wrapText="1"/>
    </xf>
    <xf numFmtId="0" fontId="13" fillId="0" borderId="61" xfId="0" applyFont="1" applyFill="1" applyBorder="1" applyAlignment="1">
      <alignment horizontal="center" vertical="center" wrapText="1"/>
    </xf>
    <xf numFmtId="165" fontId="15" fillId="0" borderId="3" xfId="0" applyNumberFormat="1" applyFont="1" applyBorder="1" applyAlignment="1">
      <alignment horizontal="center" vertical="center" wrapText="1"/>
    </xf>
    <xf numFmtId="14" fontId="3" fillId="0" borderId="3" xfId="0" applyNumberFormat="1" applyFont="1" applyBorder="1" applyAlignment="1">
      <alignment horizontal="center" vertical="center" wrapText="1"/>
    </xf>
    <xf numFmtId="0" fontId="20" fillId="18" borderId="3" xfId="0" applyFont="1" applyFill="1" applyBorder="1" applyAlignment="1">
      <alignment horizontal="center" vertical="center" wrapText="1"/>
    </xf>
    <xf numFmtId="0" fontId="3" fillId="0" borderId="0" xfId="0" applyFont="1" applyFill="1" applyAlignment="1">
      <alignment vertical="center"/>
    </xf>
    <xf numFmtId="0" fontId="28" fillId="0" borderId="3" xfId="0" applyFont="1" applyFill="1" applyBorder="1" applyAlignment="1">
      <alignment horizontal="center" vertical="center" wrapText="1"/>
    </xf>
    <xf numFmtId="0" fontId="19" fillId="17" borderId="3" xfId="0" applyFont="1" applyFill="1" applyBorder="1" applyAlignment="1">
      <alignment horizontal="center" vertical="center" wrapText="1"/>
    </xf>
    <xf numFmtId="0" fontId="29" fillId="17" borderId="3" xfId="0" applyFont="1" applyFill="1" applyBorder="1" applyAlignment="1">
      <alignment horizontal="center" vertical="center" wrapText="1"/>
    </xf>
    <xf numFmtId="164" fontId="3" fillId="0" borderId="0" xfId="0" applyNumberFormat="1" applyFont="1" applyAlignment="1">
      <alignment horizontal="center" vertical="center"/>
    </xf>
    <xf numFmtId="0" fontId="3" fillId="0" borderId="0" xfId="0" applyFont="1" applyAlignment="1">
      <alignment horizontal="center" vertical="center" wrapText="1"/>
    </xf>
    <xf numFmtId="0" fontId="11" fillId="0" borderId="0" xfId="0" applyFont="1" applyAlignment="1">
      <alignment horizontal="center" vertical="center"/>
    </xf>
    <xf numFmtId="0" fontId="3" fillId="13" borderId="15" xfId="0" applyFont="1" applyFill="1" applyBorder="1" applyAlignment="1">
      <alignment horizontal="center" vertical="center"/>
    </xf>
    <xf numFmtId="0" fontId="3" fillId="13" borderId="28"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28" xfId="0" applyFont="1" applyFill="1" applyBorder="1" applyAlignment="1">
      <alignment horizontal="center" vertical="center"/>
    </xf>
    <xf numFmtId="164" fontId="3" fillId="0" borderId="0" xfId="0" applyNumberFormat="1" applyFont="1" applyFill="1" applyBorder="1" applyAlignment="1">
      <alignment horizontal="center" vertical="center"/>
    </xf>
    <xf numFmtId="0" fontId="14" fillId="0" borderId="0" xfId="0" applyFont="1" applyFill="1" applyBorder="1" applyAlignment="1">
      <alignment horizontal="center" vertical="center" wrapText="1"/>
    </xf>
    <xf numFmtId="0" fontId="3" fillId="0" borderId="0" xfId="0" applyFont="1" applyFill="1" applyBorder="1" applyAlignment="1">
      <alignment vertical="center"/>
    </xf>
    <xf numFmtId="0" fontId="1" fillId="0" borderId="15" xfId="0" applyFont="1" applyBorder="1" applyAlignment="1">
      <alignment horizontal="center" vertical="center" wrapText="1"/>
    </xf>
    <xf numFmtId="0" fontId="16" fillId="0" borderId="15" xfId="0" applyFont="1" applyBorder="1" applyAlignment="1">
      <alignment horizontal="center" vertical="center"/>
    </xf>
    <xf numFmtId="0" fontId="1" fillId="0" borderId="21" xfId="0" applyFont="1" applyBorder="1" applyAlignment="1">
      <alignment horizontal="center" vertical="center" wrapText="1"/>
    </xf>
    <xf numFmtId="164" fontId="3" fillId="0" borderId="69" xfId="0" applyNumberFormat="1" applyFont="1" applyBorder="1" applyAlignment="1">
      <alignment horizontal="center" vertical="center"/>
    </xf>
    <xf numFmtId="0" fontId="3" fillId="0" borderId="69" xfId="0" applyFont="1" applyBorder="1" applyAlignment="1">
      <alignment horizontal="center" vertical="center"/>
    </xf>
    <xf numFmtId="0" fontId="16" fillId="0" borderId="0" xfId="0" applyFont="1" applyFill="1" applyBorder="1" applyAlignment="1">
      <alignment horizontal="center" vertical="center"/>
    </xf>
    <xf numFmtId="0" fontId="11" fillId="0" borderId="33" xfId="0" applyFont="1" applyBorder="1" applyAlignment="1">
      <alignment horizontal="center" vertical="center"/>
    </xf>
    <xf numFmtId="167" fontId="3" fillId="0" borderId="0" xfId="1" applyNumberFormat="1" applyFont="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3" fillId="0" borderId="3" xfId="0" applyFont="1" applyBorder="1" applyAlignment="1">
      <alignment horizontal="center" vertical="center" wrapText="1"/>
    </xf>
    <xf numFmtId="0" fontId="13" fillId="0" borderId="1" xfId="0" applyFont="1" applyBorder="1" applyAlignment="1">
      <alignment horizontal="justify" vertical="center" wrapText="1"/>
    </xf>
    <xf numFmtId="0" fontId="1" fillId="0" borderId="3" xfId="0" applyFont="1" applyBorder="1" applyAlignment="1">
      <alignment horizontal="center" vertical="center" wrapText="1"/>
    </xf>
    <xf numFmtId="0" fontId="3"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3" fillId="0" borderId="3" xfId="0" applyFont="1" applyBorder="1" applyAlignment="1">
      <alignment horizontal="center" vertical="center"/>
    </xf>
    <xf numFmtId="2" fontId="3" fillId="3" borderId="3" xfId="0" applyNumberFormat="1" applyFont="1" applyFill="1" applyBorder="1" applyAlignment="1">
      <alignment horizontal="center" vertical="center"/>
    </xf>
    <xf numFmtId="2" fontId="3" fillId="3" borderId="3" xfId="0" applyNumberFormat="1" applyFont="1" applyFill="1" applyBorder="1" applyAlignment="1">
      <alignment horizontal="center" vertical="center" wrapText="1"/>
    </xf>
    <xf numFmtId="0" fontId="13" fillId="0" borderId="3" xfId="0" applyFont="1" applyBorder="1" applyAlignment="1">
      <alignment horizontal="center" vertical="center"/>
    </xf>
    <xf numFmtId="0" fontId="3" fillId="0" borderId="1" xfId="0" applyFont="1" applyBorder="1" applyAlignment="1">
      <alignment horizontal="center" vertical="center" wrapText="1"/>
    </xf>
    <xf numFmtId="0" fontId="1" fillId="0" borderId="3" xfId="0" applyFont="1" applyBorder="1" applyAlignment="1">
      <alignment horizontal="center" vertical="center" wrapText="1"/>
    </xf>
    <xf numFmtId="0" fontId="3"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3" fillId="0" borderId="3" xfId="0" applyFont="1" applyBorder="1" applyAlignment="1">
      <alignment horizontal="center" vertical="center"/>
    </xf>
    <xf numFmtId="0" fontId="13" fillId="0" borderId="5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8" xfId="0" applyFont="1" applyBorder="1" applyAlignment="1">
      <alignment horizontal="center" vertical="center"/>
    </xf>
    <xf numFmtId="0" fontId="13" fillId="0" borderId="1" xfId="0" applyFont="1" applyBorder="1" applyAlignment="1">
      <alignment horizontal="center" vertical="center" wrapText="1"/>
    </xf>
    <xf numFmtId="0" fontId="13" fillId="0" borderId="3" xfId="0" applyFont="1" applyBorder="1" applyAlignment="1">
      <alignment horizontal="center" vertical="center"/>
    </xf>
    <xf numFmtId="2" fontId="3" fillId="3" borderId="3" xfId="0" applyNumberFormat="1" applyFont="1" applyFill="1" applyBorder="1" applyAlignment="1">
      <alignment horizontal="center" vertical="center" wrapText="1"/>
    </xf>
    <xf numFmtId="2" fontId="3" fillId="3" borderId="3" xfId="0" applyNumberFormat="1" applyFont="1" applyFill="1" applyBorder="1" applyAlignment="1">
      <alignment horizontal="center" vertical="center"/>
    </xf>
    <xf numFmtId="0" fontId="19" fillId="0" borderId="3" xfId="0" applyFont="1" applyFill="1" applyBorder="1" applyAlignment="1">
      <alignment horizontal="center" vertical="center" wrapText="1"/>
    </xf>
    <xf numFmtId="0" fontId="22" fillId="0" borderId="35" xfId="0" applyFont="1" applyBorder="1" applyAlignment="1">
      <alignment horizontal="center" vertical="center" wrapText="1"/>
    </xf>
    <xf numFmtId="0" fontId="3" fillId="0" borderId="3" xfId="0" applyFont="1" applyBorder="1" applyAlignment="1">
      <alignment vertical="center"/>
    </xf>
    <xf numFmtId="0" fontId="3" fillId="0" borderId="51"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justify" vertical="center" wrapText="1"/>
    </xf>
    <xf numFmtId="0" fontId="11" fillId="0" borderId="39" xfId="0" applyFont="1" applyBorder="1" applyAlignment="1">
      <alignment horizontal="center" vertical="center"/>
    </xf>
    <xf numFmtId="0" fontId="11" fillId="0" borderId="21" xfId="0" applyFont="1" applyBorder="1" applyAlignment="1">
      <alignment horizontal="center" vertical="center"/>
    </xf>
    <xf numFmtId="0" fontId="17" fillId="0" borderId="39"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1" fillId="0" borderId="0" xfId="0" applyFont="1" applyAlignment="1">
      <alignment horizont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1" fillId="0" borderId="12" xfId="0" applyFont="1" applyBorder="1" applyAlignment="1">
      <alignment horizontal="center" vertical="center"/>
    </xf>
    <xf numFmtId="164" fontId="10" fillId="0" borderId="13" xfId="0" applyNumberFormat="1" applyFont="1" applyBorder="1" applyAlignment="1">
      <alignment horizontal="center" vertical="center" wrapText="1"/>
    </xf>
    <xf numFmtId="164" fontId="10" fillId="0" borderId="23" xfId="0" applyNumberFormat="1" applyFont="1" applyBorder="1" applyAlignment="1">
      <alignment horizontal="center" vertical="center" wrapText="1"/>
    </xf>
    <xf numFmtId="0" fontId="6" fillId="0" borderId="39" xfId="0" applyFont="1" applyBorder="1" applyAlignment="1">
      <alignment horizontal="center" vertical="center"/>
    </xf>
    <xf numFmtId="0" fontId="6" fillId="0" borderId="12" xfId="0" applyFont="1" applyBorder="1" applyAlignment="1">
      <alignment horizontal="center" vertical="center"/>
    </xf>
    <xf numFmtId="0" fontId="14" fillId="3" borderId="12" xfId="0" applyFont="1" applyFill="1" applyBorder="1" applyAlignment="1">
      <alignment horizontal="center" wrapText="1"/>
    </xf>
    <xf numFmtId="0" fontId="14" fillId="3" borderId="13" xfId="0" applyFont="1" applyFill="1" applyBorder="1" applyAlignment="1">
      <alignment horizont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17" borderId="2" xfId="0" applyFont="1" applyFill="1" applyBorder="1" applyAlignment="1">
      <alignment horizontal="center" vertical="center" wrapText="1"/>
    </xf>
    <xf numFmtId="0" fontId="3" fillId="17" borderId="51" xfId="0" applyFont="1" applyFill="1" applyBorder="1" applyAlignment="1">
      <alignment horizontal="center" vertical="center" wrapText="1"/>
    </xf>
    <xf numFmtId="0" fontId="3" fillId="17" borderId="3" xfId="0" applyFont="1" applyFill="1" applyBorder="1" applyAlignment="1">
      <alignment horizontal="center" vertical="center" wrapText="1"/>
    </xf>
    <xf numFmtId="0" fontId="3" fillId="0" borderId="51" xfId="0" applyFont="1" applyBorder="1" applyAlignment="1">
      <alignment horizontal="center" vertical="center"/>
    </xf>
    <xf numFmtId="0" fontId="15" fillId="0" borderId="2" xfId="0" applyFont="1" applyFill="1" applyBorder="1" applyAlignment="1">
      <alignment horizontal="center" vertical="center" wrapText="1"/>
    </xf>
    <xf numFmtId="0" fontId="15" fillId="0" borderId="5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2"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3" xfId="0" applyFont="1" applyBorder="1" applyAlignment="1">
      <alignment horizontal="center" vertical="center" wrapText="1"/>
    </xf>
    <xf numFmtId="0" fontId="10" fillId="15" borderId="10" xfId="0" applyFont="1" applyFill="1" applyBorder="1" applyAlignment="1">
      <alignment horizontal="center" vertical="center"/>
    </xf>
    <xf numFmtId="0" fontId="10" fillId="15" borderId="49" xfId="0" applyFont="1" applyFill="1" applyBorder="1" applyAlignment="1">
      <alignment horizontal="center" vertical="center"/>
    </xf>
    <xf numFmtId="0" fontId="10" fillId="15" borderId="50" xfId="0" applyFont="1" applyFill="1" applyBorder="1" applyAlignment="1">
      <alignment horizontal="center" vertical="center"/>
    </xf>
    <xf numFmtId="0" fontId="11" fillId="0" borderId="0" xfId="0" applyFont="1" applyFill="1" applyBorder="1" applyAlignment="1">
      <alignment horizontal="center" vertical="center"/>
    </xf>
    <xf numFmtId="0" fontId="15" fillId="0" borderId="2"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3" xfId="0" applyFont="1" applyBorder="1" applyAlignment="1">
      <alignment horizontal="center" vertical="center" wrapText="1"/>
    </xf>
    <xf numFmtId="0" fontId="3" fillId="18" borderId="52" xfId="0" applyFont="1" applyFill="1" applyBorder="1" applyAlignment="1">
      <alignment horizontal="center" vertical="center"/>
    </xf>
    <xf numFmtId="0" fontId="3" fillId="18" borderId="56" xfId="0" applyFont="1" applyFill="1" applyBorder="1" applyAlignment="1">
      <alignment horizontal="center" vertical="center"/>
    </xf>
    <xf numFmtId="0" fontId="3" fillId="18" borderId="53" xfId="0" applyFont="1" applyFill="1" applyBorder="1" applyAlignment="1">
      <alignment horizontal="center" vertical="center"/>
    </xf>
    <xf numFmtId="164" fontId="10" fillId="21" borderId="57" xfId="0" applyNumberFormat="1" applyFont="1" applyFill="1" applyBorder="1" applyAlignment="1">
      <alignment horizontal="center" vertical="center" wrapText="1"/>
    </xf>
    <xf numFmtId="164" fontId="10" fillId="21" borderId="58" xfId="0" applyNumberFormat="1"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53" xfId="0" applyFont="1" applyFill="1" applyBorder="1" applyAlignment="1">
      <alignment horizontal="center" vertical="center" wrapText="1"/>
    </xf>
    <xf numFmtId="0" fontId="11" fillId="24" borderId="35" xfId="0" applyFont="1" applyFill="1" applyBorder="1" applyAlignment="1">
      <alignment horizontal="center" vertical="center"/>
    </xf>
    <xf numFmtId="0" fontId="11" fillId="24" borderId="36" xfId="0" applyFont="1" applyFill="1" applyBorder="1" applyAlignment="1">
      <alignment horizontal="center" vertical="center"/>
    </xf>
    <xf numFmtId="0" fontId="13" fillId="0" borderId="1" xfId="0" applyFont="1" applyBorder="1" applyAlignment="1">
      <alignment horizontal="center" vertical="center" wrapText="1"/>
    </xf>
    <xf numFmtId="0" fontId="3" fillId="0" borderId="64" xfId="0" applyFont="1" applyBorder="1" applyAlignment="1">
      <alignment horizontal="center" vertical="center"/>
    </xf>
    <xf numFmtId="0" fontId="3" fillId="0" borderId="38" xfId="0" applyFont="1" applyBorder="1" applyAlignment="1">
      <alignment horizontal="center" vertical="center"/>
    </xf>
    <xf numFmtId="0" fontId="19" fillId="17" borderId="1" xfId="0" applyFont="1" applyFill="1" applyBorder="1" applyAlignment="1" applyProtection="1">
      <alignment horizontal="center" vertical="center" wrapText="1"/>
      <protection locked="0"/>
    </xf>
    <xf numFmtId="0" fontId="19" fillId="17" borderId="51" xfId="0" applyFont="1" applyFill="1" applyBorder="1" applyAlignment="1" applyProtection="1">
      <alignment horizontal="center" vertical="center" wrapText="1"/>
      <protection locked="0"/>
    </xf>
    <xf numFmtId="0" fontId="19" fillId="17" borderId="3" xfId="0" applyFont="1" applyFill="1" applyBorder="1" applyAlignment="1" applyProtection="1">
      <alignment horizontal="center" vertical="center" wrapText="1"/>
      <protection locked="0"/>
    </xf>
    <xf numFmtId="0" fontId="1" fillId="0" borderId="2" xfId="0" applyFont="1" applyFill="1" applyBorder="1" applyAlignment="1">
      <alignment horizontal="center" vertical="center" wrapText="1"/>
    </xf>
    <xf numFmtId="0" fontId="1" fillId="2" borderId="5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1" fillId="0" borderId="10" xfId="0" applyFont="1" applyBorder="1" applyAlignment="1">
      <alignment horizontal="center" vertical="center"/>
    </xf>
    <xf numFmtId="0" fontId="10" fillId="0" borderId="54" xfId="0" applyFont="1" applyBorder="1" applyAlignment="1">
      <alignment horizontal="center" vertical="center"/>
    </xf>
    <xf numFmtId="0" fontId="10" fillId="0" borderId="50" xfId="0" applyFont="1" applyBorder="1" applyAlignment="1">
      <alignment horizontal="center" vertical="center"/>
    </xf>
    <xf numFmtId="0" fontId="11" fillId="0" borderId="0" xfId="0" applyFont="1" applyAlignment="1">
      <alignment horizontal="center" vertical="center"/>
    </xf>
    <xf numFmtId="0" fontId="10" fillId="2" borderId="10" xfId="0" applyFont="1" applyFill="1" applyBorder="1" applyAlignment="1">
      <alignment horizontal="center" vertical="center"/>
    </xf>
    <xf numFmtId="0" fontId="10" fillId="2" borderId="50" xfId="0" applyFont="1" applyFill="1" applyBorder="1" applyAlignment="1">
      <alignment horizontal="center" vertical="center"/>
    </xf>
    <xf numFmtId="2" fontId="3" fillId="3" borderId="2" xfId="0" applyNumberFormat="1" applyFont="1" applyFill="1" applyBorder="1" applyAlignment="1">
      <alignment horizontal="center" vertical="center" wrapText="1"/>
    </xf>
    <xf numFmtId="2" fontId="3" fillId="3" borderId="3" xfId="0" applyNumberFormat="1" applyFont="1" applyFill="1" applyBorder="1" applyAlignment="1">
      <alignment horizontal="center" vertical="center" wrapText="1"/>
    </xf>
    <xf numFmtId="0" fontId="6" fillId="0" borderId="10" xfId="0" applyFont="1" applyBorder="1" applyAlignment="1">
      <alignment horizontal="center" vertical="center"/>
    </xf>
    <xf numFmtId="0" fontId="6" fillId="0" borderId="49" xfId="0" applyFont="1" applyBorder="1" applyAlignment="1">
      <alignment horizontal="center" vertical="center"/>
    </xf>
    <xf numFmtId="0" fontId="6" fillId="0" borderId="11" xfId="0" applyFont="1" applyBorder="1" applyAlignment="1">
      <alignment horizontal="center"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4" fillId="3" borderId="54" xfId="0" applyFont="1" applyFill="1" applyBorder="1" applyAlignment="1">
      <alignment horizontal="center" vertical="center" wrapText="1"/>
    </xf>
    <xf numFmtId="0" fontId="14" fillId="3" borderId="50" xfId="0" applyFont="1" applyFill="1" applyBorder="1" applyAlignment="1">
      <alignment horizontal="center" vertical="center" wrapText="1"/>
    </xf>
    <xf numFmtId="2" fontId="3" fillId="3" borderId="2" xfId="0" applyNumberFormat="1" applyFont="1" applyFill="1" applyBorder="1" applyAlignment="1">
      <alignment horizontal="center" vertical="center"/>
    </xf>
    <xf numFmtId="2" fontId="3" fillId="3" borderId="3" xfId="0" applyNumberFormat="1" applyFont="1" applyFill="1" applyBorder="1" applyAlignment="1">
      <alignment horizontal="center" vertical="center"/>
    </xf>
    <xf numFmtId="0" fontId="3" fillId="0" borderId="65" xfId="0" applyFont="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3" xfId="0" applyFont="1" applyFill="1" applyBorder="1" applyAlignment="1">
      <alignment horizontal="center" vertical="center"/>
    </xf>
    <xf numFmtId="0" fontId="3" fillId="0" borderId="2" xfId="0" applyFont="1" applyFill="1" applyBorder="1" applyAlignment="1">
      <alignment horizontal="center" vertical="center" wrapText="1"/>
    </xf>
    <xf numFmtId="0" fontId="13" fillId="0" borderId="51" xfId="0" applyFont="1" applyBorder="1" applyAlignment="1">
      <alignment horizontal="center" vertical="center"/>
    </xf>
    <xf numFmtId="0" fontId="13" fillId="0" borderId="3" xfId="0" applyFont="1" applyBorder="1" applyAlignment="1">
      <alignment horizontal="center" vertical="center"/>
    </xf>
    <xf numFmtId="2" fontId="3" fillId="3" borderId="51" xfId="0" applyNumberFormat="1" applyFont="1" applyFill="1" applyBorder="1" applyAlignment="1">
      <alignment horizontal="center" vertical="center" wrapText="1"/>
    </xf>
    <xf numFmtId="0" fontId="10" fillId="0" borderId="0" xfId="0" applyFont="1" applyAlignment="1">
      <alignment horizontal="center" vertical="center"/>
    </xf>
    <xf numFmtId="0" fontId="11" fillId="0" borderId="49" xfId="0" applyFont="1" applyBorder="1" applyAlignment="1">
      <alignment horizontal="center" vertical="center"/>
    </xf>
    <xf numFmtId="0" fontId="11" fillId="0" borderId="11" xfId="0" applyFont="1" applyBorder="1" applyAlignment="1">
      <alignment horizontal="center" vertical="center"/>
    </xf>
    <xf numFmtId="0" fontId="33" fillId="27" borderId="73" xfId="0" applyFont="1" applyFill="1" applyBorder="1" applyAlignment="1">
      <alignment horizontal="center" vertical="center"/>
    </xf>
    <xf numFmtId="0" fontId="33" fillId="27" borderId="77" xfId="0" applyFont="1" applyFill="1" applyBorder="1" applyAlignment="1">
      <alignment horizontal="center" vertical="center"/>
    </xf>
    <xf numFmtId="0" fontId="33" fillId="27" borderId="73" xfId="0" applyFont="1" applyFill="1" applyBorder="1" applyAlignment="1">
      <alignment horizontal="center" vertical="center" wrapText="1"/>
    </xf>
    <xf numFmtId="0" fontId="33" fillId="27" borderId="77" xfId="0" applyFont="1" applyFill="1" applyBorder="1" applyAlignment="1">
      <alignment horizontal="center" vertical="center" wrapText="1"/>
    </xf>
    <xf numFmtId="0" fontId="34" fillId="0" borderId="52" xfId="0" applyFont="1" applyBorder="1" applyAlignment="1">
      <alignment horizontal="center"/>
    </xf>
    <xf numFmtId="0" fontId="34" fillId="0" borderId="56" xfId="0" applyFont="1" applyBorder="1" applyAlignment="1">
      <alignment horizontal="center"/>
    </xf>
    <xf numFmtId="0" fontId="34" fillId="0" borderId="53" xfId="0" applyFont="1" applyBorder="1" applyAlignment="1">
      <alignment horizontal="center"/>
    </xf>
    <xf numFmtId="0" fontId="17" fillId="10" borderId="49" xfId="0" applyFont="1" applyFill="1" applyBorder="1" applyAlignment="1">
      <alignment horizontal="center" vertical="center" wrapText="1"/>
    </xf>
    <xf numFmtId="0" fontId="17" fillId="10" borderId="50" xfId="0" applyFont="1" applyFill="1" applyBorder="1" applyAlignment="1">
      <alignment horizontal="center" vertical="center" wrapText="1"/>
    </xf>
    <xf numFmtId="164" fontId="6" fillId="25" borderId="79" xfId="0" applyNumberFormat="1" applyFont="1" applyFill="1" applyBorder="1" applyAlignment="1">
      <alignment horizontal="center" vertical="center" wrapText="1"/>
    </xf>
    <xf numFmtId="164" fontId="6" fillId="25" borderId="80" xfId="0" applyNumberFormat="1" applyFont="1" applyFill="1" applyBorder="1" applyAlignment="1">
      <alignment horizontal="center" vertical="center" wrapText="1"/>
    </xf>
    <xf numFmtId="0" fontId="30" fillId="3" borderId="10" xfId="0" applyFont="1" applyFill="1" applyBorder="1" applyAlignment="1">
      <alignment horizontal="center" vertical="center"/>
    </xf>
    <xf numFmtId="0" fontId="30" fillId="3" borderId="21" xfId="0" applyFont="1" applyFill="1" applyBorder="1" applyAlignment="1">
      <alignment horizontal="center" vertical="center"/>
    </xf>
    <xf numFmtId="0" fontId="33" fillId="27" borderId="49" xfId="0" applyFont="1" applyFill="1" applyBorder="1" applyAlignment="1">
      <alignment horizontal="center" vertical="center"/>
    </xf>
  </cellXfs>
  <cellStyles count="5">
    <cellStyle name="Millares" xfId="1" builtinId="3"/>
    <cellStyle name="Normal" xfId="0" builtinId="0"/>
    <cellStyle name="Normal 2" xfId="3"/>
    <cellStyle name="Normal 3" xfId="4"/>
    <cellStyle name="Porcentaje" xfId="2" builtinId="5"/>
  </cellStyles>
  <dxfs count="541">
    <dxf>
      <fill>
        <patternFill>
          <bgColor theme="5" tint="0.79998168889431442"/>
        </patternFill>
      </fill>
    </dxf>
    <dxf>
      <fill>
        <patternFill>
          <bgColor theme="8" tint="0.79998168889431442"/>
        </pattern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s>
  <tableStyles count="0" defaultTableStyle="TableStyleMedium9" defaultPivotStyle="PivotStyleLight16"/>
  <colors>
    <mruColors>
      <color rgb="FFFFCCCC"/>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lidad\208-PLA-FT-01%20Listado%20maestro%20de%20documen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Maestro de documentos"/>
      <sheetName val="LISTAS SOPORTE"/>
      <sheetName val="Hoja1"/>
    </sheetNames>
    <sheetDataSet>
      <sheetData sheetId="0"/>
      <sheetData sheetId="1">
        <row r="2">
          <cell r="A2" t="str">
            <v>ACTIVO</v>
          </cell>
        </row>
        <row r="3">
          <cell r="A3" t="str">
            <v>INACTIVO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E14"/>
  <sheetViews>
    <sheetView workbookViewId="0">
      <selection activeCell="A30" sqref="A30"/>
    </sheetView>
  </sheetViews>
  <sheetFormatPr baseColWidth="10" defaultRowHeight="15" x14ac:dyDescent="0.25"/>
  <cols>
    <col min="1" max="1" width="32.85546875" style="1" customWidth="1"/>
    <col min="2" max="2" width="16.28515625" style="1" customWidth="1"/>
    <col min="3" max="3" width="16.85546875" style="1" customWidth="1"/>
    <col min="4" max="4" width="11.42578125" style="1"/>
    <col min="5" max="5" width="22.140625" style="1" customWidth="1"/>
    <col min="6" max="16384" width="11.42578125" style="1"/>
  </cols>
  <sheetData>
    <row r="1" spans="1:5" x14ac:dyDescent="0.25">
      <c r="A1" s="4" t="s">
        <v>8</v>
      </c>
      <c r="B1" s="4" t="s">
        <v>42</v>
      </c>
      <c r="C1" s="4" t="s">
        <v>44</v>
      </c>
      <c r="D1" s="4" t="s">
        <v>31</v>
      </c>
      <c r="E1" s="5" t="s">
        <v>45</v>
      </c>
    </row>
    <row r="2" spans="1:5" x14ac:dyDescent="0.25">
      <c r="A2" s="1" t="s">
        <v>46</v>
      </c>
      <c r="B2" s="6" t="s">
        <v>28</v>
      </c>
      <c r="C2" s="1" t="s">
        <v>47</v>
      </c>
      <c r="D2" s="1" t="s">
        <v>48</v>
      </c>
      <c r="E2" s="1" t="s">
        <v>332</v>
      </c>
    </row>
    <row r="3" spans="1:5" x14ac:dyDescent="0.25">
      <c r="A3" s="180" t="s">
        <v>9</v>
      </c>
      <c r="B3" s="8" t="s">
        <v>50</v>
      </c>
      <c r="C3" s="1" t="s">
        <v>51</v>
      </c>
      <c r="D3" s="1" t="s">
        <v>52</v>
      </c>
      <c r="E3" s="1" t="s">
        <v>49</v>
      </c>
    </row>
    <row r="4" spans="1:5" ht="30" x14ac:dyDescent="0.25">
      <c r="A4" s="181" t="s">
        <v>333</v>
      </c>
      <c r="B4" s="7" t="s">
        <v>3</v>
      </c>
      <c r="C4" s="1" t="s">
        <v>54</v>
      </c>
      <c r="E4" s="1" t="s">
        <v>53</v>
      </c>
    </row>
    <row r="5" spans="1:5" x14ac:dyDescent="0.25">
      <c r="A5" s="1" t="s">
        <v>2</v>
      </c>
      <c r="E5" s="1" t="s">
        <v>55</v>
      </c>
    </row>
    <row r="6" spans="1:5" x14ac:dyDescent="0.25">
      <c r="A6" s="180" t="s">
        <v>21</v>
      </c>
      <c r="E6" s="180" t="s">
        <v>493</v>
      </c>
    </row>
    <row r="7" spans="1:5" x14ac:dyDescent="0.25">
      <c r="A7" s="1" t="s">
        <v>34</v>
      </c>
      <c r="E7" s="1" t="s">
        <v>56</v>
      </c>
    </row>
    <row r="8" spans="1:5" x14ac:dyDescent="0.25">
      <c r="A8" s="180" t="s">
        <v>33</v>
      </c>
      <c r="E8" s="1" t="s">
        <v>494</v>
      </c>
    </row>
    <row r="9" spans="1:5" x14ac:dyDescent="0.25">
      <c r="A9" s="1" t="s">
        <v>263</v>
      </c>
      <c r="E9" s="1" t="s">
        <v>159</v>
      </c>
    </row>
    <row r="10" spans="1:5" ht="30" x14ac:dyDescent="0.25">
      <c r="A10" s="7" t="s">
        <v>59</v>
      </c>
      <c r="E10" s="1" t="s">
        <v>190</v>
      </c>
    </row>
    <row r="11" spans="1:5" x14ac:dyDescent="0.25">
      <c r="A11" s="1" t="s">
        <v>60</v>
      </c>
    </row>
    <row r="12" spans="1:5" x14ac:dyDescent="0.25">
      <c r="A12" s="1" t="s">
        <v>331</v>
      </c>
    </row>
    <row r="13" spans="1:5" x14ac:dyDescent="0.25">
      <c r="A13" s="1" t="s">
        <v>58</v>
      </c>
    </row>
    <row r="14" spans="1:5" x14ac:dyDescent="0.25">
      <c r="A14" s="1" t="s">
        <v>62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T145"/>
  <sheetViews>
    <sheetView topLeftCell="A2" zoomScaleNormal="100" zoomScaleSheetLayoutView="50" workbookViewId="0">
      <pane ySplit="1575" activePane="bottomLeft"/>
      <selection activeCell="A22" sqref="A22"/>
      <selection pane="bottomLeft" activeCell="C4" sqref="C4"/>
    </sheetView>
  </sheetViews>
  <sheetFormatPr baseColWidth="10" defaultRowHeight="12.75" x14ac:dyDescent="0.2"/>
  <cols>
    <col min="1" max="1" width="6" style="17" customWidth="1"/>
    <col min="2" max="2" width="23.28515625" style="16" customWidth="1"/>
    <col min="3" max="3" width="25.140625" style="40" customWidth="1"/>
    <col min="4" max="4" width="11.28515625" style="40" customWidth="1"/>
    <col min="5" max="5" width="12.7109375" style="40" customWidth="1"/>
    <col min="6" max="6" width="11.85546875" style="41" customWidth="1"/>
    <col min="7" max="7" width="33.42578125" style="16" customWidth="1"/>
    <col min="8" max="8" width="11.42578125" style="16" customWidth="1"/>
    <col min="9" max="9" width="11.7109375" style="17" customWidth="1"/>
    <col min="10" max="10" width="12" style="17" customWidth="1"/>
    <col min="11" max="11" width="16" style="17" customWidth="1"/>
    <col min="12" max="12" width="34.7109375" style="17" customWidth="1"/>
    <col min="13" max="13" width="36.28515625" style="42" customWidth="1"/>
    <col min="14" max="14" width="10.28515625" style="17" customWidth="1"/>
    <col min="15" max="15" width="11.85546875" style="17" customWidth="1"/>
    <col min="16" max="16" width="20.42578125" style="16" customWidth="1"/>
    <col min="17" max="17" width="15.5703125" style="16" customWidth="1"/>
    <col min="18" max="18" width="17.28515625" style="16" customWidth="1"/>
    <col min="19" max="16384" width="11.42578125" style="16"/>
  </cols>
  <sheetData>
    <row r="1" spans="1:18" ht="16.5" thickBot="1" x14ac:dyDescent="0.25">
      <c r="A1" s="9"/>
      <c r="B1" s="10" t="s">
        <v>63</v>
      </c>
      <c r="C1" s="11" t="s">
        <v>64</v>
      </c>
      <c r="D1" s="12"/>
      <c r="E1" s="12"/>
      <c r="F1" s="13"/>
      <c r="G1" s="14"/>
      <c r="H1" s="14"/>
      <c r="I1" s="15"/>
      <c r="J1" s="15"/>
      <c r="K1" s="15"/>
      <c r="L1" s="16"/>
      <c r="M1" s="14"/>
      <c r="O1" s="16"/>
    </row>
    <row r="2" spans="1:18" ht="3.75" customHeight="1" thickBot="1" x14ac:dyDescent="0.25">
      <c r="B2" s="14"/>
      <c r="C2" s="18"/>
      <c r="D2" s="18"/>
      <c r="E2" s="18"/>
      <c r="F2" s="13"/>
      <c r="G2" s="14"/>
      <c r="H2" s="14"/>
      <c r="I2" s="15"/>
      <c r="J2" s="15"/>
      <c r="K2" s="15"/>
      <c r="L2" s="15"/>
      <c r="M2" s="14"/>
      <c r="O2" s="15"/>
    </row>
    <row r="3" spans="1:18" ht="60" thickBot="1" x14ac:dyDescent="0.25">
      <c r="A3" s="19" t="s">
        <v>65</v>
      </c>
      <c r="B3" s="20" t="s">
        <v>0</v>
      </c>
      <c r="C3" s="20" t="s">
        <v>1</v>
      </c>
      <c r="D3" s="21" t="s">
        <v>39</v>
      </c>
      <c r="E3" s="21" t="s">
        <v>66</v>
      </c>
      <c r="F3" s="22" t="s">
        <v>67</v>
      </c>
      <c r="G3" s="23" t="s">
        <v>68</v>
      </c>
      <c r="H3" s="24" t="s">
        <v>42</v>
      </c>
      <c r="I3" s="25" t="s">
        <v>69</v>
      </c>
      <c r="J3" s="21" t="s">
        <v>70</v>
      </c>
      <c r="K3" s="24" t="s">
        <v>44</v>
      </c>
      <c r="L3" s="24" t="s">
        <v>30</v>
      </c>
      <c r="M3" s="24" t="s">
        <v>29</v>
      </c>
      <c r="N3" s="20" t="s">
        <v>31</v>
      </c>
      <c r="O3" s="24" t="s">
        <v>71</v>
      </c>
      <c r="P3" s="24" t="s">
        <v>72</v>
      </c>
      <c r="Q3" s="21" t="s">
        <v>73</v>
      </c>
      <c r="R3" s="26" t="s">
        <v>74</v>
      </c>
    </row>
    <row r="4" spans="1:18" ht="26.25" thickTop="1" x14ac:dyDescent="0.2">
      <c r="A4" s="27">
        <v>1</v>
      </c>
      <c r="B4" s="28" t="s">
        <v>33</v>
      </c>
      <c r="C4" s="29"/>
      <c r="D4" s="2" t="s">
        <v>40</v>
      </c>
      <c r="E4" s="30"/>
      <c r="F4" s="31"/>
      <c r="G4" s="32"/>
      <c r="H4" s="33" t="s">
        <v>75</v>
      </c>
      <c r="I4" s="34" t="s">
        <v>76</v>
      </c>
      <c r="J4" s="31"/>
      <c r="K4" s="2"/>
      <c r="L4" s="2"/>
      <c r="M4" s="27"/>
      <c r="N4" s="27" t="s">
        <v>52</v>
      </c>
      <c r="O4" s="31"/>
      <c r="P4" s="27"/>
      <c r="Q4" s="35">
        <f>DAYS360(F4,J4,0)+1</f>
        <v>1</v>
      </c>
      <c r="R4" s="35">
        <f>IFERROR((DAYS360(J4,O4,0)+1),1)</f>
        <v>1</v>
      </c>
    </row>
    <row r="5" spans="1:18" ht="14.25" x14ac:dyDescent="0.2">
      <c r="A5" s="27">
        <v>2</v>
      </c>
      <c r="B5" s="28"/>
      <c r="C5" s="29"/>
      <c r="D5" s="2"/>
      <c r="E5" s="2"/>
      <c r="F5" s="31"/>
      <c r="G5" s="32"/>
      <c r="H5" s="33"/>
      <c r="I5" s="34"/>
      <c r="J5" s="31"/>
      <c r="K5" s="2"/>
      <c r="L5" s="2"/>
      <c r="M5" s="27"/>
      <c r="N5" s="27"/>
      <c r="O5" s="31"/>
      <c r="P5" s="27"/>
      <c r="Q5" s="35">
        <f t="shared" ref="Q5:Q68" si="0">DAYS360(F5,J5,0)+1</f>
        <v>1</v>
      </c>
      <c r="R5" s="35">
        <f t="shared" ref="R5:R68" si="1">IFERROR((DAYS360(J5,O5,0)+1),1)</f>
        <v>1</v>
      </c>
    </row>
    <row r="6" spans="1:18" ht="14.25" x14ac:dyDescent="0.2">
      <c r="A6" s="27">
        <v>3</v>
      </c>
      <c r="B6" s="28"/>
      <c r="C6" s="29"/>
      <c r="D6" s="2"/>
      <c r="E6" s="2"/>
      <c r="F6" s="31"/>
      <c r="G6" s="32"/>
      <c r="H6" s="33"/>
      <c r="I6" s="34"/>
      <c r="J6" s="31"/>
      <c r="K6" s="2"/>
      <c r="L6" s="2"/>
      <c r="M6" s="27"/>
      <c r="N6" s="27"/>
      <c r="O6" s="31"/>
      <c r="P6" s="27"/>
      <c r="Q6" s="35">
        <f t="shared" si="0"/>
        <v>1</v>
      </c>
      <c r="R6" s="35">
        <f t="shared" si="1"/>
        <v>1</v>
      </c>
    </row>
    <row r="7" spans="1:18" ht="14.25" x14ac:dyDescent="0.2">
      <c r="A7" s="27">
        <v>4</v>
      </c>
      <c r="B7" s="28" t="s">
        <v>46</v>
      </c>
      <c r="C7" s="29"/>
      <c r="D7" s="2" t="s">
        <v>40</v>
      </c>
      <c r="E7" s="2"/>
      <c r="F7" s="31"/>
      <c r="G7" s="32"/>
      <c r="H7" s="33" t="s">
        <v>75</v>
      </c>
      <c r="I7" s="34" t="s">
        <v>77</v>
      </c>
      <c r="J7" s="31"/>
      <c r="K7" s="2"/>
      <c r="L7" s="2"/>
      <c r="M7" s="27"/>
      <c r="N7" s="27" t="s">
        <v>48</v>
      </c>
      <c r="O7" s="31"/>
      <c r="P7" s="27"/>
      <c r="Q7" s="35">
        <f t="shared" si="0"/>
        <v>1</v>
      </c>
      <c r="R7" s="35">
        <f t="shared" si="1"/>
        <v>1</v>
      </c>
    </row>
    <row r="8" spans="1:18" ht="14.25" x14ac:dyDescent="0.2">
      <c r="A8" s="27">
        <v>5</v>
      </c>
      <c r="B8" s="28"/>
      <c r="C8" s="29"/>
      <c r="D8" s="2"/>
      <c r="E8" s="2"/>
      <c r="F8" s="31"/>
      <c r="G8" s="32"/>
      <c r="H8" s="33"/>
      <c r="I8" s="34"/>
      <c r="J8" s="31"/>
      <c r="K8" s="2"/>
      <c r="L8" s="2"/>
      <c r="M8" s="27"/>
      <c r="N8" s="27"/>
      <c r="O8" s="31"/>
      <c r="P8" s="27"/>
      <c r="Q8" s="35">
        <f t="shared" si="0"/>
        <v>1</v>
      </c>
      <c r="R8" s="35">
        <f t="shared" si="1"/>
        <v>1</v>
      </c>
    </row>
    <row r="9" spans="1:18" ht="14.25" x14ac:dyDescent="0.2">
      <c r="A9" s="27">
        <v>6</v>
      </c>
      <c r="B9" s="28"/>
      <c r="C9" s="29"/>
      <c r="D9" s="2"/>
      <c r="E9" s="2"/>
      <c r="F9" s="31"/>
      <c r="G9" s="32"/>
      <c r="H9" s="33"/>
      <c r="I9" s="34"/>
      <c r="J9" s="31"/>
      <c r="K9" s="2"/>
      <c r="L9" s="2"/>
      <c r="M9" s="27"/>
      <c r="N9" s="27"/>
      <c r="O9" s="31"/>
      <c r="P9" s="27"/>
      <c r="Q9" s="35">
        <f t="shared" si="0"/>
        <v>1</v>
      </c>
      <c r="R9" s="35">
        <f t="shared" si="1"/>
        <v>1</v>
      </c>
    </row>
    <row r="10" spans="1:18" ht="25.5" x14ac:dyDescent="0.2">
      <c r="A10" s="27">
        <v>7</v>
      </c>
      <c r="B10" s="28" t="s">
        <v>33</v>
      </c>
      <c r="C10" s="29"/>
      <c r="D10" s="2" t="s">
        <v>40</v>
      </c>
      <c r="E10" s="2"/>
      <c r="F10" s="31"/>
      <c r="G10" s="32"/>
      <c r="H10" s="33" t="s">
        <v>50</v>
      </c>
      <c r="I10" s="34" t="s">
        <v>76</v>
      </c>
      <c r="J10" s="31"/>
      <c r="K10" s="2"/>
      <c r="L10" s="2"/>
      <c r="M10" s="27"/>
      <c r="N10" s="27" t="s">
        <v>48</v>
      </c>
      <c r="O10" s="31"/>
      <c r="P10" s="27"/>
      <c r="Q10" s="35">
        <f t="shared" si="0"/>
        <v>1</v>
      </c>
      <c r="R10" s="35">
        <f t="shared" si="1"/>
        <v>1</v>
      </c>
    </row>
    <row r="11" spans="1:18" ht="14.25" x14ac:dyDescent="0.2">
      <c r="A11" s="27">
        <v>8</v>
      </c>
      <c r="B11" s="28"/>
      <c r="C11" s="29"/>
      <c r="D11" s="2"/>
      <c r="E11" s="2"/>
      <c r="F11" s="31"/>
      <c r="G11" s="32"/>
      <c r="H11" s="33"/>
      <c r="I11" s="34"/>
      <c r="J11" s="31"/>
      <c r="K11" s="2"/>
      <c r="L11" s="2"/>
      <c r="M11" s="27"/>
      <c r="N11" s="27"/>
      <c r="O11" s="31"/>
      <c r="P11" s="27"/>
      <c r="Q11" s="35">
        <f t="shared" si="0"/>
        <v>1</v>
      </c>
      <c r="R11" s="35">
        <f t="shared" si="1"/>
        <v>1</v>
      </c>
    </row>
    <row r="12" spans="1:18" ht="14.25" x14ac:dyDescent="0.2">
      <c r="A12" s="27">
        <v>9</v>
      </c>
      <c r="B12" s="28"/>
      <c r="C12" s="29"/>
      <c r="D12" s="2"/>
      <c r="E12" s="2"/>
      <c r="F12" s="31"/>
      <c r="G12" s="32"/>
      <c r="H12" s="33"/>
      <c r="I12" s="34"/>
      <c r="J12" s="31"/>
      <c r="K12" s="2"/>
      <c r="L12" s="2"/>
      <c r="M12" s="27"/>
      <c r="N12" s="27"/>
      <c r="O12" s="31"/>
      <c r="P12" s="27"/>
      <c r="Q12" s="35">
        <f t="shared" si="0"/>
        <v>1</v>
      </c>
      <c r="R12" s="35">
        <f t="shared" si="1"/>
        <v>1</v>
      </c>
    </row>
    <row r="13" spans="1:18" ht="14.25" x14ac:dyDescent="0.2">
      <c r="A13" s="27">
        <v>10</v>
      </c>
      <c r="B13" s="28" t="s">
        <v>21</v>
      </c>
      <c r="C13" s="29"/>
      <c r="D13" s="2" t="s">
        <v>40</v>
      </c>
      <c r="E13" s="2"/>
      <c r="F13" s="31"/>
      <c r="G13" s="32"/>
      <c r="H13" s="33" t="s">
        <v>75</v>
      </c>
      <c r="I13" s="34" t="s">
        <v>76</v>
      </c>
      <c r="J13" s="31"/>
      <c r="K13" s="2"/>
      <c r="L13" s="2"/>
      <c r="M13" s="27"/>
      <c r="N13" s="27" t="s">
        <v>48</v>
      </c>
      <c r="O13" s="31"/>
      <c r="P13" s="27"/>
      <c r="Q13" s="35">
        <f t="shared" si="0"/>
        <v>1</v>
      </c>
      <c r="R13" s="35">
        <f t="shared" si="1"/>
        <v>1</v>
      </c>
    </row>
    <row r="14" spans="1:18" ht="14.25" x14ac:dyDescent="0.2">
      <c r="A14" s="27">
        <v>11</v>
      </c>
      <c r="B14" s="28"/>
      <c r="C14" s="29"/>
      <c r="D14" s="2"/>
      <c r="E14" s="2"/>
      <c r="F14" s="31"/>
      <c r="G14" s="32"/>
      <c r="H14" s="33"/>
      <c r="I14" s="34"/>
      <c r="J14" s="31"/>
      <c r="K14" s="2"/>
      <c r="L14" s="2"/>
      <c r="M14" s="27"/>
      <c r="N14" s="27"/>
      <c r="O14" s="31"/>
      <c r="P14" s="27"/>
      <c r="Q14" s="35">
        <f t="shared" si="0"/>
        <v>1</v>
      </c>
      <c r="R14" s="35">
        <f t="shared" si="1"/>
        <v>1</v>
      </c>
    </row>
    <row r="15" spans="1:18" ht="14.25" x14ac:dyDescent="0.2">
      <c r="A15" s="27">
        <v>12</v>
      </c>
      <c r="B15" s="28" t="s">
        <v>34</v>
      </c>
      <c r="C15" s="29"/>
      <c r="D15" s="2" t="s">
        <v>40</v>
      </c>
      <c r="E15" s="2"/>
      <c r="F15" s="31"/>
      <c r="G15" s="32"/>
      <c r="H15" s="33" t="s">
        <v>75</v>
      </c>
      <c r="I15" s="34" t="s">
        <v>76</v>
      </c>
      <c r="J15" s="31"/>
      <c r="K15" s="2"/>
      <c r="L15" s="2"/>
      <c r="M15" s="27"/>
      <c r="N15" s="27" t="s">
        <v>52</v>
      </c>
      <c r="O15" s="31"/>
      <c r="P15" s="27"/>
      <c r="Q15" s="35">
        <f t="shared" si="0"/>
        <v>1</v>
      </c>
      <c r="R15" s="35">
        <f t="shared" si="1"/>
        <v>1</v>
      </c>
    </row>
    <row r="16" spans="1:18" ht="14.25" x14ac:dyDescent="0.2">
      <c r="A16" s="27">
        <v>13</v>
      </c>
      <c r="B16" s="28"/>
      <c r="C16" s="29"/>
      <c r="D16" s="2"/>
      <c r="E16" s="2"/>
      <c r="F16" s="31"/>
      <c r="G16" s="32"/>
      <c r="H16" s="33"/>
      <c r="I16" s="34"/>
      <c r="J16" s="31"/>
      <c r="K16" s="2"/>
      <c r="L16" s="2"/>
      <c r="M16" s="27"/>
      <c r="N16" s="27"/>
      <c r="O16" s="31"/>
      <c r="P16" s="27"/>
      <c r="Q16" s="35">
        <f t="shared" si="0"/>
        <v>1</v>
      </c>
      <c r="R16" s="35">
        <f t="shared" si="1"/>
        <v>1</v>
      </c>
    </row>
    <row r="17" spans="1:18" ht="14.25" x14ac:dyDescent="0.2">
      <c r="A17" s="27">
        <v>14</v>
      </c>
      <c r="B17" s="28"/>
      <c r="C17" s="29"/>
      <c r="D17" s="2"/>
      <c r="E17" s="2"/>
      <c r="F17" s="31"/>
      <c r="G17" s="32"/>
      <c r="H17" s="33"/>
      <c r="I17" s="34"/>
      <c r="J17" s="31"/>
      <c r="K17" s="2"/>
      <c r="L17" s="2"/>
      <c r="M17" s="27"/>
      <c r="N17" s="27"/>
      <c r="O17" s="31"/>
      <c r="P17" s="27"/>
      <c r="Q17" s="35">
        <f t="shared" si="0"/>
        <v>1</v>
      </c>
      <c r="R17" s="35">
        <f t="shared" si="1"/>
        <v>1</v>
      </c>
    </row>
    <row r="18" spans="1:18" ht="14.25" x14ac:dyDescent="0.2">
      <c r="A18" s="27">
        <v>15</v>
      </c>
      <c r="B18" s="28"/>
      <c r="C18" s="29"/>
      <c r="D18" s="2"/>
      <c r="E18" s="2"/>
      <c r="F18" s="31"/>
      <c r="G18" s="32"/>
      <c r="H18" s="33"/>
      <c r="I18" s="34"/>
      <c r="J18" s="31"/>
      <c r="K18" s="2"/>
      <c r="L18" s="2"/>
      <c r="M18" s="27"/>
      <c r="N18" s="27"/>
      <c r="O18" s="31"/>
      <c r="P18" s="27"/>
      <c r="Q18" s="35">
        <f t="shared" si="0"/>
        <v>1</v>
      </c>
      <c r="R18" s="35">
        <f t="shared" si="1"/>
        <v>1</v>
      </c>
    </row>
    <row r="19" spans="1:18" ht="14.25" x14ac:dyDescent="0.2">
      <c r="A19" s="27">
        <v>16</v>
      </c>
      <c r="B19" s="28"/>
      <c r="C19" s="29"/>
      <c r="D19" s="2"/>
      <c r="E19" s="2"/>
      <c r="F19" s="31"/>
      <c r="G19" s="32"/>
      <c r="H19" s="33"/>
      <c r="I19" s="34"/>
      <c r="J19" s="31"/>
      <c r="K19" s="2"/>
      <c r="L19" s="2"/>
      <c r="M19" s="27"/>
      <c r="N19" s="27"/>
      <c r="O19" s="31"/>
      <c r="P19" s="27"/>
      <c r="Q19" s="35">
        <f t="shared" si="0"/>
        <v>1</v>
      </c>
      <c r="R19" s="35">
        <f t="shared" si="1"/>
        <v>1</v>
      </c>
    </row>
    <row r="20" spans="1:18" ht="14.25" x14ac:dyDescent="0.2">
      <c r="A20" s="27">
        <v>17</v>
      </c>
      <c r="B20" s="28"/>
      <c r="C20" s="29"/>
      <c r="D20" s="2"/>
      <c r="E20" s="2"/>
      <c r="F20" s="31"/>
      <c r="G20" s="32"/>
      <c r="H20" s="33"/>
      <c r="I20" s="34"/>
      <c r="J20" s="31"/>
      <c r="K20" s="2"/>
      <c r="L20" s="2"/>
      <c r="M20" s="27"/>
      <c r="N20" s="27"/>
      <c r="O20" s="31"/>
      <c r="P20" s="27"/>
      <c r="Q20" s="35">
        <f t="shared" si="0"/>
        <v>1</v>
      </c>
      <c r="R20" s="35">
        <f t="shared" si="1"/>
        <v>1</v>
      </c>
    </row>
    <row r="21" spans="1:18" ht="14.25" x14ac:dyDescent="0.2">
      <c r="A21" s="27">
        <v>18</v>
      </c>
      <c r="B21" s="28"/>
      <c r="C21" s="29"/>
      <c r="D21" s="2"/>
      <c r="E21" s="2"/>
      <c r="F21" s="31"/>
      <c r="G21" s="32"/>
      <c r="H21" s="33"/>
      <c r="I21" s="34"/>
      <c r="J21" s="31"/>
      <c r="K21" s="2"/>
      <c r="L21" s="2"/>
      <c r="M21" s="27"/>
      <c r="N21" s="27"/>
      <c r="O21" s="31"/>
      <c r="P21" s="27"/>
      <c r="Q21" s="35">
        <f t="shared" si="0"/>
        <v>1</v>
      </c>
      <c r="R21" s="35">
        <f t="shared" si="1"/>
        <v>1</v>
      </c>
    </row>
    <row r="22" spans="1:18" ht="14.25" x14ac:dyDescent="0.2">
      <c r="A22" s="27">
        <v>19</v>
      </c>
      <c r="B22" s="28"/>
      <c r="C22" s="29"/>
      <c r="D22" s="2"/>
      <c r="E22" s="2"/>
      <c r="F22" s="31"/>
      <c r="G22" s="32"/>
      <c r="H22" s="33"/>
      <c r="I22" s="34"/>
      <c r="J22" s="31"/>
      <c r="K22" s="2"/>
      <c r="L22" s="2"/>
      <c r="M22" s="27"/>
      <c r="N22" s="27"/>
      <c r="O22" s="31"/>
      <c r="P22" s="27"/>
      <c r="Q22" s="35">
        <f t="shared" si="0"/>
        <v>1</v>
      </c>
      <c r="R22" s="35">
        <f t="shared" si="1"/>
        <v>1</v>
      </c>
    </row>
    <row r="23" spans="1:18" ht="14.25" x14ac:dyDescent="0.2">
      <c r="A23" s="27">
        <v>20</v>
      </c>
      <c r="B23" s="28"/>
      <c r="C23" s="29"/>
      <c r="D23" s="2"/>
      <c r="E23" s="2"/>
      <c r="F23" s="31"/>
      <c r="G23" s="32"/>
      <c r="H23" s="33"/>
      <c r="I23" s="34"/>
      <c r="J23" s="31"/>
      <c r="K23" s="2"/>
      <c r="L23" s="2"/>
      <c r="M23" s="27"/>
      <c r="N23" s="27"/>
      <c r="O23" s="31"/>
      <c r="P23" s="27"/>
      <c r="Q23" s="35">
        <f t="shared" si="0"/>
        <v>1</v>
      </c>
      <c r="R23" s="35">
        <f t="shared" si="1"/>
        <v>1</v>
      </c>
    </row>
    <row r="24" spans="1:18" ht="14.25" x14ac:dyDescent="0.2">
      <c r="A24" s="27">
        <v>21</v>
      </c>
      <c r="B24" s="28"/>
      <c r="C24" s="29"/>
      <c r="D24" s="2"/>
      <c r="E24" s="2"/>
      <c r="F24" s="31"/>
      <c r="G24" s="32"/>
      <c r="H24" s="33"/>
      <c r="I24" s="34"/>
      <c r="J24" s="31"/>
      <c r="K24" s="2"/>
      <c r="L24" s="2"/>
      <c r="M24" s="27"/>
      <c r="N24" s="27"/>
      <c r="O24" s="31"/>
      <c r="P24" s="27"/>
      <c r="Q24" s="35">
        <f t="shared" si="0"/>
        <v>1</v>
      </c>
      <c r="R24" s="35">
        <f t="shared" si="1"/>
        <v>1</v>
      </c>
    </row>
    <row r="25" spans="1:18" ht="14.25" x14ac:dyDescent="0.2">
      <c r="A25" s="27">
        <v>22</v>
      </c>
      <c r="B25" s="28"/>
      <c r="C25" s="29"/>
      <c r="D25" s="2"/>
      <c r="E25" s="2"/>
      <c r="F25" s="31"/>
      <c r="G25" s="32"/>
      <c r="H25" s="33"/>
      <c r="I25" s="34"/>
      <c r="J25" s="31"/>
      <c r="K25" s="2"/>
      <c r="L25" s="2"/>
      <c r="M25" s="27"/>
      <c r="N25" s="27"/>
      <c r="O25" s="31"/>
      <c r="P25" s="27"/>
      <c r="Q25" s="35">
        <f t="shared" si="0"/>
        <v>1</v>
      </c>
      <c r="R25" s="35">
        <f t="shared" si="1"/>
        <v>1</v>
      </c>
    </row>
    <row r="26" spans="1:18" ht="14.25" x14ac:dyDescent="0.2">
      <c r="A26" s="27">
        <v>23</v>
      </c>
      <c r="B26" s="28"/>
      <c r="C26" s="29"/>
      <c r="D26" s="2"/>
      <c r="E26" s="2"/>
      <c r="F26" s="31"/>
      <c r="G26" s="32"/>
      <c r="H26" s="33"/>
      <c r="I26" s="34"/>
      <c r="J26" s="31"/>
      <c r="K26" s="2"/>
      <c r="L26" s="2"/>
      <c r="M26" s="27"/>
      <c r="N26" s="27"/>
      <c r="O26" s="31"/>
      <c r="P26" s="27"/>
      <c r="Q26" s="35">
        <f t="shared" si="0"/>
        <v>1</v>
      </c>
      <c r="R26" s="35">
        <f t="shared" si="1"/>
        <v>1</v>
      </c>
    </row>
    <row r="27" spans="1:18" ht="14.25" x14ac:dyDescent="0.2">
      <c r="A27" s="27">
        <v>24</v>
      </c>
      <c r="B27" s="28"/>
      <c r="C27" s="29"/>
      <c r="D27" s="2"/>
      <c r="E27" s="2"/>
      <c r="F27" s="31"/>
      <c r="G27" s="32"/>
      <c r="H27" s="33"/>
      <c r="I27" s="34"/>
      <c r="J27" s="31"/>
      <c r="K27" s="2"/>
      <c r="L27" s="2"/>
      <c r="M27" s="27"/>
      <c r="N27" s="27"/>
      <c r="O27" s="31"/>
      <c r="P27" s="27"/>
      <c r="Q27" s="35">
        <f t="shared" si="0"/>
        <v>1</v>
      </c>
      <c r="R27" s="35">
        <f t="shared" si="1"/>
        <v>1</v>
      </c>
    </row>
    <row r="28" spans="1:18" ht="14.25" x14ac:dyDescent="0.2">
      <c r="A28" s="27">
        <v>25</v>
      </c>
      <c r="B28" s="28"/>
      <c r="C28" s="29"/>
      <c r="D28" s="2"/>
      <c r="E28" s="2"/>
      <c r="F28" s="31"/>
      <c r="G28" s="32"/>
      <c r="H28" s="33"/>
      <c r="I28" s="34"/>
      <c r="J28" s="31"/>
      <c r="K28" s="2"/>
      <c r="L28" s="2"/>
      <c r="M28" s="27"/>
      <c r="N28" s="27"/>
      <c r="O28" s="31"/>
      <c r="P28" s="27"/>
      <c r="Q28" s="35">
        <f t="shared" si="0"/>
        <v>1</v>
      </c>
      <c r="R28" s="35">
        <f t="shared" si="1"/>
        <v>1</v>
      </c>
    </row>
    <row r="29" spans="1:18" ht="14.25" x14ac:dyDescent="0.2">
      <c r="A29" s="27">
        <v>26</v>
      </c>
      <c r="B29" s="28"/>
      <c r="C29" s="29"/>
      <c r="D29" s="2"/>
      <c r="E29" s="2"/>
      <c r="F29" s="31"/>
      <c r="G29" s="32"/>
      <c r="H29" s="33"/>
      <c r="I29" s="34"/>
      <c r="J29" s="31"/>
      <c r="K29" s="2"/>
      <c r="L29" s="2"/>
      <c r="M29" s="27"/>
      <c r="N29" s="27"/>
      <c r="O29" s="31"/>
      <c r="P29" s="27"/>
      <c r="Q29" s="35">
        <f t="shared" si="0"/>
        <v>1</v>
      </c>
      <c r="R29" s="35">
        <f t="shared" si="1"/>
        <v>1</v>
      </c>
    </row>
    <row r="30" spans="1:18" ht="14.25" x14ac:dyDescent="0.2">
      <c r="A30" s="27">
        <v>27</v>
      </c>
      <c r="B30" s="28"/>
      <c r="C30" s="29"/>
      <c r="D30" s="2"/>
      <c r="E30" s="2"/>
      <c r="F30" s="31"/>
      <c r="G30" s="32"/>
      <c r="H30" s="33"/>
      <c r="I30" s="34"/>
      <c r="J30" s="31"/>
      <c r="K30" s="2"/>
      <c r="L30" s="2"/>
      <c r="M30" s="27"/>
      <c r="N30" s="27"/>
      <c r="O30" s="31"/>
      <c r="P30" s="27"/>
      <c r="Q30" s="35">
        <f t="shared" si="0"/>
        <v>1</v>
      </c>
      <c r="R30" s="35">
        <f t="shared" si="1"/>
        <v>1</v>
      </c>
    </row>
    <row r="31" spans="1:18" ht="14.25" x14ac:dyDescent="0.2">
      <c r="A31" s="27">
        <v>28</v>
      </c>
      <c r="B31" s="28"/>
      <c r="C31" s="29"/>
      <c r="D31" s="2"/>
      <c r="E31" s="2"/>
      <c r="F31" s="31"/>
      <c r="G31" s="32"/>
      <c r="H31" s="33"/>
      <c r="I31" s="34"/>
      <c r="J31" s="31"/>
      <c r="K31" s="2"/>
      <c r="L31" s="2"/>
      <c r="M31" s="27"/>
      <c r="N31" s="27"/>
      <c r="O31" s="31"/>
      <c r="P31" s="27"/>
      <c r="Q31" s="35">
        <f t="shared" si="0"/>
        <v>1</v>
      </c>
      <c r="R31" s="35">
        <f t="shared" si="1"/>
        <v>1</v>
      </c>
    </row>
    <row r="32" spans="1:18" ht="14.25" x14ac:dyDescent="0.2">
      <c r="A32" s="27">
        <v>29</v>
      </c>
      <c r="B32" s="28"/>
      <c r="C32" s="29"/>
      <c r="D32" s="2"/>
      <c r="E32" s="2"/>
      <c r="F32" s="31"/>
      <c r="G32" s="32"/>
      <c r="H32" s="33"/>
      <c r="I32" s="34"/>
      <c r="J32" s="31"/>
      <c r="K32" s="2"/>
      <c r="L32" s="2"/>
      <c r="M32" s="27"/>
      <c r="N32" s="27"/>
      <c r="O32" s="31"/>
      <c r="P32" s="27"/>
      <c r="Q32" s="35">
        <f t="shared" si="0"/>
        <v>1</v>
      </c>
      <c r="R32" s="35">
        <f t="shared" si="1"/>
        <v>1</v>
      </c>
    </row>
    <row r="33" spans="1:18" ht="14.25" x14ac:dyDescent="0.2">
      <c r="A33" s="27">
        <v>30</v>
      </c>
      <c r="B33" s="28"/>
      <c r="C33" s="29"/>
      <c r="D33" s="2"/>
      <c r="E33" s="2"/>
      <c r="F33" s="31"/>
      <c r="G33" s="32"/>
      <c r="H33" s="33"/>
      <c r="I33" s="34"/>
      <c r="J33" s="31"/>
      <c r="K33" s="2"/>
      <c r="L33" s="2"/>
      <c r="M33" s="27"/>
      <c r="N33" s="27"/>
      <c r="O33" s="31"/>
      <c r="P33" s="27"/>
      <c r="Q33" s="35">
        <f t="shared" si="0"/>
        <v>1</v>
      </c>
      <c r="R33" s="35">
        <f t="shared" si="1"/>
        <v>1</v>
      </c>
    </row>
    <row r="34" spans="1:18" ht="14.25" x14ac:dyDescent="0.2">
      <c r="A34" s="27">
        <v>31</v>
      </c>
      <c r="B34" s="28"/>
      <c r="C34" s="29"/>
      <c r="D34" s="2"/>
      <c r="E34" s="2"/>
      <c r="F34" s="31"/>
      <c r="G34" s="32"/>
      <c r="H34" s="33"/>
      <c r="I34" s="34"/>
      <c r="J34" s="31"/>
      <c r="K34" s="2"/>
      <c r="L34" s="2"/>
      <c r="M34" s="27"/>
      <c r="N34" s="27"/>
      <c r="O34" s="31"/>
      <c r="P34" s="27"/>
      <c r="Q34" s="35">
        <f t="shared" si="0"/>
        <v>1</v>
      </c>
      <c r="R34" s="35">
        <f t="shared" si="1"/>
        <v>1</v>
      </c>
    </row>
    <row r="35" spans="1:18" ht="14.25" x14ac:dyDescent="0.2">
      <c r="A35" s="27">
        <v>32</v>
      </c>
      <c r="B35" s="28"/>
      <c r="C35" s="29"/>
      <c r="D35" s="2"/>
      <c r="E35" s="2"/>
      <c r="F35" s="31"/>
      <c r="G35" s="32"/>
      <c r="H35" s="33"/>
      <c r="I35" s="34"/>
      <c r="J35" s="31"/>
      <c r="K35" s="2"/>
      <c r="L35" s="2"/>
      <c r="M35" s="27"/>
      <c r="N35" s="27"/>
      <c r="O35" s="31"/>
      <c r="P35" s="27"/>
      <c r="Q35" s="35">
        <f t="shared" si="0"/>
        <v>1</v>
      </c>
      <c r="R35" s="35">
        <f t="shared" si="1"/>
        <v>1</v>
      </c>
    </row>
    <row r="36" spans="1:18" ht="14.25" x14ac:dyDescent="0.2">
      <c r="A36" s="27">
        <v>33</v>
      </c>
      <c r="B36" s="28"/>
      <c r="C36" s="29"/>
      <c r="D36" s="2"/>
      <c r="E36" s="2"/>
      <c r="F36" s="31"/>
      <c r="G36" s="32"/>
      <c r="H36" s="33"/>
      <c r="I36" s="34"/>
      <c r="J36" s="31"/>
      <c r="K36" s="2"/>
      <c r="L36" s="2"/>
      <c r="M36" s="27"/>
      <c r="N36" s="27"/>
      <c r="O36" s="31"/>
      <c r="P36" s="27"/>
      <c r="Q36" s="35">
        <f t="shared" si="0"/>
        <v>1</v>
      </c>
      <c r="R36" s="35">
        <f t="shared" si="1"/>
        <v>1</v>
      </c>
    </row>
    <row r="37" spans="1:18" ht="14.25" x14ac:dyDescent="0.2">
      <c r="A37" s="27">
        <v>34</v>
      </c>
      <c r="B37" s="28"/>
      <c r="C37" s="29"/>
      <c r="D37" s="2"/>
      <c r="E37" s="2"/>
      <c r="F37" s="31"/>
      <c r="G37" s="32"/>
      <c r="H37" s="33"/>
      <c r="I37" s="34"/>
      <c r="J37" s="31"/>
      <c r="K37" s="2"/>
      <c r="L37" s="2"/>
      <c r="M37" s="27"/>
      <c r="N37" s="27"/>
      <c r="O37" s="31"/>
      <c r="P37" s="27"/>
      <c r="Q37" s="35">
        <f t="shared" si="0"/>
        <v>1</v>
      </c>
      <c r="R37" s="35">
        <f t="shared" si="1"/>
        <v>1</v>
      </c>
    </row>
    <row r="38" spans="1:18" ht="14.25" x14ac:dyDescent="0.2">
      <c r="A38" s="27">
        <v>35</v>
      </c>
      <c r="B38" s="28"/>
      <c r="C38" s="29"/>
      <c r="D38" s="2"/>
      <c r="E38" s="2"/>
      <c r="F38" s="31"/>
      <c r="G38" s="32"/>
      <c r="H38" s="33"/>
      <c r="I38" s="34"/>
      <c r="J38" s="31"/>
      <c r="K38" s="2"/>
      <c r="L38" s="2"/>
      <c r="M38" s="27"/>
      <c r="N38" s="27"/>
      <c r="O38" s="31"/>
      <c r="P38" s="27"/>
      <c r="Q38" s="35">
        <f t="shared" si="0"/>
        <v>1</v>
      </c>
      <c r="R38" s="35">
        <f t="shared" si="1"/>
        <v>1</v>
      </c>
    </row>
    <row r="39" spans="1:18" ht="14.25" x14ac:dyDescent="0.2">
      <c r="A39" s="27">
        <v>36</v>
      </c>
      <c r="B39" s="28"/>
      <c r="C39" s="29"/>
      <c r="D39" s="2"/>
      <c r="E39" s="2"/>
      <c r="F39" s="31"/>
      <c r="G39" s="32"/>
      <c r="H39" s="33"/>
      <c r="I39" s="34"/>
      <c r="J39" s="31"/>
      <c r="K39" s="2"/>
      <c r="L39" s="2"/>
      <c r="M39" s="27"/>
      <c r="N39" s="27"/>
      <c r="O39" s="31"/>
      <c r="P39" s="27"/>
      <c r="Q39" s="35">
        <f t="shared" si="0"/>
        <v>1</v>
      </c>
      <c r="R39" s="35">
        <f t="shared" si="1"/>
        <v>1</v>
      </c>
    </row>
    <row r="40" spans="1:18" ht="14.25" x14ac:dyDescent="0.2">
      <c r="A40" s="27">
        <v>37</v>
      </c>
      <c r="B40" s="28"/>
      <c r="C40" s="29"/>
      <c r="D40" s="2"/>
      <c r="E40" s="2"/>
      <c r="F40" s="31"/>
      <c r="G40" s="32"/>
      <c r="H40" s="33"/>
      <c r="I40" s="34"/>
      <c r="J40" s="31"/>
      <c r="K40" s="2"/>
      <c r="L40" s="2"/>
      <c r="M40" s="27"/>
      <c r="N40" s="27"/>
      <c r="O40" s="31"/>
      <c r="P40" s="27"/>
      <c r="Q40" s="35">
        <f t="shared" si="0"/>
        <v>1</v>
      </c>
      <c r="R40" s="35">
        <f t="shared" si="1"/>
        <v>1</v>
      </c>
    </row>
    <row r="41" spans="1:18" ht="14.25" x14ac:dyDescent="0.2">
      <c r="A41" s="27">
        <v>38</v>
      </c>
      <c r="B41" s="28"/>
      <c r="C41" s="29"/>
      <c r="D41" s="2"/>
      <c r="E41" s="2"/>
      <c r="F41" s="31"/>
      <c r="G41" s="32"/>
      <c r="H41" s="33"/>
      <c r="I41" s="34"/>
      <c r="J41" s="31"/>
      <c r="K41" s="2"/>
      <c r="L41" s="2"/>
      <c r="M41" s="27"/>
      <c r="N41" s="27"/>
      <c r="O41" s="31"/>
      <c r="P41" s="27"/>
      <c r="Q41" s="35">
        <f t="shared" si="0"/>
        <v>1</v>
      </c>
      <c r="R41" s="35">
        <f t="shared" si="1"/>
        <v>1</v>
      </c>
    </row>
    <row r="42" spans="1:18" ht="14.25" x14ac:dyDescent="0.2">
      <c r="A42" s="27">
        <v>39</v>
      </c>
      <c r="B42" s="28"/>
      <c r="C42" s="29"/>
      <c r="D42" s="2"/>
      <c r="E42" s="2"/>
      <c r="F42" s="31"/>
      <c r="G42" s="32"/>
      <c r="H42" s="33"/>
      <c r="I42" s="34"/>
      <c r="J42" s="31"/>
      <c r="K42" s="2"/>
      <c r="L42" s="2"/>
      <c r="M42" s="27"/>
      <c r="N42" s="27"/>
      <c r="O42" s="31"/>
      <c r="P42" s="27"/>
      <c r="Q42" s="35">
        <f t="shared" si="0"/>
        <v>1</v>
      </c>
      <c r="R42" s="35">
        <f t="shared" si="1"/>
        <v>1</v>
      </c>
    </row>
    <row r="43" spans="1:18" ht="14.25" x14ac:dyDescent="0.2">
      <c r="A43" s="27">
        <v>40</v>
      </c>
      <c r="B43" s="28"/>
      <c r="C43" s="29"/>
      <c r="D43" s="2"/>
      <c r="E43" s="2"/>
      <c r="F43" s="31"/>
      <c r="G43" s="32"/>
      <c r="H43" s="33"/>
      <c r="I43" s="34"/>
      <c r="J43" s="31"/>
      <c r="K43" s="2"/>
      <c r="L43" s="2"/>
      <c r="M43" s="27"/>
      <c r="N43" s="27"/>
      <c r="O43" s="31"/>
      <c r="P43" s="27"/>
      <c r="Q43" s="35">
        <f t="shared" si="0"/>
        <v>1</v>
      </c>
      <c r="R43" s="35">
        <f t="shared" si="1"/>
        <v>1</v>
      </c>
    </row>
    <row r="44" spans="1:18" ht="14.25" x14ac:dyDescent="0.2">
      <c r="A44" s="27">
        <v>41</v>
      </c>
      <c r="B44" s="28"/>
      <c r="C44" s="29"/>
      <c r="D44" s="2"/>
      <c r="E44" s="2"/>
      <c r="F44" s="31"/>
      <c r="G44" s="32"/>
      <c r="H44" s="33"/>
      <c r="I44" s="34"/>
      <c r="J44" s="31"/>
      <c r="K44" s="2"/>
      <c r="L44" s="2"/>
      <c r="M44" s="27"/>
      <c r="N44" s="27"/>
      <c r="O44" s="31"/>
      <c r="P44" s="27"/>
      <c r="Q44" s="35">
        <f t="shared" si="0"/>
        <v>1</v>
      </c>
      <c r="R44" s="35">
        <f t="shared" si="1"/>
        <v>1</v>
      </c>
    </row>
    <row r="45" spans="1:18" ht="14.25" x14ac:dyDescent="0.2">
      <c r="A45" s="27">
        <v>42</v>
      </c>
      <c r="B45" s="28"/>
      <c r="C45" s="29"/>
      <c r="D45" s="2"/>
      <c r="E45" s="2"/>
      <c r="F45" s="31"/>
      <c r="G45" s="32"/>
      <c r="H45" s="33"/>
      <c r="I45" s="34"/>
      <c r="J45" s="31"/>
      <c r="K45" s="2"/>
      <c r="L45" s="2"/>
      <c r="M45" s="27"/>
      <c r="N45" s="27"/>
      <c r="O45" s="31"/>
      <c r="P45" s="27"/>
      <c r="Q45" s="35">
        <f t="shared" si="0"/>
        <v>1</v>
      </c>
      <c r="R45" s="35">
        <f t="shared" si="1"/>
        <v>1</v>
      </c>
    </row>
    <row r="46" spans="1:18" ht="14.25" x14ac:dyDescent="0.2">
      <c r="A46" s="27">
        <v>43</v>
      </c>
      <c r="B46" s="28"/>
      <c r="C46" s="29"/>
      <c r="D46" s="2"/>
      <c r="E46" s="2"/>
      <c r="F46" s="31"/>
      <c r="G46" s="32"/>
      <c r="H46" s="33"/>
      <c r="I46" s="34"/>
      <c r="J46" s="31"/>
      <c r="K46" s="2"/>
      <c r="L46" s="2"/>
      <c r="M46" s="27"/>
      <c r="N46" s="27"/>
      <c r="O46" s="31"/>
      <c r="P46" s="27"/>
      <c r="Q46" s="35">
        <f t="shared" si="0"/>
        <v>1</v>
      </c>
      <c r="R46" s="35">
        <f t="shared" si="1"/>
        <v>1</v>
      </c>
    </row>
    <row r="47" spans="1:18" ht="14.25" x14ac:dyDescent="0.2">
      <c r="A47" s="27">
        <v>44</v>
      </c>
      <c r="B47" s="28"/>
      <c r="C47" s="29"/>
      <c r="D47" s="2"/>
      <c r="E47" s="2"/>
      <c r="F47" s="31"/>
      <c r="G47" s="32"/>
      <c r="H47" s="33"/>
      <c r="I47" s="34"/>
      <c r="J47" s="31"/>
      <c r="K47" s="2"/>
      <c r="L47" s="2"/>
      <c r="M47" s="27"/>
      <c r="N47" s="27"/>
      <c r="O47" s="31"/>
      <c r="P47" s="27"/>
      <c r="Q47" s="35">
        <f t="shared" si="0"/>
        <v>1</v>
      </c>
      <c r="R47" s="35">
        <f t="shared" si="1"/>
        <v>1</v>
      </c>
    </row>
    <row r="48" spans="1:18" ht="14.25" x14ac:dyDescent="0.2">
      <c r="A48" s="27">
        <v>45</v>
      </c>
      <c r="B48" s="28"/>
      <c r="C48" s="29"/>
      <c r="D48" s="2"/>
      <c r="E48" s="2"/>
      <c r="F48" s="31"/>
      <c r="G48" s="32"/>
      <c r="H48" s="33"/>
      <c r="I48" s="34"/>
      <c r="J48" s="31"/>
      <c r="K48" s="2"/>
      <c r="L48" s="2"/>
      <c r="M48" s="27"/>
      <c r="N48" s="27"/>
      <c r="O48" s="31"/>
      <c r="P48" s="27"/>
      <c r="Q48" s="35">
        <f t="shared" si="0"/>
        <v>1</v>
      </c>
      <c r="R48" s="35">
        <f t="shared" si="1"/>
        <v>1</v>
      </c>
    </row>
    <row r="49" spans="1:18" ht="14.25" x14ac:dyDescent="0.2">
      <c r="A49" s="27">
        <v>46</v>
      </c>
      <c r="B49" s="28"/>
      <c r="C49" s="29"/>
      <c r="D49" s="2"/>
      <c r="E49" s="2"/>
      <c r="F49" s="31"/>
      <c r="G49" s="32"/>
      <c r="H49" s="33"/>
      <c r="I49" s="34"/>
      <c r="J49" s="31"/>
      <c r="K49" s="2"/>
      <c r="L49" s="2"/>
      <c r="M49" s="27"/>
      <c r="N49" s="27"/>
      <c r="O49" s="31"/>
      <c r="P49" s="27"/>
      <c r="Q49" s="35">
        <f t="shared" si="0"/>
        <v>1</v>
      </c>
      <c r="R49" s="35">
        <f t="shared" si="1"/>
        <v>1</v>
      </c>
    </row>
    <row r="50" spans="1:18" ht="14.25" x14ac:dyDescent="0.2">
      <c r="A50" s="27">
        <v>47</v>
      </c>
      <c r="B50" s="28"/>
      <c r="C50" s="29"/>
      <c r="D50" s="2"/>
      <c r="E50" s="2"/>
      <c r="F50" s="31"/>
      <c r="G50" s="32"/>
      <c r="H50" s="33"/>
      <c r="I50" s="34"/>
      <c r="J50" s="31"/>
      <c r="K50" s="2"/>
      <c r="L50" s="2"/>
      <c r="M50" s="27"/>
      <c r="N50" s="27"/>
      <c r="O50" s="31"/>
      <c r="P50" s="27"/>
      <c r="Q50" s="35">
        <f t="shared" si="0"/>
        <v>1</v>
      </c>
      <c r="R50" s="35">
        <f t="shared" si="1"/>
        <v>1</v>
      </c>
    </row>
    <row r="51" spans="1:18" ht="14.25" x14ac:dyDescent="0.2">
      <c r="A51" s="27">
        <v>48</v>
      </c>
      <c r="B51" s="28"/>
      <c r="C51" s="29"/>
      <c r="D51" s="2"/>
      <c r="E51" s="2"/>
      <c r="F51" s="31"/>
      <c r="G51" s="32"/>
      <c r="H51" s="33"/>
      <c r="I51" s="34"/>
      <c r="J51" s="31"/>
      <c r="K51" s="2"/>
      <c r="L51" s="2"/>
      <c r="M51" s="27"/>
      <c r="N51" s="27"/>
      <c r="O51" s="31"/>
      <c r="P51" s="27"/>
      <c r="Q51" s="35">
        <f t="shared" si="0"/>
        <v>1</v>
      </c>
      <c r="R51" s="35">
        <f t="shared" si="1"/>
        <v>1</v>
      </c>
    </row>
    <row r="52" spans="1:18" ht="14.25" x14ac:dyDescent="0.2">
      <c r="A52" s="27">
        <v>49</v>
      </c>
      <c r="B52" s="28"/>
      <c r="C52" s="29"/>
      <c r="D52" s="2"/>
      <c r="E52" s="2"/>
      <c r="F52" s="31"/>
      <c r="G52" s="32"/>
      <c r="H52" s="33"/>
      <c r="I52" s="34"/>
      <c r="J52" s="31"/>
      <c r="K52" s="2"/>
      <c r="L52" s="2"/>
      <c r="M52" s="27"/>
      <c r="N52" s="27"/>
      <c r="O52" s="31"/>
      <c r="P52" s="27"/>
      <c r="Q52" s="35">
        <f t="shared" si="0"/>
        <v>1</v>
      </c>
      <c r="R52" s="35">
        <f t="shared" si="1"/>
        <v>1</v>
      </c>
    </row>
    <row r="53" spans="1:18" ht="14.25" x14ac:dyDescent="0.2">
      <c r="A53" s="27">
        <v>50</v>
      </c>
      <c r="B53" s="28"/>
      <c r="C53" s="29"/>
      <c r="D53" s="2"/>
      <c r="E53" s="2"/>
      <c r="F53" s="31"/>
      <c r="G53" s="32"/>
      <c r="H53" s="33"/>
      <c r="I53" s="34"/>
      <c r="J53" s="31"/>
      <c r="K53" s="2"/>
      <c r="L53" s="2"/>
      <c r="M53" s="27"/>
      <c r="N53" s="27"/>
      <c r="O53" s="31"/>
      <c r="P53" s="27"/>
      <c r="Q53" s="35">
        <f t="shared" si="0"/>
        <v>1</v>
      </c>
      <c r="R53" s="35">
        <f t="shared" si="1"/>
        <v>1</v>
      </c>
    </row>
    <row r="54" spans="1:18" ht="14.25" x14ac:dyDescent="0.2">
      <c r="A54" s="27">
        <v>51</v>
      </c>
      <c r="B54" s="28"/>
      <c r="C54" s="29"/>
      <c r="D54" s="2"/>
      <c r="E54" s="2"/>
      <c r="F54" s="31"/>
      <c r="G54" s="32"/>
      <c r="H54" s="33"/>
      <c r="I54" s="34"/>
      <c r="J54" s="31"/>
      <c r="K54" s="2"/>
      <c r="L54" s="2"/>
      <c r="M54" s="27"/>
      <c r="N54" s="27"/>
      <c r="O54" s="31"/>
      <c r="P54" s="27"/>
      <c r="Q54" s="35">
        <f t="shared" si="0"/>
        <v>1</v>
      </c>
      <c r="R54" s="35">
        <f t="shared" si="1"/>
        <v>1</v>
      </c>
    </row>
    <row r="55" spans="1:18" ht="14.25" x14ac:dyDescent="0.2">
      <c r="A55" s="27">
        <v>52</v>
      </c>
      <c r="B55" s="28"/>
      <c r="C55" s="29"/>
      <c r="D55" s="2"/>
      <c r="E55" s="2"/>
      <c r="F55" s="31"/>
      <c r="G55" s="32"/>
      <c r="H55" s="33"/>
      <c r="I55" s="34"/>
      <c r="J55" s="31"/>
      <c r="K55" s="2"/>
      <c r="L55" s="2"/>
      <c r="M55" s="27"/>
      <c r="N55" s="27"/>
      <c r="O55" s="31"/>
      <c r="P55" s="27"/>
      <c r="Q55" s="35">
        <f t="shared" si="0"/>
        <v>1</v>
      </c>
      <c r="R55" s="35">
        <f t="shared" si="1"/>
        <v>1</v>
      </c>
    </row>
    <row r="56" spans="1:18" ht="14.25" x14ac:dyDescent="0.2">
      <c r="A56" s="27">
        <v>53</v>
      </c>
      <c r="B56" s="28"/>
      <c r="C56" s="29"/>
      <c r="D56" s="2"/>
      <c r="E56" s="2"/>
      <c r="F56" s="31"/>
      <c r="G56" s="32"/>
      <c r="H56" s="33"/>
      <c r="I56" s="34"/>
      <c r="J56" s="31"/>
      <c r="K56" s="2"/>
      <c r="L56" s="2"/>
      <c r="M56" s="27"/>
      <c r="N56" s="27"/>
      <c r="O56" s="31"/>
      <c r="P56" s="27"/>
      <c r="Q56" s="35">
        <f t="shared" si="0"/>
        <v>1</v>
      </c>
      <c r="R56" s="35">
        <f t="shared" si="1"/>
        <v>1</v>
      </c>
    </row>
    <row r="57" spans="1:18" ht="14.25" x14ac:dyDescent="0.2">
      <c r="A57" s="27">
        <v>54</v>
      </c>
      <c r="B57" s="28"/>
      <c r="C57" s="29"/>
      <c r="D57" s="2"/>
      <c r="E57" s="2"/>
      <c r="F57" s="31"/>
      <c r="G57" s="32"/>
      <c r="H57" s="33"/>
      <c r="I57" s="34"/>
      <c r="J57" s="31"/>
      <c r="K57" s="2"/>
      <c r="L57" s="2"/>
      <c r="M57" s="27"/>
      <c r="N57" s="27"/>
      <c r="O57" s="31"/>
      <c r="P57" s="27"/>
      <c r="Q57" s="35">
        <f t="shared" si="0"/>
        <v>1</v>
      </c>
      <c r="R57" s="35">
        <f t="shared" si="1"/>
        <v>1</v>
      </c>
    </row>
    <row r="58" spans="1:18" ht="14.25" x14ac:dyDescent="0.2">
      <c r="A58" s="27">
        <v>55</v>
      </c>
      <c r="B58" s="28"/>
      <c r="C58" s="29"/>
      <c r="D58" s="2"/>
      <c r="E58" s="2"/>
      <c r="F58" s="31"/>
      <c r="G58" s="32"/>
      <c r="H58" s="33"/>
      <c r="I58" s="34"/>
      <c r="J58" s="31"/>
      <c r="K58" s="2"/>
      <c r="L58" s="2"/>
      <c r="M58" s="27"/>
      <c r="N58" s="27"/>
      <c r="O58" s="31"/>
      <c r="P58" s="27"/>
      <c r="Q58" s="35">
        <f t="shared" si="0"/>
        <v>1</v>
      </c>
      <c r="R58" s="35">
        <f t="shared" si="1"/>
        <v>1</v>
      </c>
    </row>
    <row r="59" spans="1:18" ht="14.25" x14ac:dyDescent="0.2">
      <c r="A59" s="27">
        <v>56</v>
      </c>
      <c r="B59" s="28"/>
      <c r="C59" s="29"/>
      <c r="D59" s="2"/>
      <c r="E59" s="2"/>
      <c r="F59" s="31"/>
      <c r="G59" s="32"/>
      <c r="H59" s="33"/>
      <c r="I59" s="34"/>
      <c r="J59" s="31"/>
      <c r="K59" s="2"/>
      <c r="L59" s="2"/>
      <c r="M59" s="27"/>
      <c r="N59" s="27"/>
      <c r="O59" s="31"/>
      <c r="P59" s="27"/>
      <c r="Q59" s="35">
        <f t="shared" si="0"/>
        <v>1</v>
      </c>
      <c r="R59" s="35">
        <f t="shared" si="1"/>
        <v>1</v>
      </c>
    </row>
    <row r="60" spans="1:18" ht="14.25" x14ac:dyDescent="0.2">
      <c r="A60" s="27">
        <v>57</v>
      </c>
      <c r="B60" s="28"/>
      <c r="C60" s="29"/>
      <c r="D60" s="2"/>
      <c r="E60" s="2"/>
      <c r="F60" s="31"/>
      <c r="G60" s="32"/>
      <c r="H60" s="33"/>
      <c r="I60" s="34"/>
      <c r="J60" s="31"/>
      <c r="K60" s="2"/>
      <c r="L60" s="2"/>
      <c r="M60" s="27"/>
      <c r="N60" s="27"/>
      <c r="O60" s="31"/>
      <c r="P60" s="27"/>
      <c r="Q60" s="35">
        <f t="shared" si="0"/>
        <v>1</v>
      </c>
      <c r="R60" s="35">
        <f t="shared" si="1"/>
        <v>1</v>
      </c>
    </row>
    <row r="61" spans="1:18" ht="14.25" x14ac:dyDescent="0.2">
      <c r="A61" s="27">
        <v>58</v>
      </c>
      <c r="B61" s="28"/>
      <c r="C61" s="29"/>
      <c r="D61" s="2"/>
      <c r="E61" s="2"/>
      <c r="F61" s="31"/>
      <c r="G61" s="32"/>
      <c r="H61" s="33"/>
      <c r="I61" s="34"/>
      <c r="J61" s="31"/>
      <c r="K61" s="2"/>
      <c r="L61" s="2"/>
      <c r="M61" s="27"/>
      <c r="N61" s="27"/>
      <c r="O61" s="31"/>
      <c r="P61" s="27"/>
      <c r="Q61" s="35">
        <f t="shared" si="0"/>
        <v>1</v>
      </c>
      <c r="R61" s="35">
        <f t="shared" si="1"/>
        <v>1</v>
      </c>
    </row>
    <row r="62" spans="1:18" ht="14.25" x14ac:dyDescent="0.2">
      <c r="A62" s="27">
        <v>59</v>
      </c>
      <c r="B62" s="28"/>
      <c r="C62" s="29"/>
      <c r="D62" s="2"/>
      <c r="E62" s="2"/>
      <c r="F62" s="31"/>
      <c r="G62" s="32"/>
      <c r="H62" s="33"/>
      <c r="I62" s="34"/>
      <c r="J62" s="31"/>
      <c r="K62" s="2"/>
      <c r="L62" s="2"/>
      <c r="M62" s="27"/>
      <c r="N62" s="27"/>
      <c r="O62" s="31"/>
      <c r="P62" s="27"/>
      <c r="Q62" s="35">
        <f t="shared" si="0"/>
        <v>1</v>
      </c>
      <c r="R62" s="35">
        <f t="shared" si="1"/>
        <v>1</v>
      </c>
    </row>
    <row r="63" spans="1:18" ht="14.25" x14ac:dyDescent="0.2">
      <c r="A63" s="27">
        <v>60</v>
      </c>
      <c r="B63" s="28"/>
      <c r="C63" s="29"/>
      <c r="D63" s="2"/>
      <c r="E63" s="2"/>
      <c r="F63" s="31"/>
      <c r="G63" s="32"/>
      <c r="H63" s="33"/>
      <c r="I63" s="34"/>
      <c r="J63" s="31"/>
      <c r="K63" s="2"/>
      <c r="L63" s="2"/>
      <c r="M63" s="27"/>
      <c r="N63" s="27"/>
      <c r="O63" s="31"/>
      <c r="P63" s="27"/>
      <c r="Q63" s="35">
        <f t="shared" si="0"/>
        <v>1</v>
      </c>
      <c r="R63" s="35">
        <f t="shared" si="1"/>
        <v>1</v>
      </c>
    </row>
    <row r="64" spans="1:18" ht="14.25" x14ac:dyDescent="0.2">
      <c r="A64" s="27">
        <v>61</v>
      </c>
      <c r="B64" s="28"/>
      <c r="C64" s="29"/>
      <c r="D64" s="2"/>
      <c r="E64" s="2"/>
      <c r="F64" s="31"/>
      <c r="G64" s="32"/>
      <c r="H64" s="33"/>
      <c r="I64" s="34"/>
      <c r="J64" s="31"/>
      <c r="K64" s="2"/>
      <c r="L64" s="2"/>
      <c r="M64" s="27"/>
      <c r="N64" s="27"/>
      <c r="O64" s="31"/>
      <c r="P64" s="27"/>
      <c r="Q64" s="35">
        <f t="shared" si="0"/>
        <v>1</v>
      </c>
      <c r="R64" s="35">
        <f t="shared" si="1"/>
        <v>1</v>
      </c>
    </row>
    <row r="65" spans="1:18" ht="14.25" x14ac:dyDescent="0.2">
      <c r="A65" s="27">
        <v>62</v>
      </c>
      <c r="B65" s="28"/>
      <c r="C65" s="29"/>
      <c r="D65" s="2"/>
      <c r="E65" s="2"/>
      <c r="F65" s="31"/>
      <c r="G65" s="32"/>
      <c r="H65" s="33"/>
      <c r="I65" s="34"/>
      <c r="J65" s="31"/>
      <c r="K65" s="2"/>
      <c r="L65" s="2"/>
      <c r="M65" s="27"/>
      <c r="N65" s="27"/>
      <c r="O65" s="31"/>
      <c r="P65" s="27"/>
      <c r="Q65" s="35">
        <f t="shared" si="0"/>
        <v>1</v>
      </c>
      <c r="R65" s="35">
        <f t="shared" si="1"/>
        <v>1</v>
      </c>
    </row>
    <row r="66" spans="1:18" ht="14.25" x14ac:dyDescent="0.2">
      <c r="A66" s="27">
        <v>63</v>
      </c>
      <c r="B66" s="28"/>
      <c r="C66" s="29"/>
      <c r="D66" s="2"/>
      <c r="E66" s="2"/>
      <c r="F66" s="31"/>
      <c r="G66" s="32"/>
      <c r="H66" s="33"/>
      <c r="I66" s="34"/>
      <c r="J66" s="31"/>
      <c r="K66" s="2"/>
      <c r="L66" s="2"/>
      <c r="M66" s="27"/>
      <c r="N66" s="27"/>
      <c r="O66" s="31"/>
      <c r="P66" s="27"/>
      <c r="Q66" s="35">
        <f t="shared" si="0"/>
        <v>1</v>
      </c>
      <c r="R66" s="35">
        <f t="shared" si="1"/>
        <v>1</v>
      </c>
    </row>
    <row r="67" spans="1:18" ht="14.25" x14ac:dyDescent="0.2">
      <c r="A67" s="27">
        <v>64</v>
      </c>
      <c r="B67" s="28"/>
      <c r="C67" s="29"/>
      <c r="D67" s="2"/>
      <c r="E67" s="2"/>
      <c r="F67" s="31"/>
      <c r="G67" s="32"/>
      <c r="H67" s="33"/>
      <c r="I67" s="34"/>
      <c r="J67" s="31"/>
      <c r="K67" s="2"/>
      <c r="L67" s="2"/>
      <c r="M67" s="27"/>
      <c r="N67" s="27"/>
      <c r="O67" s="31"/>
      <c r="P67" s="27"/>
      <c r="Q67" s="35">
        <f t="shared" si="0"/>
        <v>1</v>
      </c>
      <c r="R67" s="35">
        <f t="shared" si="1"/>
        <v>1</v>
      </c>
    </row>
    <row r="68" spans="1:18" ht="14.25" x14ac:dyDescent="0.2">
      <c r="A68" s="27">
        <v>65</v>
      </c>
      <c r="B68" s="28"/>
      <c r="C68" s="29"/>
      <c r="D68" s="2"/>
      <c r="E68" s="2"/>
      <c r="F68" s="31"/>
      <c r="G68" s="32"/>
      <c r="H68" s="33"/>
      <c r="I68" s="34"/>
      <c r="J68" s="31"/>
      <c r="K68" s="2"/>
      <c r="L68" s="2"/>
      <c r="M68" s="27"/>
      <c r="N68" s="27"/>
      <c r="O68" s="31"/>
      <c r="P68" s="27"/>
      <c r="Q68" s="35">
        <f t="shared" si="0"/>
        <v>1</v>
      </c>
      <c r="R68" s="35">
        <f t="shared" si="1"/>
        <v>1</v>
      </c>
    </row>
    <row r="69" spans="1:18" ht="14.25" x14ac:dyDescent="0.2">
      <c r="A69" s="27">
        <v>66</v>
      </c>
      <c r="B69" s="28"/>
      <c r="C69" s="29"/>
      <c r="D69" s="2"/>
      <c r="E69" s="2"/>
      <c r="F69" s="31"/>
      <c r="G69" s="32"/>
      <c r="H69" s="33"/>
      <c r="I69" s="34"/>
      <c r="J69" s="31"/>
      <c r="K69" s="2"/>
      <c r="L69" s="2"/>
      <c r="M69" s="27"/>
      <c r="N69" s="27"/>
      <c r="O69" s="31"/>
      <c r="P69" s="27"/>
      <c r="Q69" s="35">
        <f t="shared" ref="Q69:Q103" si="2">DAYS360(F69,J69,0)+1</f>
        <v>1</v>
      </c>
      <c r="R69" s="35">
        <f t="shared" ref="R69:R103" si="3">IFERROR((DAYS360(J69,O69,0)+1),1)</f>
        <v>1</v>
      </c>
    </row>
    <row r="70" spans="1:18" ht="14.25" x14ac:dyDescent="0.2">
      <c r="A70" s="27">
        <v>67</v>
      </c>
      <c r="B70" s="28"/>
      <c r="C70" s="29"/>
      <c r="D70" s="2"/>
      <c r="E70" s="2"/>
      <c r="F70" s="31"/>
      <c r="G70" s="32"/>
      <c r="H70" s="33"/>
      <c r="I70" s="34"/>
      <c r="J70" s="31"/>
      <c r="K70" s="2"/>
      <c r="L70" s="2"/>
      <c r="M70" s="27"/>
      <c r="N70" s="27"/>
      <c r="O70" s="31"/>
      <c r="P70" s="27"/>
      <c r="Q70" s="35">
        <f t="shared" si="2"/>
        <v>1</v>
      </c>
      <c r="R70" s="35">
        <f t="shared" si="3"/>
        <v>1</v>
      </c>
    </row>
    <row r="71" spans="1:18" ht="14.25" x14ac:dyDescent="0.2">
      <c r="A71" s="27">
        <v>68</v>
      </c>
      <c r="B71" s="28"/>
      <c r="C71" s="29"/>
      <c r="D71" s="2"/>
      <c r="E71" s="2"/>
      <c r="F71" s="31"/>
      <c r="G71" s="32"/>
      <c r="H71" s="33"/>
      <c r="I71" s="34"/>
      <c r="J71" s="31"/>
      <c r="K71" s="2"/>
      <c r="L71" s="2"/>
      <c r="M71" s="27"/>
      <c r="N71" s="27"/>
      <c r="O71" s="31"/>
      <c r="P71" s="27"/>
      <c r="Q71" s="35">
        <f t="shared" si="2"/>
        <v>1</v>
      </c>
      <c r="R71" s="35">
        <f t="shared" si="3"/>
        <v>1</v>
      </c>
    </row>
    <row r="72" spans="1:18" ht="14.25" x14ac:dyDescent="0.2">
      <c r="A72" s="27">
        <v>69</v>
      </c>
      <c r="B72" s="28"/>
      <c r="C72" s="29"/>
      <c r="D72" s="2"/>
      <c r="E72" s="2"/>
      <c r="F72" s="31"/>
      <c r="G72" s="32"/>
      <c r="H72" s="33"/>
      <c r="I72" s="34"/>
      <c r="J72" s="31"/>
      <c r="K72" s="2"/>
      <c r="L72" s="2"/>
      <c r="M72" s="27"/>
      <c r="N72" s="27"/>
      <c r="O72" s="31"/>
      <c r="P72" s="27"/>
      <c r="Q72" s="35">
        <f t="shared" si="2"/>
        <v>1</v>
      </c>
      <c r="R72" s="35">
        <f t="shared" si="3"/>
        <v>1</v>
      </c>
    </row>
    <row r="73" spans="1:18" ht="14.25" x14ac:dyDescent="0.2">
      <c r="A73" s="27">
        <v>70</v>
      </c>
      <c r="B73" s="28"/>
      <c r="C73" s="29"/>
      <c r="D73" s="2"/>
      <c r="E73" s="2"/>
      <c r="F73" s="31"/>
      <c r="G73" s="32"/>
      <c r="H73" s="33"/>
      <c r="I73" s="34"/>
      <c r="J73" s="31"/>
      <c r="K73" s="2"/>
      <c r="L73" s="2"/>
      <c r="M73" s="27"/>
      <c r="N73" s="27"/>
      <c r="O73" s="31"/>
      <c r="P73" s="27"/>
      <c r="Q73" s="35">
        <f t="shared" si="2"/>
        <v>1</v>
      </c>
      <c r="R73" s="35">
        <f t="shared" si="3"/>
        <v>1</v>
      </c>
    </row>
    <row r="74" spans="1:18" ht="14.25" x14ac:dyDescent="0.2">
      <c r="A74" s="27">
        <v>71</v>
      </c>
      <c r="B74" s="28"/>
      <c r="C74" s="29"/>
      <c r="D74" s="2"/>
      <c r="E74" s="2"/>
      <c r="F74" s="31"/>
      <c r="G74" s="32"/>
      <c r="H74" s="33"/>
      <c r="I74" s="34"/>
      <c r="J74" s="31"/>
      <c r="K74" s="2"/>
      <c r="L74" s="2"/>
      <c r="M74" s="27"/>
      <c r="N74" s="27"/>
      <c r="O74" s="31"/>
      <c r="P74" s="27"/>
      <c r="Q74" s="35">
        <f t="shared" si="2"/>
        <v>1</v>
      </c>
      <c r="R74" s="35">
        <f t="shared" si="3"/>
        <v>1</v>
      </c>
    </row>
    <row r="75" spans="1:18" ht="14.25" x14ac:dyDescent="0.2">
      <c r="A75" s="27">
        <v>72</v>
      </c>
      <c r="B75" s="28"/>
      <c r="C75" s="29"/>
      <c r="D75" s="2"/>
      <c r="E75" s="2"/>
      <c r="F75" s="31"/>
      <c r="G75" s="32"/>
      <c r="H75" s="33"/>
      <c r="I75" s="34"/>
      <c r="J75" s="31"/>
      <c r="K75" s="2"/>
      <c r="L75" s="2"/>
      <c r="M75" s="27"/>
      <c r="N75" s="27"/>
      <c r="O75" s="31"/>
      <c r="P75" s="27"/>
      <c r="Q75" s="35">
        <f t="shared" si="2"/>
        <v>1</v>
      </c>
      <c r="R75" s="35">
        <f t="shared" si="3"/>
        <v>1</v>
      </c>
    </row>
    <row r="76" spans="1:18" ht="14.25" x14ac:dyDescent="0.2">
      <c r="A76" s="27">
        <v>73</v>
      </c>
      <c r="B76" s="28"/>
      <c r="C76" s="29"/>
      <c r="D76" s="2"/>
      <c r="E76" s="2"/>
      <c r="F76" s="31"/>
      <c r="G76" s="32"/>
      <c r="H76" s="33"/>
      <c r="I76" s="34"/>
      <c r="J76" s="31"/>
      <c r="K76" s="2"/>
      <c r="L76" s="2"/>
      <c r="M76" s="27"/>
      <c r="N76" s="27"/>
      <c r="O76" s="31"/>
      <c r="P76" s="27"/>
      <c r="Q76" s="35">
        <f t="shared" si="2"/>
        <v>1</v>
      </c>
      <c r="R76" s="35">
        <f t="shared" si="3"/>
        <v>1</v>
      </c>
    </row>
    <row r="77" spans="1:18" ht="14.25" x14ac:dyDescent="0.2">
      <c r="A77" s="27">
        <v>74</v>
      </c>
      <c r="B77" s="28"/>
      <c r="C77" s="29"/>
      <c r="D77" s="2"/>
      <c r="E77" s="2"/>
      <c r="F77" s="31"/>
      <c r="G77" s="32"/>
      <c r="H77" s="33"/>
      <c r="I77" s="34"/>
      <c r="J77" s="31"/>
      <c r="K77" s="2"/>
      <c r="L77" s="2"/>
      <c r="M77" s="27"/>
      <c r="N77" s="27"/>
      <c r="O77" s="31"/>
      <c r="P77" s="27"/>
      <c r="Q77" s="35">
        <f t="shared" si="2"/>
        <v>1</v>
      </c>
      <c r="R77" s="35">
        <f t="shared" si="3"/>
        <v>1</v>
      </c>
    </row>
    <row r="78" spans="1:18" ht="14.25" x14ac:dyDescent="0.2">
      <c r="A78" s="27">
        <v>75</v>
      </c>
      <c r="B78" s="28"/>
      <c r="C78" s="29"/>
      <c r="D78" s="2"/>
      <c r="E78" s="2"/>
      <c r="F78" s="31"/>
      <c r="G78" s="32"/>
      <c r="H78" s="33"/>
      <c r="I78" s="34"/>
      <c r="J78" s="31"/>
      <c r="K78" s="2"/>
      <c r="L78" s="2"/>
      <c r="M78" s="27"/>
      <c r="N78" s="27"/>
      <c r="O78" s="31"/>
      <c r="P78" s="27"/>
      <c r="Q78" s="35">
        <f t="shared" si="2"/>
        <v>1</v>
      </c>
      <c r="R78" s="35">
        <f t="shared" si="3"/>
        <v>1</v>
      </c>
    </row>
    <row r="79" spans="1:18" ht="14.25" x14ac:dyDescent="0.2">
      <c r="A79" s="27">
        <v>76</v>
      </c>
      <c r="B79" s="28"/>
      <c r="C79" s="29"/>
      <c r="D79" s="2"/>
      <c r="E79" s="2"/>
      <c r="F79" s="31"/>
      <c r="G79" s="32"/>
      <c r="H79" s="33"/>
      <c r="I79" s="34"/>
      <c r="J79" s="31"/>
      <c r="K79" s="2"/>
      <c r="L79" s="2"/>
      <c r="M79" s="27"/>
      <c r="N79" s="27"/>
      <c r="O79" s="31"/>
      <c r="P79" s="27"/>
      <c r="Q79" s="35">
        <f t="shared" si="2"/>
        <v>1</v>
      </c>
      <c r="R79" s="35">
        <f t="shared" si="3"/>
        <v>1</v>
      </c>
    </row>
    <row r="80" spans="1:18" ht="14.25" x14ac:dyDescent="0.2">
      <c r="A80" s="27">
        <v>77</v>
      </c>
      <c r="B80" s="28"/>
      <c r="C80" s="29"/>
      <c r="D80" s="2"/>
      <c r="E80" s="2"/>
      <c r="F80" s="31"/>
      <c r="G80" s="32"/>
      <c r="H80" s="33"/>
      <c r="I80" s="34"/>
      <c r="J80" s="31"/>
      <c r="K80" s="2"/>
      <c r="L80" s="2"/>
      <c r="M80" s="27"/>
      <c r="N80" s="27"/>
      <c r="O80" s="31"/>
      <c r="P80" s="27"/>
      <c r="Q80" s="35">
        <f t="shared" si="2"/>
        <v>1</v>
      </c>
      <c r="R80" s="35">
        <f t="shared" si="3"/>
        <v>1</v>
      </c>
    </row>
    <row r="81" spans="1:18" ht="14.25" x14ac:dyDescent="0.2">
      <c r="A81" s="27">
        <v>78</v>
      </c>
      <c r="B81" s="28"/>
      <c r="C81" s="29"/>
      <c r="D81" s="2"/>
      <c r="E81" s="2"/>
      <c r="F81" s="31"/>
      <c r="G81" s="32"/>
      <c r="H81" s="33"/>
      <c r="I81" s="34"/>
      <c r="J81" s="31"/>
      <c r="K81" s="2"/>
      <c r="L81" s="2"/>
      <c r="M81" s="27"/>
      <c r="N81" s="27"/>
      <c r="O81" s="31"/>
      <c r="P81" s="27"/>
      <c r="Q81" s="35">
        <f t="shared" si="2"/>
        <v>1</v>
      </c>
      <c r="R81" s="35">
        <f t="shared" si="3"/>
        <v>1</v>
      </c>
    </row>
    <row r="82" spans="1:18" ht="14.25" x14ac:dyDescent="0.2">
      <c r="A82" s="27">
        <v>79</v>
      </c>
      <c r="B82" s="28"/>
      <c r="C82" s="29"/>
      <c r="D82" s="2"/>
      <c r="E82" s="2"/>
      <c r="F82" s="31"/>
      <c r="G82" s="32"/>
      <c r="H82" s="33"/>
      <c r="I82" s="34"/>
      <c r="J82" s="31"/>
      <c r="K82" s="2"/>
      <c r="L82" s="2"/>
      <c r="M82" s="27"/>
      <c r="N82" s="27"/>
      <c r="O82" s="31"/>
      <c r="P82" s="27"/>
      <c r="Q82" s="35">
        <f t="shared" si="2"/>
        <v>1</v>
      </c>
      <c r="R82" s="35">
        <f t="shared" si="3"/>
        <v>1</v>
      </c>
    </row>
    <row r="83" spans="1:18" ht="14.25" x14ac:dyDescent="0.2">
      <c r="A83" s="27">
        <v>80</v>
      </c>
      <c r="B83" s="28"/>
      <c r="C83" s="29"/>
      <c r="D83" s="2"/>
      <c r="E83" s="2"/>
      <c r="F83" s="31"/>
      <c r="G83" s="32"/>
      <c r="H83" s="33"/>
      <c r="I83" s="34"/>
      <c r="J83" s="31"/>
      <c r="K83" s="2"/>
      <c r="L83" s="2"/>
      <c r="M83" s="27"/>
      <c r="N83" s="27"/>
      <c r="O83" s="31"/>
      <c r="P83" s="27"/>
      <c r="Q83" s="35">
        <f t="shared" si="2"/>
        <v>1</v>
      </c>
      <c r="R83" s="35">
        <f t="shared" si="3"/>
        <v>1</v>
      </c>
    </row>
    <row r="84" spans="1:18" ht="14.25" x14ac:dyDescent="0.2">
      <c r="A84" s="27">
        <v>81</v>
      </c>
      <c r="B84" s="28"/>
      <c r="C84" s="29"/>
      <c r="D84" s="2"/>
      <c r="E84" s="2"/>
      <c r="F84" s="31"/>
      <c r="G84" s="32"/>
      <c r="H84" s="33"/>
      <c r="I84" s="34"/>
      <c r="J84" s="31"/>
      <c r="K84" s="2"/>
      <c r="L84" s="2"/>
      <c r="M84" s="27"/>
      <c r="N84" s="27"/>
      <c r="O84" s="31"/>
      <c r="P84" s="27"/>
      <c r="Q84" s="35">
        <f t="shared" si="2"/>
        <v>1</v>
      </c>
      <c r="R84" s="35">
        <f t="shared" si="3"/>
        <v>1</v>
      </c>
    </row>
    <row r="85" spans="1:18" ht="14.25" x14ac:dyDescent="0.2">
      <c r="A85" s="27">
        <v>82</v>
      </c>
      <c r="B85" s="28"/>
      <c r="C85" s="29"/>
      <c r="D85" s="2"/>
      <c r="E85" s="2"/>
      <c r="F85" s="31"/>
      <c r="G85" s="32"/>
      <c r="H85" s="33"/>
      <c r="I85" s="34"/>
      <c r="J85" s="31"/>
      <c r="K85" s="2"/>
      <c r="L85" s="2"/>
      <c r="M85" s="27"/>
      <c r="N85" s="27"/>
      <c r="O85" s="31"/>
      <c r="P85" s="27"/>
      <c r="Q85" s="35">
        <f t="shared" si="2"/>
        <v>1</v>
      </c>
      <c r="R85" s="35">
        <f t="shared" si="3"/>
        <v>1</v>
      </c>
    </row>
    <row r="86" spans="1:18" ht="14.25" x14ac:dyDescent="0.2">
      <c r="A86" s="27">
        <v>83</v>
      </c>
      <c r="B86" s="28"/>
      <c r="C86" s="29"/>
      <c r="D86" s="2"/>
      <c r="E86" s="2"/>
      <c r="F86" s="31"/>
      <c r="G86" s="32"/>
      <c r="H86" s="33"/>
      <c r="I86" s="34"/>
      <c r="J86" s="31"/>
      <c r="K86" s="2"/>
      <c r="L86" s="2"/>
      <c r="M86" s="27"/>
      <c r="N86" s="27"/>
      <c r="O86" s="31"/>
      <c r="P86" s="27"/>
      <c r="Q86" s="35">
        <f t="shared" si="2"/>
        <v>1</v>
      </c>
      <c r="R86" s="35">
        <f t="shared" si="3"/>
        <v>1</v>
      </c>
    </row>
    <row r="87" spans="1:18" ht="14.25" x14ac:dyDescent="0.2">
      <c r="A87" s="27">
        <v>84</v>
      </c>
      <c r="B87" s="28"/>
      <c r="C87" s="29"/>
      <c r="D87" s="2"/>
      <c r="E87" s="2"/>
      <c r="F87" s="31"/>
      <c r="G87" s="32"/>
      <c r="H87" s="33"/>
      <c r="I87" s="34"/>
      <c r="J87" s="31"/>
      <c r="K87" s="2"/>
      <c r="L87" s="2"/>
      <c r="M87" s="27"/>
      <c r="N87" s="27"/>
      <c r="O87" s="31"/>
      <c r="P87" s="27"/>
      <c r="Q87" s="35">
        <f t="shared" si="2"/>
        <v>1</v>
      </c>
      <c r="R87" s="35">
        <f t="shared" si="3"/>
        <v>1</v>
      </c>
    </row>
    <row r="88" spans="1:18" ht="14.25" x14ac:dyDescent="0.2">
      <c r="A88" s="27">
        <v>85</v>
      </c>
      <c r="B88" s="28"/>
      <c r="C88" s="29"/>
      <c r="D88" s="2"/>
      <c r="E88" s="2"/>
      <c r="F88" s="31"/>
      <c r="G88" s="32"/>
      <c r="H88" s="33"/>
      <c r="I88" s="34"/>
      <c r="J88" s="31"/>
      <c r="K88" s="2"/>
      <c r="L88" s="2"/>
      <c r="M88" s="27"/>
      <c r="N88" s="27"/>
      <c r="O88" s="31"/>
      <c r="P88" s="27"/>
      <c r="Q88" s="35">
        <f t="shared" si="2"/>
        <v>1</v>
      </c>
      <c r="R88" s="35">
        <f t="shared" si="3"/>
        <v>1</v>
      </c>
    </row>
    <row r="89" spans="1:18" ht="14.25" x14ac:dyDescent="0.2">
      <c r="A89" s="27">
        <v>86</v>
      </c>
      <c r="B89" s="28"/>
      <c r="C89" s="29"/>
      <c r="D89" s="2"/>
      <c r="E89" s="2"/>
      <c r="F89" s="31"/>
      <c r="G89" s="32"/>
      <c r="H89" s="33"/>
      <c r="I89" s="34"/>
      <c r="J89" s="31"/>
      <c r="K89" s="2"/>
      <c r="L89" s="2"/>
      <c r="M89" s="27"/>
      <c r="N89" s="27"/>
      <c r="O89" s="31"/>
      <c r="P89" s="27"/>
      <c r="Q89" s="35">
        <f t="shared" si="2"/>
        <v>1</v>
      </c>
      <c r="R89" s="35">
        <f t="shared" si="3"/>
        <v>1</v>
      </c>
    </row>
    <row r="90" spans="1:18" ht="14.25" x14ac:dyDescent="0.2">
      <c r="A90" s="27">
        <v>87</v>
      </c>
      <c r="B90" s="28"/>
      <c r="C90" s="29"/>
      <c r="D90" s="2"/>
      <c r="E90" s="2"/>
      <c r="F90" s="31"/>
      <c r="G90" s="32"/>
      <c r="H90" s="33"/>
      <c r="I90" s="34"/>
      <c r="J90" s="31"/>
      <c r="K90" s="2"/>
      <c r="L90" s="2"/>
      <c r="M90" s="27"/>
      <c r="N90" s="27"/>
      <c r="O90" s="31"/>
      <c r="P90" s="27"/>
      <c r="Q90" s="35">
        <f t="shared" si="2"/>
        <v>1</v>
      </c>
      <c r="R90" s="35">
        <f t="shared" si="3"/>
        <v>1</v>
      </c>
    </row>
    <row r="91" spans="1:18" ht="14.25" x14ac:dyDescent="0.2">
      <c r="A91" s="27">
        <v>88</v>
      </c>
      <c r="B91" s="28"/>
      <c r="C91" s="29"/>
      <c r="D91" s="2"/>
      <c r="E91" s="2"/>
      <c r="F91" s="31"/>
      <c r="G91" s="32"/>
      <c r="H91" s="33"/>
      <c r="I91" s="34"/>
      <c r="J91" s="31"/>
      <c r="K91" s="2"/>
      <c r="L91" s="2"/>
      <c r="M91" s="27"/>
      <c r="N91" s="27"/>
      <c r="O91" s="31"/>
      <c r="P91" s="27"/>
      <c r="Q91" s="35">
        <f t="shared" si="2"/>
        <v>1</v>
      </c>
      <c r="R91" s="35">
        <f t="shared" si="3"/>
        <v>1</v>
      </c>
    </row>
    <row r="92" spans="1:18" ht="14.25" x14ac:dyDescent="0.2">
      <c r="A92" s="27">
        <v>89</v>
      </c>
      <c r="B92" s="28"/>
      <c r="C92" s="29"/>
      <c r="D92" s="2"/>
      <c r="E92" s="2"/>
      <c r="F92" s="31"/>
      <c r="G92" s="32"/>
      <c r="H92" s="33"/>
      <c r="I92" s="34"/>
      <c r="J92" s="31"/>
      <c r="K92" s="2"/>
      <c r="L92" s="2"/>
      <c r="M92" s="27"/>
      <c r="N92" s="27"/>
      <c r="O92" s="31"/>
      <c r="P92" s="27"/>
      <c r="Q92" s="35">
        <f t="shared" si="2"/>
        <v>1</v>
      </c>
      <c r="R92" s="35">
        <f t="shared" si="3"/>
        <v>1</v>
      </c>
    </row>
    <row r="93" spans="1:18" ht="14.25" x14ac:dyDescent="0.2">
      <c r="A93" s="27">
        <v>90</v>
      </c>
      <c r="B93" s="28"/>
      <c r="C93" s="29"/>
      <c r="D93" s="2"/>
      <c r="E93" s="2"/>
      <c r="F93" s="31"/>
      <c r="G93" s="32"/>
      <c r="H93" s="33"/>
      <c r="I93" s="34"/>
      <c r="J93" s="31"/>
      <c r="K93" s="2"/>
      <c r="L93" s="2"/>
      <c r="M93" s="27"/>
      <c r="N93" s="27"/>
      <c r="O93" s="31"/>
      <c r="P93" s="27"/>
      <c r="Q93" s="35">
        <f t="shared" si="2"/>
        <v>1</v>
      </c>
      <c r="R93" s="35">
        <f t="shared" si="3"/>
        <v>1</v>
      </c>
    </row>
    <row r="94" spans="1:18" ht="14.25" x14ac:dyDescent="0.2">
      <c r="A94" s="27">
        <v>91</v>
      </c>
      <c r="B94" s="28"/>
      <c r="C94" s="29"/>
      <c r="D94" s="2"/>
      <c r="E94" s="2"/>
      <c r="F94" s="31"/>
      <c r="G94" s="32"/>
      <c r="H94" s="33"/>
      <c r="I94" s="34"/>
      <c r="J94" s="31"/>
      <c r="K94" s="2"/>
      <c r="L94" s="2"/>
      <c r="M94" s="27"/>
      <c r="N94" s="27"/>
      <c r="O94" s="31"/>
      <c r="P94" s="27"/>
      <c r="Q94" s="35">
        <f t="shared" si="2"/>
        <v>1</v>
      </c>
      <c r="R94" s="35">
        <f t="shared" si="3"/>
        <v>1</v>
      </c>
    </row>
    <row r="95" spans="1:18" ht="14.25" x14ac:dyDescent="0.2">
      <c r="A95" s="27">
        <v>92</v>
      </c>
      <c r="B95" s="28"/>
      <c r="C95" s="29"/>
      <c r="D95" s="2"/>
      <c r="E95" s="2"/>
      <c r="F95" s="31"/>
      <c r="G95" s="32"/>
      <c r="H95" s="33"/>
      <c r="I95" s="34"/>
      <c r="J95" s="31"/>
      <c r="K95" s="2"/>
      <c r="L95" s="2"/>
      <c r="M95" s="27"/>
      <c r="N95" s="27"/>
      <c r="O95" s="31"/>
      <c r="P95" s="27"/>
      <c r="Q95" s="35">
        <f t="shared" si="2"/>
        <v>1</v>
      </c>
      <c r="R95" s="35">
        <f t="shared" si="3"/>
        <v>1</v>
      </c>
    </row>
    <row r="96" spans="1:18" ht="14.25" x14ac:dyDescent="0.2">
      <c r="A96" s="27">
        <v>93</v>
      </c>
      <c r="B96" s="28"/>
      <c r="C96" s="29"/>
      <c r="D96" s="2"/>
      <c r="E96" s="2"/>
      <c r="F96" s="31"/>
      <c r="G96" s="32"/>
      <c r="H96" s="33"/>
      <c r="I96" s="34"/>
      <c r="J96" s="31"/>
      <c r="K96" s="2"/>
      <c r="L96" s="2"/>
      <c r="M96" s="27"/>
      <c r="N96" s="27"/>
      <c r="O96" s="31"/>
      <c r="P96" s="27"/>
      <c r="Q96" s="35">
        <f t="shared" si="2"/>
        <v>1</v>
      </c>
      <c r="R96" s="35">
        <f t="shared" si="3"/>
        <v>1</v>
      </c>
    </row>
    <row r="97" spans="1:19" ht="14.25" x14ac:dyDescent="0.2">
      <c r="A97" s="27">
        <v>94</v>
      </c>
      <c r="B97" s="28"/>
      <c r="C97" s="29"/>
      <c r="D97" s="2"/>
      <c r="E97" s="2"/>
      <c r="F97" s="31"/>
      <c r="G97" s="32"/>
      <c r="H97" s="33"/>
      <c r="I97" s="34"/>
      <c r="J97" s="31"/>
      <c r="K97" s="2"/>
      <c r="L97" s="2"/>
      <c r="M97" s="27"/>
      <c r="N97" s="27"/>
      <c r="O97" s="31"/>
      <c r="P97" s="27"/>
      <c r="Q97" s="35">
        <f t="shared" si="2"/>
        <v>1</v>
      </c>
      <c r="R97" s="35">
        <f t="shared" si="3"/>
        <v>1</v>
      </c>
    </row>
    <row r="98" spans="1:19" ht="14.25" x14ac:dyDescent="0.2">
      <c r="A98" s="27">
        <v>95</v>
      </c>
      <c r="B98" s="28"/>
      <c r="C98" s="29"/>
      <c r="D98" s="2"/>
      <c r="E98" s="2"/>
      <c r="F98" s="31"/>
      <c r="G98" s="32"/>
      <c r="H98" s="33"/>
      <c r="I98" s="34"/>
      <c r="J98" s="31"/>
      <c r="K98" s="2"/>
      <c r="L98" s="2"/>
      <c r="M98" s="27"/>
      <c r="N98" s="27"/>
      <c r="O98" s="31"/>
      <c r="P98" s="27"/>
      <c r="Q98" s="35">
        <f t="shared" si="2"/>
        <v>1</v>
      </c>
      <c r="R98" s="35">
        <f t="shared" si="3"/>
        <v>1</v>
      </c>
    </row>
    <row r="99" spans="1:19" ht="14.25" x14ac:dyDescent="0.2">
      <c r="A99" s="27">
        <v>96</v>
      </c>
      <c r="B99" s="28"/>
      <c r="C99" s="29"/>
      <c r="D99" s="2"/>
      <c r="E99" s="2"/>
      <c r="F99" s="31"/>
      <c r="G99" s="32"/>
      <c r="H99" s="33"/>
      <c r="I99" s="34"/>
      <c r="J99" s="31"/>
      <c r="K99" s="2"/>
      <c r="L99" s="2"/>
      <c r="M99" s="27"/>
      <c r="N99" s="27"/>
      <c r="O99" s="31"/>
      <c r="P99" s="27"/>
      <c r="Q99" s="35">
        <f t="shared" si="2"/>
        <v>1</v>
      </c>
      <c r="R99" s="35">
        <f t="shared" si="3"/>
        <v>1</v>
      </c>
    </row>
    <row r="100" spans="1:19" ht="14.25" x14ac:dyDescent="0.2">
      <c r="A100" s="27">
        <v>97</v>
      </c>
      <c r="B100" s="28"/>
      <c r="C100" s="29"/>
      <c r="D100" s="2"/>
      <c r="E100" s="2"/>
      <c r="F100" s="31"/>
      <c r="G100" s="32"/>
      <c r="H100" s="33"/>
      <c r="I100" s="34"/>
      <c r="J100" s="31"/>
      <c r="K100" s="2"/>
      <c r="L100" s="2"/>
      <c r="M100" s="27"/>
      <c r="N100" s="27"/>
      <c r="O100" s="31"/>
      <c r="P100" s="27"/>
      <c r="Q100" s="35">
        <f t="shared" si="2"/>
        <v>1</v>
      </c>
      <c r="R100" s="35">
        <f t="shared" si="3"/>
        <v>1</v>
      </c>
    </row>
    <row r="101" spans="1:19" ht="25.5" x14ac:dyDescent="0.2">
      <c r="A101" s="27">
        <v>98</v>
      </c>
      <c r="B101" s="28" t="s">
        <v>33</v>
      </c>
      <c r="C101" s="29"/>
      <c r="D101" s="2" t="s">
        <v>41</v>
      </c>
      <c r="E101" s="2"/>
      <c r="F101" s="31"/>
      <c r="G101" s="32"/>
      <c r="H101" s="33" t="s">
        <v>50</v>
      </c>
      <c r="I101" s="34" t="s">
        <v>77</v>
      </c>
      <c r="J101" s="31"/>
      <c r="K101" s="2"/>
      <c r="L101" s="2"/>
      <c r="M101" s="27"/>
      <c r="N101" s="27" t="s">
        <v>48</v>
      </c>
      <c r="O101" s="31"/>
      <c r="P101" s="27"/>
      <c r="Q101" s="35">
        <f t="shared" si="2"/>
        <v>1</v>
      </c>
      <c r="R101" s="35">
        <f t="shared" si="3"/>
        <v>1</v>
      </c>
    </row>
    <row r="102" spans="1:19" ht="14.25" x14ac:dyDescent="0.2">
      <c r="A102" s="27">
        <v>99</v>
      </c>
      <c r="B102" s="28" t="s">
        <v>46</v>
      </c>
      <c r="C102" s="29"/>
      <c r="D102" s="2" t="s">
        <v>43</v>
      </c>
      <c r="E102" s="2"/>
      <c r="F102" s="31"/>
      <c r="G102" s="32"/>
      <c r="H102" s="33" t="s">
        <v>50</v>
      </c>
      <c r="I102" s="34" t="s">
        <v>76</v>
      </c>
      <c r="J102" s="31"/>
      <c r="K102" s="2"/>
      <c r="L102" s="2"/>
      <c r="M102" s="27"/>
      <c r="N102" s="27" t="s">
        <v>52</v>
      </c>
      <c r="O102" s="31"/>
      <c r="P102" s="27"/>
      <c r="Q102" s="35">
        <f t="shared" si="2"/>
        <v>1</v>
      </c>
      <c r="R102" s="35">
        <f t="shared" si="3"/>
        <v>1</v>
      </c>
    </row>
    <row r="103" spans="1:19" ht="14.25" x14ac:dyDescent="0.2">
      <c r="A103" s="27">
        <v>100</v>
      </c>
      <c r="B103" s="36"/>
      <c r="C103" s="37"/>
      <c r="D103" s="38"/>
      <c r="E103" s="2"/>
      <c r="F103" s="31"/>
      <c r="G103" s="32"/>
      <c r="H103" s="33"/>
      <c r="I103" s="34"/>
      <c r="J103" s="31"/>
      <c r="K103" s="2"/>
      <c r="L103" s="2"/>
      <c r="M103" s="27"/>
      <c r="N103" s="27"/>
      <c r="O103" s="31"/>
      <c r="P103" s="27"/>
      <c r="Q103" s="35">
        <f t="shared" si="2"/>
        <v>1</v>
      </c>
      <c r="R103" s="35">
        <f t="shared" si="3"/>
        <v>1</v>
      </c>
    </row>
    <row r="104" spans="1:19" x14ac:dyDescent="0.2">
      <c r="B104" s="39" t="s">
        <v>78</v>
      </c>
    </row>
    <row r="105" spans="1:19" x14ac:dyDescent="0.2">
      <c r="B105" s="43"/>
    </row>
    <row r="106" spans="1:19" ht="16.5" thickBot="1" x14ac:dyDescent="0.3">
      <c r="C106" s="426" t="s">
        <v>79</v>
      </c>
      <c r="D106" s="426"/>
      <c r="E106" s="426"/>
      <c r="F106" s="426"/>
      <c r="G106" s="426"/>
      <c r="H106" s="426"/>
      <c r="I106" s="426"/>
      <c r="J106" s="426"/>
      <c r="M106" s="426" t="s">
        <v>79</v>
      </c>
      <c r="N106" s="426"/>
      <c r="O106" s="426"/>
      <c r="P106" s="426"/>
      <c r="Q106" s="426"/>
      <c r="R106" s="426"/>
    </row>
    <row r="107" spans="1:19" ht="16.5" thickBot="1" x14ac:dyDescent="0.3">
      <c r="C107" s="427" t="s">
        <v>80</v>
      </c>
      <c r="D107" s="428"/>
      <c r="E107" s="429" t="s">
        <v>3</v>
      </c>
      <c r="F107" s="430"/>
      <c r="G107" s="44" t="s">
        <v>81</v>
      </c>
      <c r="H107" s="45" t="s">
        <v>40</v>
      </c>
      <c r="I107" s="45" t="s">
        <v>41</v>
      </c>
      <c r="J107" s="46" t="s">
        <v>43</v>
      </c>
      <c r="M107" s="47" t="s">
        <v>82</v>
      </c>
      <c r="N107" s="48" t="s">
        <v>83</v>
      </c>
      <c r="O107" s="49" t="s">
        <v>40</v>
      </c>
      <c r="P107" s="50" t="s">
        <v>41</v>
      </c>
      <c r="Q107" s="51" t="s">
        <v>43</v>
      </c>
      <c r="R107" s="52" t="s">
        <v>84</v>
      </c>
      <c r="S107" s="53"/>
    </row>
    <row r="108" spans="1:19" ht="13.5" thickTop="1" x14ac:dyDescent="0.2">
      <c r="C108" s="54" t="s">
        <v>75</v>
      </c>
      <c r="D108" s="34">
        <f>COUNTIF($H$4:H104,"No Conformidad")</f>
        <v>4</v>
      </c>
      <c r="E108" s="55" t="s">
        <v>76</v>
      </c>
      <c r="F108" s="56">
        <f>COUNTIF($I$4:I104,"Si")</f>
        <v>5</v>
      </c>
      <c r="G108" s="57" t="s">
        <v>75</v>
      </c>
      <c r="H108" s="34">
        <f>COUNTIFS($H$4:H104,"No Conformidad",$D$4:D104,"Auditoria")</f>
        <v>4</v>
      </c>
      <c r="I108" s="34">
        <f>COUNTIFS($H$4:H104,"No Conformidad",$D$4:D104,"Especial")</f>
        <v>0</v>
      </c>
      <c r="J108" s="56">
        <f>COUNTIFS($H$4:H104,"No Conformidad",$D$4:D104,"Informes")</f>
        <v>0</v>
      </c>
      <c r="M108" s="58" t="s">
        <v>48</v>
      </c>
      <c r="N108" s="59">
        <f>COUNTIF($N$4:$N104,"Abierta")</f>
        <v>4</v>
      </c>
      <c r="O108" s="27">
        <f>COUNTIFS($N$4:$N104,"Abierta",$D$4:$D104,"Auditoria")</f>
        <v>3</v>
      </c>
      <c r="P108" s="27">
        <f>COUNTIFS($N$4:$N104,"Abierta",$D$4:$D104,"Especial")</f>
        <v>1</v>
      </c>
      <c r="Q108" s="60">
        <f>COUNTIFS($N$4:$N104,"Abierta",$D$4:$D104,"Informes")</f>
        <v>0</v>
      </c>
      <c r="R108" s="61">
        <f>SUM(O108:Q108)</f>
        <v>4</v>
      </c>
    </row>
    <row r="109" spans="1:19" ht="13.5" thickBot="1" x14ac:dyDescent="0.25">
      <c r="C109" s="62" t="s">
        <v>50</v>
      </c>
      <c r="D109" s="63">
        <f>COUNTIF($H$4:H104,"Recomendación")</f>
        <v>3</v>
      </c>
      <c r="E109" s="64" t="s">
        <v>77</v>
      </c>
      <c r="F109" s="65">
        <f>COUNTIF($I$4:I104,"No")</f>
        <v>2</v>
      </c>
      <c r="G109" s="66" t="s">
        <v>50</v>
      </c>
      <c r="H109" s="63">
        <f>COUNTIFS($H$4:H104,"Recomendación",$D$4:D104,"Auditoria")</f>
        <v>1</v>
      </c>
      <c r="I109" s="63">
        <f>COUNTIFS($H$4:H104,"Recomendación",$D$4:D104,"Especial")</f>
        <v>1</v>
      </c>
      <c r="J109" s="65">
        <f>COUNTIFS($H$4:H104,"Recomendación",$D$4:D104,"Informes")</f>
        <v>1</v>
      </c>
      <c r="M109" s="67" t="s">
        <v>52</v>
      </c>
      <c r="N109" s="68">
        <f>COUNTIF($N$4:$N104,"Cerrada")</f>
        <v>3</v>
      </c>
      <c r="O109" s="69">
        <f>COUNTIFS($N$4:$N104,"Cerrada",$D$4:$D104,"Auditoria")</f>
        <v>2</v>
      </c>
      <c r="P109" s="69">
        <f>COUNTIFS($N$4:$N104,"Cerrada",$D$4:$D104,"Especial")</f>
        <v>0</v>
      </c>
      <c r="Q109" s="70">
        <f>COUNTIFS($N$4:N104,"Cerrada",$D$4:D104,"Informes")</f>
        <v>1</v>
      </c>
      <c r="R109" s="71">
        <f>SUM(O109:Q109)</f>
        <v>3</v>
      </c>
    </row>
    <row r="110" spans="1:19" ht="14.25" thickTop="1" thickBot="1" x14ac:dyDescent="0.25">
      <c r="C110" s="72" t="s">
        <v>83</v>
      </c>
      <c r="D110" s="73">
        <f>SUM(D108:D109)</f>
        <v>7</v>
      </c>
      <c r="E110" s="74" t="s">
        <v>83</v>
      </c>
      <c r="F110" s="75">
        <f>SUM(F108:F109)</f>
        <v>7</v>
      </c>
      <c r="G110" s="76" t="s">
        <v>83</v>
      </c>
      <c r="H110" s="77">
        <f>SUM(H108:H109)</f>
        <v>5</v>
      </c>
      <c r="I110" s="78">
        <f>SUM(I108:I109)</f>
        <v>1</v>
      </c>
      <c r="J110" s="79">
        <f>SUM(J108:J109)</f>
        <v>1</v>
      </c>
      <c r="N110" s="80">
        <f>SUM(N108:N109)</f>
        <v>7</v>
      </c>
      <c r="R110" s="81">
        <f>SUM(R108:R109)</f>
        <v>7</v>
      </c>
    </row>
    <row r="111" spans="1:19" ht="11.25" customHeight="1" thickBot="1" x14ac:dyDescent="0.25">
      <c r="G111" s="82" t="s">
        <v>85</v>
      </c>
      <c r="H111" s="83">
        <f>SUM(H110:J110)</f>
        <v>7</v>
      </c>
      <c r="I111" s="84"/>
      <c r="J111" s="84"/>
      <c r="M111" s="85" t="s">
        <v>52</v>
      </c>
    </row>
    <row r="112" spans="1:19" ht="13.5" thickBot="1" x14ac:dyDescent="0.25">
      <c r="B112" s="16" t="s">
        <v>86</v>
      </c>
      <c r="F112" s="86"/>
      <c r="G112" s="87"/>
      <c r="H112" s="88"/>
      <c r="I112" s="84"/>
      <c r="J112" s="84"/>
      <c r="K112" s="84"/>
      <c r="M112" s="89" t="s">
        <v>87</v>
      </c>
      <c r="N112" s="90" t="s">
        <v>40</v>
      </c>
      <c r="O112" s="50" t="s">
        <v>41</v>
      </c>
      <c r="P112" s="51" t="s">
        <v>43</v>
      </c>
    </row>
    <row r="113" spans="2:20" ht="16.5" thickTop="1" thickBot="1" x14ac:dyDescent="0.3">
      <c r="B113" s="91" t="s">
        <v>88</v>
      </c>
      <c r="C113" s="92" t="str">
        <f>C1</f>
        <v>AÑO</v>
      </c>
      <c r="F113" s="86"/>
      <c r="M113" s="93" t="s">
        <v>89</v>
      </c>
      <c r="N113" s="94">
        <f>COUNTIFS($N$4:$N104,"Cerrada",$H$4:$H104,"No conformidad",$D$4:$D104,"Auditoria")</f>
        <v>2</v>
      </c>
      <c r="O113" s="27">
        <f>COUNTIFS($N$4:$N104,"Cerrada",$H$4:$H104,"No conformidad",$D$4:$D104,"Especial")</f>
        <v>0</v>
      </c>
      <c r="P113" s="27">
        <f>COUNTIFS($N$4:$N104,"Cerrada",$H$4:$H104,"No conformidad",$D$4:$D104,"Informes")</f>
        <v>0</v>
      </c>
    </row>
    <row r="114" spans="2:20" ht="14.25" customHeight="1" thickBot="1" x14ac:dyDescent="0.25">
      <c r="B114" s="421" t="s">
        <v>0</v>
      </c>
      <c r="C114" s="431" t="s">
        <v>90</v>
      </c>
      <c r="D114" s="431"/>
      <c r="E114" s="431"/>
      <c r="F114" s="432" t="s">
        <v>91</v>
      </c>
      <c r="H114" s="434" t="s">
        <v>92</v>
      </c>
      <c r="I114" s="435"/>
      <c r="J114" s="436" t="s">
        <v>93</v>
      </c>
      <c r="K114" s="437"/>
      <c r="M114" s="95" t="s">
        <v>94</v>
      </c>
      <c r="N114" s="96">
        <f>COUNTIFS($N$4:$N104,"Cerrada",$H$4:$H104,"Recomendación",$D$4:$D104,"Auditoria")</f>
        <v>0</v>
      </c>
      <c r="O114" s="63">
        <f>COUNTIFS($N$4:$N104,"Cerrada",$H$4:$H104,"Recomendación",$D$4:$D104,"Especial")</f>
        <v>0</v>
      </c>
      <c r="P114" s="63">
        <f>COUNTIFS($N$4:$N104,"Cerrada",$H$4:$H104,"Recomendación",$D$4:$D104,"Informes")</f>
        <v>1</v>
      </c>
    </row>
    <row r="115" spans="2:20" ht="22.5" customHeight="1" thickBot="1" x14ac:dyDescent="0.25">
      <c r="B115" s="422"/>
      <c r="C115" s="97" t="s">
        <v>40</v>
      </c>
      <c r="D115" s="97" t="s">
        <v>41</v>
      </c>
      <c r="E115" s="97" t="s">
        <v>43</v>
      </c>
      <c r="F115" s="433"/>
      <c r="H115" s="98" t="s">
        <v>75</v>
      </c>
      <c r="I115" s="99" t="s">
        <v>50</v>
      </c>
      <c r="J115" s="100" t="s">
        <v>76</v>
      </c>
      <c r="K115" s="101" t="s">
        <v>77</v>
      </c>
      <c r="M115" s="91" t="s">
        <v>83</v>
      </c>
      <c r="N115" s="102">
        <f>SUM(N113:N114)</f>
        <v>2</v>
      </c>
      <c r="O115" s="103">
        <f t="shared" ref="O115:P115" si="4">SUM(O113:O114)</f>
        <v>0</v>
      </c>
      <c r="P115" s="104">
        <f t="shared" si="4"/>
        <v>1</v>
      </c>
    </row>
    <row r="116" spans="2:20" ht="15.75" customHeight="1" thickTop="1" thickBot="1" x14ac:dyDescent="0.3">
      <c r="B116" s="105" t="s">
        <v>46</v>
      </c>
      <c r="C116" s="27">
        <f>COUNTIFS($D$4:$D104,"Auditoria",$B$4:$B104,$B116)</f>
        <v>1</v>
      </c>
      <c r="D116" s="27">
        <f>COUNTIFS($D$4:$D104,"Especial",$B$4:$B104,$B116)</f>
        <v>0</v>
      </c>
      <c r="E116" s="27">
        <f>COUNTIFS($D$4:$D104,"Especial",$B$4:$B104,$B116)</f>
        <v>0</v>
      </c>
      <c r="F116" s="27">
        <f>COUNTIF($B$4:B104,$B116)</f>
        <v>2</v>
      </c>
      <c r="H116" s="106">
        <f>COUNTIFS($H$4:$H104,"No Conformidad",$B$4:$B104,$B116)</f>
        <v>1</v>
      </c>
      <c r="I116" s="27">
        <f>COUNTIFS($H$4:$H104,"Recomendación",$B$4:$B104,$B116)</f>
        <v>1</v>
      </c>
      <c r="J116" s="27">
        <f>COUNTIFS($I$4:I104,"Si",$B$4:B104,$B116)</f>
        <v>1</v>
      </c>
      <c r="K116" s="60">
        <f>COUNTIFS($I$4:I104,"No",$B$4:B104,$B116)</f>
        <v>1</v>
      </c>
      <c r="M116" s="91" t="s">
        <v>85</v>
      </c>
      <c r="N116" s="107">
        <f>SUM(N115:P115)</f>
        <v>3</v>
      </c>
    </row>
    <row r="117" spans="2:20" ht="45.75" thickBot="1" x14ac:dyDescent="0.3">
      <c r="B117" s="108" t="s">
        <v>32</v>
      </c>
      <c r="C117" s="27">
        <f>COUNTIFS($D$4:$D104,"Auditoria",$B$4:$B104,$B117)</f>
        <v>0</v>
      </c>
      <c r="D117" s="27">
        <f>COUNTIFS($D$4:$D104,"Especial",$B$4:$B104,$B117)</f>
        <v>0</v>
      </c>
      <c r="E117" s="27">
        <f>COUNTIFS($D$4:$D104,"Especial",$B$4:$B104,$B117)</f>
        <v>0</v>
      </c>
      <c r="F117" s="27">
        <f>COUNTIF($B$4:B104,$B117)</f>
        <v>0</v>
      </c>
      <c r="H117" s="109">
        <f>COUNTIFS($H$4:$H104,"No Conformidad",$B$4:$B104,$B117)</f>
        <v>0</v>
      </c>
      <c r="I117" s="34">
        <f>COUNTIFS($H$4:$H104,"Recomendación",$B$4:$B104,$B117)</f>
        <v>0</v>
      </c>
      <c r="J117" s="34">
        <f>COUNTIFS($I$4:$I104,"Si",$B$4:$B104,$B117)</f>
        <v>0</v>
      </c>
      <c r="K117" s="56">
        <f>COUNTIFS($I$4:$I104,"No",$B$4:$B104,$B117)</f>
        <v>0</v>
      </c>
      <c r="T117" s="17"/>
    </row>
    <row r="118" spans="2:20" ht="15.75" thickBot="1" x14ac:dyDescent="0.3">
      <c r="B118" s="110" t="s">
        <v>9</v>
      </c>
      <c r="C118" s="27">
        <f>COUNTIFS($D$4:$D104,"Auditoria",$B$4:$B104,$B118)</f>
        <v>0</v>
      </c>
      <c r="D118" s="27">
        <f>COUNTIFS($D$4:$D104,"Especial",$B$4:$B104,$B118)</f>
        <v>0</v>
      </c>
      <c r="E118" s="27">
        <f>COUNTIFS($D$4:$D104,"Especial",$B$4:$B104,$B118)</f>
        <v>0</v>
      </c>
      <c r="F118" s="27">
        <f>COUNTIF($B$4:B104,$B118)</f>
        <v>0</v>
      </c>
      <c r="H118" s="109">
        <f>COUNTIFS($H$4:$H104,"No Conformidad",$B$4:$B104,$B118)</f>
        <v>0</v>
      </c>
      <c r="I118" s="34">
        <f>COUNTIFS($H$4:$H104,"Recomendación",$B$4:$B104,$B118)</f>
        <v>0</v>
      </c>
      <c r="J118" s="34">
        <f>COUNTIFS($I$4:$I104,"Si",$B$4:$B104,$B118)</f>
        <v>0</v>
      </c>
      <c r="K118" s="56">
        <f>COUNTIFS($I$4:$I104,"No",$B$4:$B104,$B118)</f>
        <v>0</v>
      </c>
      <c r="M118" s="111" t="s">
        <v>48</v>
      </c>
    </row>
    <row r="119" spans="2:20" ht="15.75" thickBot="1" x14ac:dyDescent="0.3">
      <c r="B119" s="110" t="s">
        <v>2</v>
      </c>
      <c r="C119" s="27">
        <f>COUNTIFS($D$4:$D104,"Auditoria",$B$4:$B104,$B119)</f>
        <v>0</v>
      </c>
      <c r="D119" s="27">
        <f>COUNTIFS($D$4:$D104,"Especial",$B$4:$B104,$B119)</f>
        <v>0</v>
      </c>
      <c r="E119" s="27">
        <f>COUNTIFS($D$4:$D104,"Especial",$B$4:$B104,$B119)</f>
        <v>0</v>
      </c>
      <c r="F119" s="27">
        <f>COUNTIF($B$4:B104,$B119)</f>
        <v>0</v>
      </c>
      <c r="H119" s="109">
        <f>COUNTIFS($H$4:$H104,"No Conformidad",$B$4:$B104,$B119)</f>
        <v>0</v>
      </c>
      <c r="I119" s="34">
        <f>COUNTIFS($H$4:$H104,"Recomendación",$B$4:$B104,$B119)</f>
        <v>0</v>
      </c>
      <c r="J119" s="34">
        <f>COUNTIFS($I$4:$I104,"Si",$B$4:$B104,$B119)</f>
        <v>0</v>
      </c>
      <c r="K119" s="56">
        <f>COUNTIFS($I$4:$I104,"No",$B$4:$B104,$B119)</f>
        <v>0</v>
      </c>
      <c r="M119" s="112" t="s">
        <v>95</v>
      </c>
      <c r="N119" s="113" t="s">
        <v>40</v>
      </c>
      <c r="O119" s="50" t="s">
        <v>41</v>
      </c>
      <c r="P119" s="51" t="s">
        <v>43</v>
      </c>
    </row>
    <row r="120" spans="2:20" ht="15.75" thickTop="1" x14ac:dyDescent="0.25">
      <c r="B120" s="110" t="s">
        <v>33</v>
      </c>
      <c r="C120" s="27">
        <f>COUNTIFS($D$4:$D104,"Auditoria",$B$4:$B104,$B120)</f>
        <v>2</v>
      </c>
      <c r="D120" s="27">
        <f>COUNTIFS($D$4:$D104,"Especial",$B$4:$B104,$B120)</f>
        <v>1</v>
      </c>
      <c r="E120" s="27">
        <f>COUNTIFS($D$4:$D104,"Especial",$B$4:$B104,$B120)</f>
        <v>1</v>
      </c>
      <c r="F120" s="27">
        <f>COUNTIF($B$4:B104,$B120)</f>
        <v>3</v>
      </c>
      <c r="H120" s="109">
        <f>COUNTIFS($H$4:$H104,"No Conformidad",$B$4:$B104,$B120)</f>
        <v>1</v>
      </c>
      <c r="I120" s="34">
        <f>COUNTIFS($H$4:$H104,"Recomendación",$B$4:$B104,$B120)</f>
        <v>2</v>
      </c>
      <c r="J120" s="34">
        <f>COUNTIFS($I$4:$I104,"Si",$B$4:$B104,$B120)</f>
        <v>2</v>
      </c>
      <c r="K120" s="56">
        <f>COUNTIFS($I$4:$I104,"No",$B$4:$B104,$B120)</f>
        <v>1</v>
      </c>
      <c r="M120" s="114" t="s">
        <v>96</v>
      </c>
      <c r="N120" s="106">
        <f>COUNTIFS($N$4:$N104,"Abierta",$H$4:$H104,"No conformidad",$D$4:$D104,"Auditoria")</f>
        <v>2</v>
      </c>
      <c r="O120" s="27">
        <f>COUNTIFS($N$4:$N104,"Abierta",$H$4:$H104,"No conformidad",$D$4:$D104,"Especial")</f>
        <v>0</v>
      </c>
      <c r="P120" s="60">
        <f>COUNTIFS($N$4:$N104,"Abierta",$H$4:$H104,"No conformidad",$D$4:$D104,"Informes")</f>
        <v>0</v>
      </c>
    </row>
    <row r="121" spans="2:20" ht="15.75" thickBot="1" x14ac:dyDescent="0.3">
      <c r="B121" s="110" t="s">
        <v>34</v>
      </c>
      <c r="C121" s="27">
        <f>COUNTIFS($D$4:$D104,"Auditoria",$B$4:$B104,$B121)</f>
        <v>1</v>
      </c>
      <c r="D121" s="27">
        <f>COUNTIFS($D$4:$D104,"Especial",$B$4:$B104,$B121)</f>
        <v>0</v>
      </c>
      <c r="E121" s="27">
        <f>COUNTIFS($D$4:$D104,"Especial",$B$4:$B104,$B121)</f>
        <v>0</v>
      </c>
      <c r="F121" s="27">
        <f>COUNTIF($B$4:B104,$B121)</f>
        <v>1</v>
      </c>
      <c r="H121" s="109">
        <f>COUNTIFS($H$4:$H104,"No Conformidad",$B$4:$B104,$B121)</f>
        <v>1</v>
      </c>
      <c r="I121" s="34">
        <f>COUNTIFS($H$4:$H104,"Recomendación",$B$4:$B104,$B121)</f>
        <v>0</v>
      </c>
      <c r="J121" s="34">
        <f>COUNTIFS($I$4:$I104,"Si",$B$4:$B104,$B121)</f>
        <v>1</v>
      </c>
      <c r="K121" s="56">
        <f>COUNTIFS($I$4:$I104,"No",$B$4:$B104,$B121)</f>
        <v>0</v>
      </c>
      <c r="M121" s="115" t="s">
        <v>97</v>
      </c>
      <c r="N121" s="116">
        <f>COUNTIFS($N$4:$N104,"Abierta",$H$4:$H104,"Recomendación",$D$4:$D104,"Auditoria")</f>
        <v>1</v>
      </c>
      <c r="O121" s="63">
        <f>COUNTIFS($N$4:$N104,"Abierta",$H$4:$H104,"Recomendación",$D$4:$D104,"Especial")</f>
        <v>1</v>
      </c>
      <c r="P121" s="65">
        <f>COUNTIFS($N$4:$N104,"Abierta",$H$4:$H104,"Recomendación",$D$4:$D104,"Informes")</f>
        <v>0</v>
      </c>
    </row>
    <row r="122" spans="2:20" ht="15.75" thickBot="1" x14ac:dyDescent="0.3">
      <c r="B122" s="110" t="s">
        <v>21</v>
      </c>
      <c r="C122" s="27">
        <f>COUNTIFS($D$4:$D104,"Auditoria",$B$4:$B104,$B122)</f>
        <v>1</v>
      </c>
      <c r="D122" s="27">
        <f>COUNTIFS($D$4:$D104,"Especial",$B$4:$B104,$B122)</f>
        <v>0</v>
      </c>
      <c r="E122" s="27">
        <f>COUNTIFS($D$4:$D104,"Especial",$B$4:$B104,$B122)</f>
        <v>0</v>
      </c>
      <c r="F122" s="27">
        <f>COUNTIF($B$4:B104,$B122)</f>
        <v>1</v>
      </c>
      <c r="H122" s="109">
        <f>COUNTIFS($H$4:$H104,"No Conformidad",$B$4:$B104,$B122)</f>
        <v>1</v>
      </c>
      <c r="I122" s="34">
        <f>COUNTIFS($H$4:$H104,"Recomendación",$B$4:$B104,$B122)</f>
        <v>0</v>
      </c>
      <c r="J122" s="34">
        <f>COUNTIFS($I$4:$I104,"Si",$B$4:$B104,$B122)</f>
        <v>1</v>
      </c>
      <c r="K122" s="56">
        <f>COUNTIFS($I$4:$I104,"No",$B$4:$B104,$B122)</f>
        <v>0</v>
      </c>
      <c r="M122" s="91" t="s">
        <v>83</v>
      </c>
      <c r="N122" s="117">
        <f>SUM(N120:N121)</f>
        <v>3</v>
      </c>
      <c r="O122" s="69">
        <f t="shared" ref="O122:P122" si="5">SUM(O120:O121)</f>
        <v>1</v>
      </c>
      <c r="P122" s="70">
        <f t="shared" si="5"/>
        <v>0</v>
      </c>
    </row>
    <row r="123" spans="2:20" ht="15.75" thickBot="1" x14ac:dyDescent="0.3">
      <c r="B123" s="110" t="s">
        <v>58</v>
      </c>
      <c r="C123" s="27">
        <f>COUNTIFS($D$4:$D104,"Auditoria",$B$4:$B104,$B123)</f>
        <v>0</v>
      </c>
      <c r="D123" s="27">
        <f>COUNTIFS($D$4:$D104,"Especial",$B$4:$B104,$B123)</f>
        <v>0</v>
      </c>
      <c r="E123" s="27">
        <f>COUNTIFS($D$4:$D104,"Especial",$B$4:$B104,$B123)</f>
        <v>0</v>
      </c>
      <c r="F123" s="27">
        <f>COUNTIF($B$4:B104,$B123)</f>
        <v>0</v>
      </c>
      <c r="H123" s="109">
        <f>COUNTIFS($H$4:$H104,"No Conformidad",$B$4:$B104,$B123)</f>
        <v>0</v>
      </c>
      <c r="I123" s="34">
        <f>COUNTIFS($H$4:$H104,"Recomendación",$B$4:$B104,$B123)</f>
        <v>0</v>
      </c>
      <c r="J123" s="34">
        <f>COUNTIFS($I$4:$I104,"Si",$B$4:$B104,$B123)</f>
        <v>0</v>
      </c>
      <c r="K123" s="56">
        <f>COUNTIFS($I$4:$I104,"No",$B$4:$B104,$B123)</f>
        <v>0</v>
      </c>
      <c r="M123" s="91" t="s">
        <v>85</v>
      </c>
      <c r="N123" s="118">
        <f>SUM(N122:P122)</f>
        <v>4</v>
      </c>
    </row>
    <row r="124" spans="2:20" ht="30" x14ac:dyDescent="0.25">
      <c r="B124" s="108" t="s">
        <v>59</v>
      </c>
      <c r="C124" s="27">
        <f>COUNTIFS($D$4:$D104,"Auditoria",$B$4:$B104,$B124)</f>
        <v>0</v>
      </c>
      <c r="D124" s="27">
        <f>COUNTIFS($D$4:$D104,"Especial",$B$4:$B104,$B124)</f>
        <v>0</v>
      </c>
      <c r="E124" s="27">
        <f>COUNTIFS($D$4:$D104,"Especial",$B$4:$B104,$B124)</f>
        <v>0</v>
      </c>
      <c r="F124" s="27">
        <f>COUNTIF($B$4:B104,$B124)</f>
        <v>0</v>
      </c>
      <c r="H124" s="109">
        <f>COUNTIFS($H$4:$H104,"No Conformidad",$B$4:$B104,$B124)</f>
        <v>0</v>
      </c>
      <c r="I124" s="34">
        <f>COUNTIFS($H$4:$H104,"Recomendación",$B$4:$B104,$B124)</f>
        <v>0</v>
      </c>
      <c r="J124" s="34">
        <f>COUNTIFS($I$4:$I104,"Si",$B$4:$B104,$B124)</f>
        <v>0</v>
      </c>
      <c r="K124" s="56">
        <f>COUNTIFS($I$4:$I104,"No",$B$4:$B104,$B124)</f>
        <v>0</v>
      </c>
      <c r="L124" s="84"/>
    </row>
    <row r="125" spans="2:20" ht="15" x14ac:dyDescent="0.25">
      <c r="B125" s="110" t="s">
        <v>60</v>
      </c>
      <c r="C125" s="27">
        <f>COUNTIFS($D$4:$D104,"Auditoria",$B$4:$B104,$B125)</f>
        <v>0</v>
      </c>
      <c r="D125" s="27">
        <f>COUNTIFS($D$4:$D104,"Especial",$B$4:$B104,$B125)</f>
        <v>0</v>
      </c>
      <c r="E125" s="27">
        <f>COUNTIFS($D$4:$D104,"Especial",$B$4:$B104,$B125)</f>
        <v>0</v>
      </c>
      <c r="F125" s="27">
        <f>COUNTIF($B$4:B104,$B125)</f>
        <v>0</v>
      </c>
      <c r="H125" s="109">
        <f>COUNTIFS($H$4:$H104,"No Conformidad",$B$4:$B104,$B125)</f>
        <v>0</v>
      </c>
      <c r="I125" s="34">
        <f>COUNTIFS($H$4:$H104,"Recomendación",$B$4:$B104,$B125)</f>
        <v>0</v>
      </c>
      <c r="J125" s="34">
        <f>COUNTIFS($I$4:$I104,"Si",$B$4:$B104,$B125)</f>
        <v>0</v>
      </c>
      <c r="K125" s="56">
        <f>COUNTIFS($I$4:$I104,"No",$B$4:$B104,$B125)</f>
        <v>0</v>
      </c>
      <c r="L125" s="84"/>
    </row>
    <row r="126" spans="2:20" ht="15" x14ac:dyDescent="0.25">
      <c r="B126" s="110" t="s">
        <v>61</v>
      </c>
      <c r="C126" s="27">
        <f>COUNTIFS($D$4:$D104,"Auditoria",$B$4:$B104,$B126)</f>
        <v>0</v>
      </c>
      <c r="D126" s="27">
        <f>COUNTIFS($D$4:$D104,"Especial",$B$4:$B104,$B126)</f>
        <v>0</v>
      </c>
      <c r="E126" s="27">
        <f>COUNTIFS($D$4:$D104,"Especial",$B$4:$B104,$B126)</f>
        <v>0</v>
      </c>
      <c r="F126" s="27">
        <f>COUNTIF($B$4:B104,$B126)</f>
        <v>0</v>
      </c>
      <c r="H126" s="109">
        <f>COUNTIFS($H$4:$H104,"No Conformidad",$B$4:$B104,$B126)</f>
        <v>0</v>
      </c>
      <c r="I126" s="34">
        <f>COUNTIFS($H$4:$H104,"Recomendación",$B$4:$B104,$B126)</f>
        <v>0</v>
      </c>
      <c r="J126" s="34">
        <f>COUNTIFS($I$4:$I104,"Si",$B$4:$B104,$B126)</f>
        <v>0</v>
      </c>
      <c r="K126" s="56">
        <f>COUNTIFS($I$4:$I104,"No",$B$4:$B104,$B126)</f>
        <v>0</v>
      </c>
      <c r="L126" s="84"/>
    </row>
    <row r="127" spans="2:20" ht="15.75" thickBot="1" x14ac:dyDescent="0.3">
      <c r="B127" s="119" t="s">
        <v>62</v>
      </c>
      <c r="C127" s="27">
        <f>COUNTIFS($D$4:$D104,"Auditoria",$B$4:$B104,$B127)</f>
        <v>0</v>
      </c>
      <c r="D127" s="27">
        <f>COUNTIFS($D$4:$D104,"Especial",$B$4:$B104,$B127)</f>
        <v>0</v>
      </c>
      <c r="E127" s="27">
        <f>COUNTIFS($D$4:$D104,"Especial",$B$4:$B104,$B127)</f>
        <v>0</v>
      </c>
      <c r="F127" s="27">
        <f>COUNTIF($B$4:B104,$B127)</f>
        <v>0</v>
      </c>
      <c r="H127" s="116">
        <f>COUNTIFS($H$4:$H104,"No Conformidad",$B$4:$B104,$B127)</f>
        <v>0</v>
      </c>
      <c r="I127" s="63">
        <f>COUNTIFS($H$4:$H104,"Recomendación",$B$4:$B104,$B127)</f>
        <v>0</v>
      </c>
      <c r="J127" s="63">
        <f>COUNTIFS($I$4:$I104,"Si",$B$4:$B104,$B127)</f>
        <v>0</v>
      </c>
      <c r="K127" s="65">
        <f>COUNTIFS($I$4:$I104,"No",$B$4:$B104,$B127)</f>
        <v>0</v>
      </c>
      <c r="L127" s="84"/>
    </row>
    <row r="128" spans="2:20" ht="17.25" thickTop="1" thickBot="1" x14ac:dyDescent="0.3">
      <c r="B128" s="120" t="s">
        <v>83</v>
      </c>
      <c r="C128" s="102">
        <f>SUBTOTAL(9,C116:C127)</f>
        <v>5</v>
      </c>
      <c r="D128" s="103">
        <f t="shared" ref="D128:E128" si="6">SUBTOTAL(9,D116:D127)</f>
        <v>1</v>
      </c>
      <c r="E128" s="103">
        <f t="shared" si="6"/>
        <v>1</v>
      </c>
      <c r="F128" s="121">
        <f>SUM(F116:F127)</f>
        <v>7</v>
      </c>
      <c r="G128" s="120" t="s">
        <v>83</v>
      </c>
      <c r="H128" s="77">
        <f>SUM(H116:H127)</f>
        <v>4</v>
      </c>
      <c r="I128" s="78">
        <f t="shared" ref="I128:K128" si="7">SUM(I116:I127)</f>
        <v>3</v>
      </c>
      <c r="J128" s="78">
        <f t="shared" si="7"/>
        <v>5</v>
      </c>
      <c r="K128" s="79">
        <f t="shared" si="7"/>
        <v>2</v>
      </c>
      <c r="L128" s="84"/>
    </row>
    <row r="129" spans="2:12" ht="13.5" thickBot="1" x14ac:dyDescent="0.25">
      <c r="F129" s="122">
        <f>SUM(C128:E128)</f>
        <v>7</v>
      </c>
      <c r="H129" s="17"/>
      <c r="L129" s="84"/>
    </row>
    <row r="130" spans="2:12" ht="6.75" customHeight="1" thickBot="1" x14ac:dyDescent="0.25">
      <c r="F130" s="123"/>
      <c r="H130" s="17"/>
    </row>
    <row r="131" spans="2:12" ht="15" x14ac:dyDescent="0.2">
      <c r="B131" s="421" t="s">
        <v>0</v>
      </c>
      <c r="C131" s="423" t="s">
        <v>48</v>
      </c>
      <c r="D131" s="424"/>
      <c r="E131" s="424"/>
      <c r="F131" s="425"/>
      <c r="H131" s="423" t="s">
        <v>52</v>
      </c>
      <c r="I131" s="424"/>
      <c r="J131" s="424"/>
      <c r="K131" s="425"/>
    </row>
    <row r="132" spans="2:12" ht="16.5" thickBot="1" x14ac:dyDescent="0.25">
      <c r="B132" s="422"/>
      <c r="C132" s="124" t="s">
        <v>83</v>
      </c>
      <c r="D132" s="125" t="s">
        <v>75</v>
      </c>
      <c r="E132" s="126" t="s">
        <v>50</v>
      </c>
      <c r="F132" s="127" t="s">
        <v>98</v>
      </c>
      <c r="H132" s="124" t="s">
        <v>83</v>
      </c>
      <c r="I132" s="125" t="s">
        <v>75</v>
      </c>
      <c r="J132" s="126" t="s">
        <v>50</v>
      </c>
      <c r="K132" s="127" t="s">
        <v>99</v>
      </c>
    </row>
    <row r="133" spans="2:12" ht="15.75" thickTop="1" x14ac:dyDescent="0.25">
      <c r="B133" s="105" t="s">
        <v>46</v>
      </c>
      <c r="C133" s="106">
        <f>COUNTIFS($N$4:N104,"Abierta",$B$4:B104,$B133)</f>
        <v>1</v>
      </c>
      <c r="D133" s="27">
        <f>COUNTIFS($N$4:$N104,"Abierta",$H$4:$H104,"No Conformidad",$B$4:$B104,B133)</f>
        <v>1</v>
      </c>
      <c r="E133" s="27">
        <f>COUNTIFS($N$4:N104,"Abierta",$H$4:H104,"Recomendación",$B$4:B104,B133)</f>
        <v>0</v>
      </c>
      <c r="F133" s="128">
        <f>C133/$C$145</f>
        <v>0.25</v>
      </c>
      <c r="H133" s="106">
        <f>COUNTIFS($N$4:$N104,"Cerrada",$B$4:B$104,$B133)</f>
        <v>1</v>
      </c>
      <c r="I133" s="27">
        <f>COUNTIFS($N$4:$N104,"Cerrada",$H$4:$H104,"No Conformidad",$B$4:$B104,B133)</f>
        <v>0</v>
      </c>
      <c r="J133" s="27">
        <f>COUNTIFS($N$4:N104,"Cerrada",$H$4:H104,"Recomendación",$B$4:B104,B133)</f>
        <v>1</v>
      </c>
      <c r="K133" s="129">
        <f>H133/$H$145</f>
        <v>0.33333333333333331</v>
      </c>
    </row>
    <row r="134" spans="2:12" ht="45" x14ac:dyDescent="0.25">
      <c r="B134" s="108" t="s">
        <v>32</v>
      </c>
      <c r="C134" s="106">
        <f>COUNTIFS($N$4:N104,"Abierta",$B$4:B104,$B134)</f>
        <v>0</v>
      </c>
      <c r="D134" s="27">
        <f>COUNTIFS($N$4:N104,"Abierta",$H$4:H104,"No Conformidad",$B$4:B104,B134)</f>
        <v>0</v>
      </c>
      <c r="E134" s="27">
        <f>COUNTIFS($N$4:N104,"Abierta",$H$4:H104,"Recomendación",$B$4:B104,B134)</f>
        <v>0</v>
      </c>
      <c r="F134" s="128">
        <f t="shared" ref="F134:F144" si="8">C134/$C$145</f>
        <v>0</v>
      </c>
      <c r="H134" s="106">
        <f>COUNTIFS($N$4:$N104,"Cerrada",$B$4:$B104,$B134)</f>
        <v>0</v>
      </c>
      <c r="I134" s="27">
        <f>COUNTIFS($N$4:$N104,"Cerrada",$H$4:$H104,"No Conformidad",$B$4:$B104,B134)</f>
        <v>0</v>
      </c>
      <c r="J134" s="27">
        <f>COUNTIFS($N$4:$N104,"Cerrada",$H$4:$H104,"Recomendación",$B$4:$B104,B134)</f>
        <v>0</v>
      </c>
      <c r="K134" s="129">
        <f t="shared" ref="K134:K144" si="9">H134/$H$145</f>
        <v>0</v>
      </c>
    </row>
    <row r="135" spans="2:12" ht="15" x14ac:dyDescent="0.25">
      <c r="B135" s="110" t="s">
        <v>9</v>
      </c>
      <c r="C135" s="106">
        <f>COUNTIFS($N$4:N104,"Abierta",$B$4:B104,$B135)</f>
        <v>0</v>
      </c>
      <c r="D135" s="27">
        <f>COUNTIFS($N$4:N104,"Abierta",$H$4:H104,"No Conformidad",$B$4:B104,B135)</f>
        <v>0</v>
      </c>
      <c r="E135" s="27">
        <f>COUNTIFS($N$4:N104,"Abierta",$H$4:H104,"Recomendación",$B$4:B104,B135)</f>
        <v>0</v>
      </c>
      <c r="F135" s="128">
        <f t="shared" si="8"/>
        <v>0</v>
      </c>
      <c r="H135" s="106">
        <f>COUNTIFS($N$4:$N104,"Cerrada",$B$4:$B104,$B135)</f>
        <v>0</v>
      </c>
      <c r="I135" s="27">
        <f>COUNTIFS($N$4:$N104,"Cerrada",$H$4:$H104,"No Conformidad",$B$4:$B104,B135)</f>
        <v>0</v>
      </c>
      <c r="J135" s="27">
        <f>COUNTIFS($N$4:$N104,"Cerrada",$H$4:$H104,"Recomendación",$B$4:$B104,B135)</f>
        <v>0</v>
      </c>
      <c r="K135" s="129">
        <f t="shared" si="9"/>
        <v>0</v>
      </c>
    </row>
    <row r="136" spans="2:12" ht="15" x14ac:dyDescent="0.25">
      <c r="B136" s="110" t="s">
        <v>2</v>
      </c>
      <c r="C136" s="106">
        <f>COUNTIFS($N$4:N104,"Abierta",$B$4:B104,$B136)</f>
        <v>0</v>
      </c>
      <c r="D136" s="27">
        <f>COUNTIFS($N$4:N104,"Abierta",$H$4:H104,"No Conformidad",$B$4:B104,B136)</f>
        <v>0</v>
      </c>
      <c r="E136" s="27">
        <f>COUNTIFS($N$4:N104,"Abierta",$H$4:H104,"Recomendación",$B$4:B104,B136)</f>
        <v>0</v>
      </c>
      <c r="F136" s="128">
        <f t="shared" si="8"/>
        <v>0</v>
      </c>
      <c r="H136" s="106">
        <f>COUNTIFS($N$4:$N104,"Cerrada",$B$4:$B104,$B136)</f>
        <v>0</v>
      </c>
      <c r="I136" s="27">
        <f>COUNTIFS($N$4:$N104,"Cerrada",$H$4:$H104,"No Conformidad",$B$4:$B104,B136)</f>
        <v>0</v>
      </c>
      <c r="J136" s="27">
        <f>COUNTIFS($N$4:$N104,"Cerrada",$H$4:$H104,"Recomendación",$B$4:$B104,B136)</f>
        <v>0</v>
      </c>
      <c r="K136" s="129">
        <f t="shared" si="9"/>
        <v>0</v>
      </c>
    </row>
    <row r="137" spans="2:12" ht="15" x14ac:dyDescent="0.25">
      <c r="B137" s="110" t="s">
        <v>33</v>
      </c>
      <c r="C137" s="106">
        <f>COUNTIFS($N$4:N104,"Abierta",$B$4:B104,$B137)</f>
        <v>2</v>
      </c>
      <c r="D137" s="27">
        <f>COUNTIFS($N$4:N104,"Abierta",$H$4:H104,"No Conformidad",$B$4:B104,B137)</f>
        <v>0</v>
      </c>
      <c r="E137" s="27">
        <f>COUNTIFS($N$4:N104,"Abierta",$H$4:H104,"Recomendación",$B$4:B104,B137)</f>
        <v>2</v>
      </c>
      <c r="F137" s="128">
        <f t="shared" si="8"/>
        <v>0.5</v>
      </c>
      <c r="H137" s="106">
        <f>COUNTIFS($N$4:$N104,"Cerrada",$B$4:$B104,$B137)</f>
        <v>1</v>
      </c>
      <c r="I137" s="27">
        <f>COUNTIFS($N$4:$N104,"Cerrada",$H$4:$H104,"No Conformidad",$B$4:$B104,B137)</f>
        <v>1</v>
      </c>
      <c r="J137" s="27">
        <f>COUNTIFS($N$4:$N104,"Cerrada",$H$4:$H104,"Recomendación",$B$4:$B104,B137)</f>
        <v>0</v>
      </c>
      <c r="K137" s="129">
        <f t="shared" si="9"/>
        <v>0.33333333333333331</v>
      </c>
    </row>
    <row r="138" spans="2:12" ht="15" x14ac:dyDescent="0.25">
      <c r="B138" s="110" t="s">
        <v>34</v>
      </c>
      <c r="C138" s="106">
        <f>COUNTIFS($N$4:N104,"Abierta",$B$4:B104,$B138)</f>
        <v>0</v>
      </c>
      <c r="D138" s="27">
        <f>COUNTIFS($N$4:N104,"Abierta",$H$4:H104,"No Conformidad",$B$4:B104,B138)</f>
        <v>0</v>
      </c>
      <c r="E138" s="27">
        <f>COUNTIFS($N$4:N104,"Abierta",$H$4:H104,"Recomendación",$B$4:B104,B138)</f>
        <v>0</v>
      </c>
      <c r="F138" s="128">
        <f t="shared" si="8"/>
        <v>0</v>
      </c>
      <c r="H138" s="106">
        <f>COUNTIFS($N$4:$N104,"Cerrada",$B$4:$B104,$B138)</f>
        <v>1</v>
      </c>
      <c r="I138" s="27">
        <f>COUNTIFS($N$4:$N104,"Cerrada",$H$4:$H104,"No Conformidad",$B$4:$B104,B138)</f>
        <v>1</v>
      </c>
      <c r="J138" s="27">
        <f>COUNTIFS($N$4:$N104,"Cerrada",$H$4:$H104,"Recomendación",$B$4:$B104,B138)</f>
        <v>0</v>
      </c>
      <c r="K138" s="129">
        <f t="shared" si="9"/>
        <v>0.33333333333333331</v>
      </c>
    </row>
    <row r="139" spans="2:12" ht="15" x14ac:dyDescent="0.25">
      <c r="B139" s="110" t="s">
        <v>21</v>
      </c>
      <c r="C139" s="106">
        <f>COUNTIFS($N$4:N104,"Abierta",$B$4:B104,$B139)</f>
        <v>1</v>
      </c>
      <c r="D139" s="27">
        <f>COUNTIFS($N$4:N104,"Abierta",$H$4:H104,"No Conformidad",$B$4:B104,B139)</f>
        <v>1</v>
      </c>
      <c r="E139" s="27">
        <f>COUNTIFS($N$4:N104,"Abierta",$H$4:H104,"Recomendación",$B$4:B104,B139)</f>
        <v>0</v>
      </c>
      <c r="F139" s="128">
        <f t="shared" si="8"/>
        <v>0.25</v>
      </c>
      <c r="H139" s="106">
        <f>COUNTIFS($N$4:$N104,"Cerrada",$B$4:$B104,$B139)</f>
        <v>0</v>
      </c>
      <c r="I139" s="27">
        <f>COUNTIFS($N$4:$N104,"Cerrada",$H$4:$H104,"No Conformidad",$B$4:$B104,B139)</f>
        <v>0</v>
      </c>
      <c r="J139" s="27">
        <f>COUNTIFS($N$4:$N104,"Cerrada",$H$4:$H104,"Recomendación",$B$4:$B104,B139)</f>
        <v>0</v>
      </c>
      <c r="K139" s="129">
        <f t="shared" si="9"/>
        <v>0</v>
      </c>
    </row>
    <row r="140" spans="2:12" ht="15" x14ac:dyDescent="0.25">
      <c r="B140" s="110" t="s">
        <v>58</v>
      </c>
      <c r="C140" s="106">
        <f>COUNTIFS($N$4:N104,"Abierta",$B$4:B104,$B140)</f>
        <v>0</v>
      </c>
      <c r="D140" s="27">
        <f>COUNTIFS($N$4:N104,"Abierta",$H$4:H104,"No Conformidad",$B$4:B104,B140)</f>
        <v>0</v>
      </c>
      <c r="E140" s="27">
        <f>COUNTIFS($N$4:N104,"Abierta",$H$4:H104,"Recomendación",$B$4:B104,B140)</f>
        <v>0</v>
      </c>
      <c r="F140" s="128">
        <f t="shared" si="8"/>
        <v>0</v>
      </c>
      <c r="H140" s="106">
        <f>COUNTIFS($N$4:$N104,"Cerrada",$B$4:$B104,$B140)</f>
        <v>0</v>
      </c>
      <c r="I140" s="27">
        <f>COUNTIFS($N$4:$N104,"Cerrada",$H$4:$H104,"No Conformidad",$B$4:$B104,B140)</f>
        <v>0</v>
      </c>
      <c r="J140" s="27">
        <f>COUNTIFS($N$4:$N104,"Cerrada",$H$4:$H104,"Recomendación",$B$4:$B104,B140)</f>
        <v>0</v>
      </c>
      <c r="K140" s="129">
        <f t="shared" si="9"/>
        <v>0</v>
      </c>
    </row>
    <row r="141" spans="2:12" ht="30" x14ac:dyDescent="0.25">
      <c r="B141" s="108" t="s">
        <v>59</v>
      </c>
      <c r="C141" s="106">
        <f>COUNTIFS($N$4:N104,"Abierta",$B$4:B104,$B141)</f>
        <v>0</v>
      </c>
      <c r="D141" s="27">
        <f>COUNTIFS($N$4:N104,"Abierta",$H$4:H104,"No Conformidad",$B$4:B104,B141)</f>
        <v>0</v>
      </c>
      <c r="E141" s="27">
        <f>COUNTIFS($N$4:N104,"Abierta",$H$4:H104,"Recomendación",$B$4:B104,B141)</f>
        <v>0</v>
      </c>
      <c r="F141" s="128">
        <f t="shared" si="8"/>
        <v>0</v>
      </c>
      <c r="H141" s="106">
        <f>COUNTIFS($N$4:$N104,"Cerrada",$B$4:$B104,$B141)</f>
        <v>0</v>
      </c>
      <c r="I141" s="27">
        <f>COUNTIFS($N$4:$N104,"Cerrada",$H$4:$H104,"No Conformidad",$B$4:$B104,B141)</f>
        <v>0</v>
      </c>
      <c r="J141" s="27">
        <f>COUNTIFS($N$4:$N104,"Cerrada",$H$4:$H104,"Recomendación",$B$4:$B104,B141)</f>
        <v>0</v>
      </c>
      <c r="K141" s="129">
        <f t="shared" si="9"/>
        <v>0</v>
      </c>
    </row>
    <row r="142" spans="2:12" ht="15" x14ac:dyDescent="0.25">
      <c r="B142" s="110" t="s">
        <v>60</v>
      </c>
      <c r="C142" s="106">
        <f>COUNTIFS($N$4:N104,"Abierta",$B$4:B104,$B142)</f>
        <v>0</v>
      </c>
      <c r="D142" s="27">
        <f>COUNTIFS($N$4:N104,"Abierta",$H$4:H104,"No Conformidad",$B$4:B104,B142)</f>
        <v>0</v>
      </c>
      <c r="E142" s="27">
        <f>COUNTIFS($N$4:N104,"Abierta",$H$4:H104,"Recomendación",$B$4:B104,B142)</f>
        <v>0</v>
      </c>
      <c r="F142" s="128">
        <f t="shared" si="8"/>
        <v>0</v>
      </c>
      <c r="H142" s="106">
        <f>COUNTIFS($N$4:$N104,"Cerrada",$B$4:$B104,$B142)</f>
        <v>0</v>
      </c>
      <c r="I142" s="27">
        <f>COUNTIFS($N$4:$N104,"Cerrada",$H$4:$H104,"No Conformidad",$B$4:$B104,B142)</f>
        <v>0</v>
      </c>
      <c r="J142" s="27">
        <f>COUNTIFS($N$4:$N104,"Cerrada",$H$4:$H104,"Recomendación",$B$4:$B104,B142)</f>
        <v>0</v>
      </c>
      <c r="K142" s="129">
        <f t="shared" si="9"/>
        <v>0</v>
      </c>
    </row>
    <row r="143" spans="2:12" ht="15" x14ac:dyDescent="0.25">
      <c r="B143" s="110" t="s">
        <v>61</v>
      </c>
      <c r="C143" s="106">
        <f>COUNTIFS($N$4:N104,"Abierta",$B$4:B104,$B143)</f>
        <v>0</v>
      </c>
      <c r="D143" s="27">
        <f>COUNTIFS($N$4:N104,"Abierta",$H$4:H104,"No Conformidad",$B$4:B104,B143)</f>
        <v>0</v>
      </c>
      <c r="E143" s="27">
        <f>COUNTIFS($N$4:N104,"Abierta",$H$4:H104,"Recomendación",$B$4:B104,B143)</f>
        <v>0</v>
      </c>
      <c r="F143" s="128">
        <f t="shared" si="8"/>
        <v>0</v>
      </c>
      <c r="H143" s="106">
        <f>COUNTIFS($N$4:$N104,"Cerrada",$B$4:$B104,$B143)</f>
        <v>0</v>
      </c>
      <c r="I143" s="27">
        <f>COUNTIFS($N$4:$N104,"Cerrada",$H$4:$H104,"No Conformidad",$B$4:$B104,B143)</f>
        <v>0</v>
      </c>
      <c r="J143" s="27">
        <f>COUNTIFS($N$4:$N104,"Cerrada",$H$4:$H104,"Recomendación",$B$4:$B104,B143)</f>
        <v>0</v>
      </c>
      <c r="K143" s="129">
        <f t="shared" si="9"/>
        <v>0</v>
      </c>
    </row>
    <row r="144" spans="2:12" ht="15.75" thickBot="1" x14ac:dyDescent="0.3">
      <c r="B144" s="119" t="s">
        <v>62</v>
      </c>
      <c r="C144" s="106">
        <f>COUNTIFS($N$4:N104,"Abierta",$B$4:B104,$B144)</f>
        <v>0</v>
      </c>
      <c r="D144" s="27">
        <f>COUNTIFS($N$4:N104,"Abierta",$H$4:H104,"No Conformidad",$B$4:B104,B144)</f>
        <v>0</v>
      </c>
      <c r="E144" s="27">
        <f>COUNTIFS($N$4:N104,"Abierta",$H$4:H104,"Recomendación",$B$4:B104,B144)</f>
        <v>0</v>
      </c>
      <c r="F144" s="130">
        <f t="shared" si="8"/>
        <v>0</v>
      </c>
      <c r="H144" s="106">
        <f>COUNTIFS($N$4:$N104,"Cerrada",$B$4:$B104,$B144)</f>
        <v>0</v>
      </c>
      <c r="I144" s="27">
        <f>COUNTIFS($N$4:$N104,"Cerrada",$H$4:$H104,"No Conformidad",$B$4:$B104,B144)</f>
        <v>0</v>
      </c>
      <c r="J144" s="27">
        <f>COUNTIFS($N$4:$N104,"Cerrada",$H$4:$H104,"Recomendación",$B$4:$B104,B144)</f>
        <v>0</v>
      </c>
      <c r="K144" s="129">
        <f t="shared" si="9"/>
        <v>0</v>
      </c>
    </row>
    <row r="145" spans="2:11" ht="17.25" thickTop="1" thickBot="1" x14ac:dyDescent="0.3">
      <c r="B145" s="120" t="s">
        <v>83</v>
      </c>
      <c r="C145" s="131">
        <f>SUM(C133:C144)</f>
        <v>4</v>
      </c>
      <c r="D145" s="132">
        <f t="shared" ref="D145:E145" si="10">SUM(D133:D144)</f>
        <v>2</v>
      </c>
      <c r="E145" s="132">
        <f t="shared" si="10"/>
        <v>2</v>
      </c>
      <c r="F145" s="133">
        <f>SUM(F133:F144)</f>
        <v>1</v>
      </c>
      <c r="G145" s="120" t="s">
        <v>83</v>
      </c>
      <c r="H145" s="134">
        <f>SUM(H133:H144)</f>
        <v>3</v>
      </c>
      <c r="I145" s="134">
        <f t="shared" ref="I145:K145" si="11">SUM(I133:I144)</f>
        <v>2</v>
      </c>
      <c r="J145" s="134">
        <f t="shared" si="11"/>
        <v>1</v>
      </c>
      <c r="K145" s="135">
        <f t="shared" si="11"/>
        <v>1</v>
      </c>
    </row>
  </sheetData>
  <autoFilter ref="A3:R129"/>
  <mergeCells count="12">
    <mergeCell ref="B131:B132"/>
    <mergeCell ref="C131:F131"/>
    <mergeCell ref="H131:K131"/>
    <mergeCell ref="C106:J106"/>
    <mergeCell ref="M106:R106"/>
    <mergeCell ref="C107:D107"/>
    <mergeCell ref="E107:F107"/>
    <mergeCell ref="B114:B115"/>
    <mergeCell ref="C114:E114"/>
    <mergeCell ref="F114:F115"/>
    <mergeCell ref="H114:I114"/>
    <mergeCell ref="J114:K114"/>
  </mergeCells>
  <conditionalFormatting sqref="J6:J103 K4:K103 I3:I103">
    <cfRule type="cellIs" dxfId="540" priority="9" operator="equal">
      <formula>"Plan Mejoramiento"</formula>
    </cfRule>
    <cfRule type="cellIs" dxfId="539" priority="10" operator="equal">
      <formula>"Acción Preventiva"</formula>
    </cfRule>
    <cfRule type="cellIs" dxfId="538" priority="11" operator="equal">
      <formula>"Acción Correctiva"</formula>
    </cfRule>
  </conditionalFormatting>
  <conditionalFormatting sqref="G6:G100 H4:I103">
    <cfRule type="cellIs" dxfId="537" priority="7" operator="equal">
      <formula>"Recomendación"</formula>
    </cfRule>
    <cfRule type="cellIs" dxfId="536" priority="8" operator="equal">
      <formula>"No Conformidad"</formula>
    </cfRule>
  </conditionalFormatting>
  <conditionalFormatting sqref="M6:M100 N4:N103 M108:M109">
    <cfRule type="cellIs" dxfId="535" priority="5" operator="equal">
      <formula>"Cerrada"</formula>
    </cfRule>
    <cfRule type="cellIs" dxfId="534" priority="6" operator="equal">
      <formula>"Abierta"</formula>
    </cfRule>
  </conditionalFormatting>
  <conditionalFormatting sqref="J6:J100 K4:K103 I3:I103">
    <cfRule type="cellIs" dxfId="533" priority="4" operator="equal">
      <formula>"Corrección"</formula>
    </cfRule>
  </conditionalFormatting>
  <conditionalFormatting sqref="C115:E115 D4:E103 G110:G111 H107:I107 N112:O112 N119:O119 O107:P107">
    <cfRule type="cellIs" dxfId="532" priority="1" operator="equal">
      <formula>"Especial"</formula>
    </cfRule>
    <cfRule type="cellIs" dxfId="531" priority="2" operator="equal">
      <formula>"Informes"</formula>
    </cfRule>
    <cfRule type="cellIs" dxfId="530" priority="3" operator="equal">
      <formula>"Auditoria"</formula>
    </cfRule>
  </conditionalFormatting>
  <dataValidations count="8">
    <dataValidation type="list" allowBlank="1" showInputMessage="1" showErrorMessage="1" sqref="E4">
      <formula1>Auditores</formula1>
    </dataValidation>
    <dataValidation type="list" allowBlank="1" showInputMessage="1" showErrorMessage="1" sqref="D4">
      <formula1>"Auditoria,Especial,Informes"</formula1>
    </dataValidation>
    <dataValidation type="list" allowBlank="1" showInputMessage="1" showErrorMessage="1" sqref="I4:I103">
      <formula1>"No,Si"</formula1>
    </dataValidation>
    <dataValidation type="list" allowBlank="1" showInputMessage="1" showErrorMessage="1" sqref="B4:B103">
      <formula1>Proceso</formula1>
    </dataValidation>
    <dataValidation type="list" allowBlank="1" showInputMessage="1" showErrorMessage="1" sqref="N4:N103 M108:M109">
      <formula1>"Abierta,Cerrada"</formula1>
    </dataValidation>
    <dataValidation type="list" allowBlank="1" showInputMessage="1" showErrorMessage="1" sqref="K4:K103">
      <formula1>"Corrección,Acción Correctiva,Acción Preventiva, Plan Mejoramiento"</formula1>
    </dataValidation>
    <dataValidation type="list" allowBlank="1" showInputMessage="1" showErrorMessage="1" sqref="H4:H103">
      <formula1>"No Conformidad,Recomendación"</formula1>
    </dataValidation>
    <dataValidation type="list" allowBlank="1" showInputMessage="1" showErrorMessage="1" sqref="C115:E115 D5:E103 O107">
      <formula1>"Auditoria,Informes,Especial"</formula1>
    </dataValidation>
  </dataValidations>
  <pageMargins left="0.19685039370078741" right="0.39370078740157483" top="0.55118110236220474" bottom="0.47244094488188981" header="0.31496062992125984" footer="0.31496062992125984"/>
  <pageSetup scale="71" orientation="landscape" r:id="rId1"/>
  <headerFooter>
    <oddHeader>&amp;C&amp;"Arial Black,Normal"&amp;12SEGUIMIENTO ACCIONES PLAN DE MEJORAMIENTO DEL PROGRAMA DE AUDITORIA</oddHeader>
    <oddFooter>&amp;L&amp;A&amp;CHoja &amp;P de &amp;N</oddFooter>
  </headerFooter>
  <rowBreaks count="1" manualBreakCount="1">
    <brk id="105"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AE281"/>
  <sheetViews>
    <sheetView tabSelected="1" zoomScale="70" zoomScaleNormal="70" zoomScaleSheetLayoutView="80" workbookViewId="0">
      <pane ySplit="3" topLeftCell="A10" activePane="bottomLeft" state="frozen"/>
      <selection pane="bottomLeft" activeCell="H259" sqref="H259"/>
    </sheetView>
  </sheetViews>
  <sheetFormatPr baseColWidth="10" defaultColWidth="11.42578125" defaultRowHeight="14.25" x14ac:dyDescent="0.2"/>
  <cols>
    <col min="1" max="1" width="5.42578125" style="17" customWidth="1"/>
    <col min="2" max="2" width="17" style="17" customWidth="1"/>
    <col min="3" max="3" width="26.85546875" style="17" customWidth="1"/>
    <col min="4" max="4" width="13.5703125" style="272" customWidth="1"/>
    <col min="5" max="5" width="11.28515625" style="17" customWidth="1"/>
    <col min="6" max="6" width="14.140625" style="17" customWidth="1"/>
    <col min="7" max="7" width="11.5703125" style="371" customWidth="1"/>
    <col min="8" max="8" width="58.140625" style="17" customWidth="1"/>
    <col min="9" max="9" width="14.5703125" style="372" customWidth="1"/>
    <col min="10" max="10" width="11.42578125" style="17" customWidth="1"/>
    <col min="11" max="11" width="11.28515625" style="17" customWidth="1"/>
    <col min="12" max="12" width="12" style="17" customWidth="1"/>
    <col min="13" max="13" width="16" style="17" customWidth="1"/>
    <col min="14" max="14" width="19.7109375" style="17" customWidth="1"/>
    <col min="15" max="15" width="46.42578125" style="17" customWidth="1"/>
    <col min="16" max="16" width="13.42578125" style="17" customWidth="1"/>
    <col min="17" max="17" width="43.7109375" style="17" customWidth="1"/>
    <col min="18" max="18" width="10.5703125" style="17" customWidth="1"/>
    <col min="19" max="19" width="11.85546875" style="17" customWidth="1"/>
    <col min="20" max="20" width="31" style="17" customWidth="1"/>
    <col min="21" max="22" width="18.28515625" style="17" customWidth="1"/>
    <col min="23" max="23" width="25.85546875" style="17" customWidth="1"/>
    <col min="24" max="24" width="14.5703125" style="17" customWidth="1"/>
    <col min="25" max="25" width="11.42578125" style="17" customWidth="1"/>
    <col min="26" max="27" width="11.42578125" style="351" customWidth="1"/>
    <col min="28" max="28" width="11.42578125" style="16" customWidth="1"/>
    <col min="29" max="16384" width="11.42578125" style="16"/>
  </cols>
  <sheetData>
    <row r="1" spans="1:25" ht="30.75" thickBot="1" x14ac:dyDescent="0.25">
      <c r="A1" s="327"/>
      <c r="B1" s="15" t="s">
        <v>63</v>
      </c>
      <c r="C1" s="210">
        <v>2016</v>
      </c>
      <c r="D1" s="260" t="s">
        <v>300</v>
      </c>
      <c r="E1" s="174" t="s">
        <v>300</v>
      </c>
      <c r="F1" s="147"/>
      <c r="G1" s="348"/>
      <c r="H1" s="15"/>
      <c r="I1" s="174" t="s">
        <v>300</v>
      </c>
      <c r="J1" s="174" t="s">
        <v>300</v>
      </c>
      <c r="K1" s="174" t="s">
        <v>300</v>
      </c>
      <c r="L1" s="15"/>
      <c r="M1" s="349" t="s">
        <v>299</v>
      </c>
      <c r="N1" s="350">
        <v>42643</v>
      </c>
      <c r="Q1" s="15"/>
      <c r="X1" s="174"/>
    </row>
    <row r="2" spans="1:25" ht="3.75" customHeight="1" thickBot="1" x14ac:dyDescent="0.25">
      <c r="B2" s="15"/>
      <c r="C2" s="15"/>
      <c r="D2" s="271"/>
      <c r="E2" s="15"/>
      <c r="F2" s="15"/>
      <c r="G2" s="348"/>
      <c r="H2" s="15"/>
      <c r="I2" s="352"/>
      <c r="J2" s="74"/>
      <c r="K2" s="15"/>
      <c r="L2" s="15"/>
      <c r="M2" s="15"/>
      <c r="N2" s="15"/>
      <c r="O2" s="15"/>
      <c r="P2" s="15"/>
      <c r="Q2" s="15"/>
      <c r="S2" s="15"/>
      <c r="X2" s="74"/>
    </row>
    <row r="3" spans="1:25" ht="75.75" thickBot="1" x14ac:dyDescent="0.25">
      <c r="A3" s="19" t="s">
        <v>65</v>
      </c>
      <c r="B3" s="20" t="s">
        <v>0</v>
      </c>
      <c r="C3" s="20" t="s">
        <v>1</v>
      </c>
      <c r="D3" s="261" t="s">
        <v>39</v>
      </c>
      <c r="E3" s="154" t="s">
        <v>189</v>
      </c>
      <c r="F3" s="21" t="s">
        <v>53</v>
      </c>
      <c r="G3" s="22" t="s">
        <v>67</v>
      </c>
      <c r="H3" s="166" t="s">
        <v>68</v>
      </c>
      <c r="I3" s="172" t="s">
        <v>42</v>
      </c>
      <c r="J3" s="173" t="s">
        <v>130</v>
      </c>
      <c r="K3" s="167" t="s">
        <v>69</v>
      </c>
      <c r="L3" s="21" t="s">
        <v>70</v>
      </c>
      <c r="M3" s="236" t="s">
        <v>44</v>
      </c>
      <c r="N3" s="236" t="s">
        <v>100</v>
      </c>
      <c r="O3" s="237" t="s">
        <v>30</v>
      </c>
      <c r="P3" s="24" t="s">
        <v>103</v>
      </c>
      <c r="Q3" s="24" t="s">
        <v>29</v>
      </c>
      <c r="R3" s="143" t="s">
        <v>129</v>
      </c>
      <c r="S3" s="24" t="s">
        <v>71</v>
      </c>
      <c r="T3" s="24" t="s">
        <v>72</v>
      </c>
      <c r="U3" s="21" t="s">
        <v>73</v>
      </c>
      <c r="V3" s="159" t="s">
        <v>196</v>
      </c>
      <c r="W3" s="26" t="s">
        <v>74</v>
      </c>
      <c r="X3" s="172" t="s">
        <v>593</v>
      </c>
      <c r="Y3" s="17" t="s">
        <v>102</v>
      </c>
    </row>
    <row r="4" spans="1:25" ht="281.25" customHeight="1" thickTop="1" x14ac:dyDescent="0.2">
      <c r="A4" s="453">
        <f>+A5+1</f>
        <v>1</v>
      </c>
      <c r="B4" s="286" t="s">
        <v>46</v>
      </c>
      <c r="C4" s="286" t="s">
        <v>191</v>
      </c>
      <c r="D4" s="457" t="s">
        <v>40</v>
      </c>
      <c r="E4" s="454" t="s">
        <v>0</v>
      </c>
      <c r="F4" s="287" t="s">
        <v>55</v>
      </c>
      <c r="G4" s="31">
        <v>41626</v>
      </c>
      <c r="H4" s="450" t="s">
        <v>20</v>
      </c>
      <c r="I4" s="479" t="s">
        <v>75</v>
      </c>
      <c r="J4" s="479" t="s">
        <v>131</v>
      </c>
      <c r="K4" s="480" t="s">
        <v>76</v>
      </c>
      <c r="L4" s="31">
        <v>41753</v>
      </c>
      <c r="M4" s="286" t="s">
        <v>47</v>
      </c>
      <c r="N4" s="286" t="s">
        <v>160</v>
      </c>
      <c r="O4" s="286" t="s">
        <v>178</v>
      </c>
      <c r="P4" s="31">
        <v>42551</v>
      </c>
      <c r="Q4" s="289" t="s">
        <v>610</v>
      </c>
      <c r="R4" s="291" t="s">
        <v>48</v>
      </c>
      <c r="S4" s="31"/>
      <c r="T4" s="291"/>
      <c r="U4" s="308">
        <f t="shared" ref="U4:U10" si="0">DAYS360(G4,L4,0)+1</f>
        <v>127</v>
      </c>
      <c r="V4" s="300" t="str">
        <f t="shared" ref="V4:V14" si="1">IF(U4&gt;7,"Inoportuno",(IF(U4&lt;0,"No ha formulado PM","Oportuno")))</f>
        <v>Inoportuno</v>
      </c>
      <c r="W4" s="308">
        <f t="shared" ref="W4:W10" si="2">DAYS360(P4,S4,0)+1</f>
        <v>-41939</v>
      </c>
      <c r="X4" s="506" t="s">
        <v>334</v>
      </c>
    </row>
    <row r="5" spans="1:25" ht="154.5" customHeight="1" x14ac:dyDescent="0.2">
      <c r="A5" s="443"/>
      <c r="B5" s="286" t="s">
        <v>46</v>
      </c>
      <c r="C5" s="286" t="s">
        <v>191</v>
      </c>
      <c r="D5" s="458"/>
      <c r="E5" s="455"/>
      <c r="F5" s="287" t="s">
        <v>55</v>
      </c>
      <c r="G5" s="31">
        <v>41626</v>
      </c>
      <c r="H5" s="451"/>
      <c r="I5" s="479"/>
      <c r="J5" s="479"/>
      <c r="K5" s="505"/>
      <c r="L5" s="31">
        <v>41753</v>
      </c>
      <c r="M5" s="286" t="s">
        <v>47</v>
      </c>
      <c r="N5" s="286" t="s">
        <v>160</v>
      </c>
      <c r="O5" s="286" t="s">
        <v>179</v>
      </c>
      <c r="P5" s="31">
        <v>42551</v>
      </c>
      <c r="Q5" s="289" t="s">
        <v>611</v>
      </c>
      <c r="R5" s="291" t="s">
        <v>48</v>
      </c>
      <c r="S5" s="31"/>
      <c r="T5" s="291"/>
      <c r="U5" s="308">
        <f t="shared" si="0"/>
        <v>127</v>
      </c>
      <c r="V5" s="300" t="str">
        <f t="shared" si="1"/>
        <v>Inoportuno</v>
      </c>
      <c r="W5" s="308">
        <f t="shared" si="2"/>
        <v>-41939</v>
      </c>
      <c r="X5" s="506" t="s">
        <v>334</v>
      </c>
    </row>
    <row r="6" spans="1:25" ht="243" customHeight="1" x14ac:dyDescent="0.2">
      <c r="A6" s="439"/>
      <c r="B6" s="286" t="s">
        <v>46</v>
      </c>
      <c r="C6" s="286" t="s">
        <v>191</v>
      </c>
      <c r="D6" s="459"/>
      <c r="E6" s="456"/>
      <c r="F6" s="287" t="s">
        <v>55</v>
      </c>
      <c r="G6" s="31">
        <v>41626</v>
      </c>
      <c r="H6" s="452"/>
      <c r="I6" s="479"/>
      <c r="J6" s="479"/>
      <c r="K6" s="481"/>
      <c r="L6" s="31">
        <v>41753</v>
      </c>
      <c r="M6" s="286" t="s">
        <v>47</v>
      </c>
      <c r="N6" s="286" t="s">
        <v>160</v>
      </c>
      <c r="O6" s="286" t="s">
        <v>161</v>
      </c>
      <c r="P6" s="31">
        <v>42551</v>
      </c>
      <c r="Q6" s="289" t="s">
        <v>612</v>
      </c>
      <c r="R6" s="291" t="s">
        <v>48</v>
      </c>
      <c r="S6" s="31"/>
      <c r="T6" s="291"/>
      <c r="U6" s="308">
        <f t="shared" si="0"/>
        <v>127</v>
      </c>
      <c r="V6" s="300" t="str">
        <f t="shared" si="1"/>
        <v>Inoportuno</v>
      </c>
      <c r="W6" s="308">
        <f t="shared" si="2"/>
        <v>-41939</v>
      </c>
      <c r="X6" s="506" t="s">
        <v>334</v>
      </c>
    </row>
    <row r="7" spans="1:25" ht="143.25" customHeight="1" x14ac:dyDescent="0.2">
      <c r="A7" s="291">
        <f>A4+1</f>
        <v>2</v>
      </c>
      <c r="B7" s="286" t="s">
        <v>33</v>
      </c>
      <c r="C7" s="286" t="s">
        <v>106</v>
      </c>
      <c r="D7" s="284" t="s">
        <v>40</v>
      </c>
      <c r="E7" s="295" t="s">
        <v>0</v>
      </c>
      <c r="F7" s="287" t="s">
        <v>55</v>
      </c>
      <c r="G7" s="31">
        <v>41638</v>
      </c>
      <c r="H7" s="354" t="s">
        <v>22</v>
      </c>
      <c r="I7" s="298" t="s">
        <v>75</v>
      </c>
      <c r="J7" s="298" t="s">
        <v>131</v>
      </c>
      <c r="K7" s="142" t="s">
        <v>76</v>
      </c>
      <c r="L7" s="31">
        <v>41970</v>
      </c>
      <c r="M7" s="286" t="s">
        <v>47</v>
      </c>
      <c r="N7" s="286" t="s">
        <v>105</v>
      </c>
      <c r="O7" s="355" t="s">
        <v>257</v>
      </c>
      <c r="P7" s="31">
        <v>42734</v>
      </c>
      <c r="Q7" s="286" t="s">
        <v>382</v>
      </c>
      <c r="R7" s="160" t="s">
        <v>48</v>
      </c>
      <c r="S7" s="31"/>
      <c r="T7" s="291"/>
      <c r="U7" s="308">
        <f t="shared" ref="U7" si="3">DAYS360(G7,L7,0)+1</f>
        <v>328</v>
      </c>
      <c r="V7" s="300"/>
      <c r="W7" s="308"/>
      <c r="X7" s="303" t="s">
        <v>334</v>
      </c>
    </row>
    <row r="8" spans="1:25" ht="107.25" customHeight="1" x14ac:dyDescent="0.2">
      <c r="A8" s="291">
        <v>3</v>
      </c>
      <c r="B8" s="286" t="s">
        <v>2</v>
      </c>
      <c r="C8" s="286" t="s">
        <v>236</v>
      </c>
      <c r="D8" s="284" t="s">
        <v>40</v>
      </c>
      <c r="E8" s="295" t="s">
        <v>0</v>
      </c>
      <c r="F8" s="287" t="s">
        <v>55</v>
      </c>
      <c r="G8" s="31">
        <v>41309</v>
      </c>
      <c r="H8" s="356" t="s">
        <v>10</v>
      </c>
      <c r="I8" s="298" t="s">
        <v>75</v>
      </c>
      <c r="J8" s="298" t="s">
        <v>131</v>
      </c>
      <c r="K8" s="142" t="s">
        <v>76</v>
      </c>
      <c r="L8" s="31">
        <v>41410</v>
      </c>
      <c r="M8" s="286" t="s">
        <v>47</v>
      </c>
      <c r="N8" s="286" t="s">
        <v>139</v>
      </c>
      <c r="O8" s="286" t="s">
        <v>438</v>
      </c>
      <c r="P8" s="31">
        <v>41440</v>
      </c>
      <c r="Q8" s="328" t="s">
        <v>405</v>
      </c>
      <c r="R8" s="291" t="s">
        <v>48</v>
      </c>
      <c r="S8" s="31"/>
      <c r="T8" s="291"/>
      <c r="U8" s="308">
        <f t="shared" si="0"/>
        <v>103</v>
      </c>
      <c r="V8" s="300" t="str">
        <f t="shared" si="1"/>
        <v>Inoportuno</v>
      </c>
      <c r="W8" s="308">
        <f t="shared" si="2"/>
        <v>-40844</v>
      </c>
      <c r="X8" s="303" t="s">
        <v>334</v>
      </c>
    </row>
    <row r="9" spans="1:25" ht="288.75" customHeight="1" x14ac:dyDescent="0.2">
      <c r="A9" s="291">
        <f t="shared" ref="A9:A68" si="4">+A8+1</f>
        <v>4</v>
      </c>
      <c r="B9" s="286" t="s">
        <v>58</v>
      </c>
      <c r="C9" s="286" t="s">
        <v>14</v>
      </c>
      <c r="D9" s="283" t="s">
        <v>40</v>
      </c>
      <c r="E9" s="285" t="s">
        <v>0</v>
      </c>
      <c r="F9" s="287" t="s">
        <v>55</v>
      </c>
      <c r="G9" s="31">
        <v>41453</v>
      </c>
      <c r="H9" s="356" t="s">
        <v>13</v>
      </c>
      <c r="I9" s="298" t="s">
        <v>75</v>
      </c>
      <c r="J9" s="298" t="s">
        <v>131</v>
      </c>
      <c r="K9" s="208" t="s">
        <v>76</v>
      </c>
      <c r="L9" s="31">
        <v>41456</v>
      </c>
      <c r="M9" s="286" t="s">
        <v>101</v>
      </c>
      <c r="N9" s="286" t="s">
        <v>149</v>
      </c>
      <c r="O9" s="204" t="s">
        <v>154</v>
      </c>
      <c r="P9" s="179">
        <v>42369</v>
      </c>
      <c r="Q9" s="329" t="s">
        <v>416</v>
      </c>
      <c r="R9" s="291" t="s">
        <v>48</v>
      </c>
      <c r="S9" s="31"/>
      <c r="T9" s="291"/>
      <c r="U9" s="308">
        <f t="shared" si="0"/>
        <v>4</v>
      </c>
      <c r="V9" s="209" t="str">
        <f t="shared" si="1"/>
        <v>Oportuno</v>
      </c>
      <c r="W9" s="307">
        <f t="shared" si="2"/>
        <v>-41759</v>
      </c>
      <c r="X9" s="303" t="s">
        <v>334</v>
      </c>
    </row>
    <row r="10" spans="1:25" ht="68.25" customHeight="1" x14ac:dyDescent="0.2">
      <c r="A10" s="291">
        <f t="shared" si="4"/>
        <v>5</v>
      </c>
      <c r="B10" s="286" t="s">
        <v>59</v>
      </c>
      <c r="C10" s="286" t="s">
        <v>237</v>
      </c>
      <c r="D10" s="284" t="s">
        <v>40</v>
      </c>
      <c r="E10" s="295" t="s">
        <v>0</v>
      </c>
      <c r="F10" s="287" t="s">
        <v>55</v>
      </c>
      <c r="G10" s="31">
        <v>41610</v>
      </c>
      <c r="H10" s="357" t="s">
        <v>37</v>
      </c>
      <c r="I10" s="298" t="s">
        <v>75</v>
      </c>
      <c r="J10" s="298" t="s">
        <v>131</v>
      </c>
      <c r="K10" s="142" t="s">
        <v>76</v>
      </c>
      <c r="L10" s="31">
        <v>41726</v>
      </c>
      <c r="M10" s="286" t="s">
        <v>47</v>
      </c>
      <c r="N10" s="286" t="s">
        <v>258</v>
      </c>
      <c r="O10" s="204" t="s">
        <v>146</v>
      </c>
      <c r="P10" s="31">
        <v>42004</v>
      </c>
      <c r="Q10" s="329" t="s">
        <v>381</v>
      </c>
      <c r="R10" s="291" t="s">
        <v>48</v>
      </c>
      <c r="S10" s="31"/>
      <c r="T10" s="291"/>
      <c r="U10" s="308">
        <f t="shared" si="0"/>
        <v>117</v>
      </c>
      <c r="V10" s="300" t="str">
        <f t="shared" si="1"/>
        <v>Inoportuno</v>
      </c>
      <c r="W10" s="308">
        <f t="shared" si="2"/>
        <v>-41399</v>
      </c>
      <c r="X10" s="303" t="s">
        <v>334</v>
      </c>
    </row>
    <row r="11" spans="1:25" ht="190.5" customHeight="1" x14ac:dyDescent="0.2">
      <c r="A11" s="291">
        <v>8</v>
      </c>
      <c r="B11" s="286" t="s">
        <v>59</v>
      </c>
      <c r="C11" s="286" t="s">
        <v>238</v>
      </c>
      <c r="D11" s="284" t="s">
        <v>40</v>
      </c>
      <c r="E11" s="295" t="s">
        <v>0</v>
      </c>
      <c r="F11" s="287" t="s">
        <v>55</v>
      </c>
      <c r="G11" s="31">
        <v>41621</v>
      </c>
      <c r="H11" s="356" t="s">
        <v>38</v>
      </c>
      <c r="I11" s="298" t="s">
        <v>75</v>
      </c>
      <c r="J11" s="298" t="s">
        <v>131</v>
      </c>
      <c r="K11" s="142" t="s">
        <v>76</v>
      </c>
      <c r="L11" s="31">
        <v>41711</v>
      </c>
      <c r="M11" s="286" t="s">
        <v>101</v>
      </c>
      <c r="N11" s="286" t="s">
        <v>239</v>
      </c>
      <c r="O11" s="204" t="s">
        <v>439</v>
      </c>
      <c r="P11" s="31">
        <v>42399</v>
      </c>
      <c r="Q11" s="286" t="s">
        <v>440</v>
      </c>
      <c r="R11" s="291" t="s">
        <v>48</v>
      </c>
      <c r="S11" s="31"/>
      <c r="T11" s="291"/>
      <c r="U11" s="308">
        <f t="shared" ref="U11:U27" si="5">DAYS360(G11,L11,0)+1</f>
        <v>91</v>
      </c>
      <c r="V11" s="300" t="str">
        <f t="shared" si="1"/>
        <v>Inoportuno</v>
      </c>
      <c r="W11" s="308">
        <f t="shared" ref="W11:W31" si="6">DAYS360(P11,S11,0)+1</f>
        <v>-41789</v>
      </c>
      <c r="X11" s="303" t="s">
        <v>334</v>
      </c>
    </row>
    <row r="12" spans="1:25" ht="255" x14ac:dyDescent="0.2">
      <c r="A12" s="438">
        <f t="shared" si="4"/>
        <v>9</v>
      </c>
      <c r="B12" s="286" t="s">
        <v>46</v>
      </c>
      <c r="C12" s="286" t="s">
        <v>107</v>
      </c>
      <c r="D12" s="457" t="s">
        <v>40</v>
      </c>
      <c r="E12" s="454" t="s">
        <v>195</v>
      </c>
      <c r="F12" s="287" t="s">
        <v>56</v>
      </c>
      <c r="G12" s="31">
        <v>41689</v>
      </c>
      <c r="H12" s="454" t="s">
        <v>162</v>
      </c>
      <c r="I12" s="479" t="s">
        <v>75</v>
      </c>
      <c r="J12" s="479" t="s">
        <v>131</v>
      </c>
      <c r="K12" s="480" t="s">
        <v>76</v>
      </c>
      <c r="L12" s="31">
        <v>41753</v>
      </c>
      <c r="M12" s="286" t="s">
        <v>47</v>
      </c>
      <c r="N12" s="151" t="s">
        <v>169</v>
      </c>
      <c r="O12" s="204" t="s">
        <v>163</v>
      </c>
      <c r="P12" s="31">
        <v>42063</v>
      </c>
      <c r="Q12" s="286" t="s">
        <v>613</v>
      </c>
      <c r="R12" s="291" t="s">
        <v>52</v>
      </c>
      <c r="S12" s="31">
        <v>42509</v>
      </c>
      <c r="T12" s="286" t="s">
        <v>614</v>
      </c>
      <c r="U12" s="308">
        <f t="shared" si="5"/>
        <v>66</v>
      </c>
      <c r="V12" s="300" t="str">
        <f t="shared" si="1"/>
        <v>Inoportuno</v>
      </c>
      <c r="W12" s="308">
        <f t="shared" si="6"/>
        <v>440</v>
      </c>
      <c r="X12" s="506" t="s">
        <v>334</v>
      </c>
    </row>
    <row r="13" spans="1:25" ht="293.25" x14ac:dyDescent="0.2">
      <c r="A13" s="443"/>
      <c r="B13" s="286" t="s">
        <v>46</v>
      </c>
      <c r="C13" s="286" t="s">
        <v>107</v>
      </c>
      <c r="D13" s="458"/>
      <c r="E13" s="455"/>
      <c r="F13" s="287" t="s">
        <v>56</v>
      </c>
      <c r="G13" s="31">
        <v>41689</v>
      </c>
      <c r="H13" s="455"/>
      <c r="I13" s="479"/>
      <c r="J13" s="479"/>
      <c r="K13" s="505"/>
      <c r="L13" s="31">
        <v>41753</v>
      </c>
      <c r="M13" s="286" t="s">
        <v>47</v>
      </c>
      <c r="N13" s="151" t="s">
        <v>169</v>
      </c>
      <c r="O13" s="204" t="s">
        <v>164</v>
      </c>
      <c r="P13" s="31">
        <v>42094</v>
      </c>
      <c r="Q13" s="286" t="s">
        <v>615</v>
      </c>
      <c r="R13" s="291" t="s">
        <v>52</v>
      </c>
      <c r="S13" s="31">
        <v>42509</v>
      </c>
      <c r="T13" s="286" t="s">
        <v>616</v>
      </c>
      <c r="U13" s="308">
        <f t="shared" si="5"/>
        <v>66</v>
      </c>
      <c r="V13" s="300" t="str">
        <f t="shared" si="1"/>
        <v>Inoportuno</v>
      </c>
      <c r="W13" s="308">
        <f t="shared" si="6"/>
        <v>410</v>
      </c>
      <c r="X13" s="506" t="s">
        <v>334</v>
      </c>
    </row>
    <row r="14" spans="1:25" ht="306" x14ac:dyDescent="0.2">
      <c r="A14" s="443"/>
      <c r="B14" s="286" t="s">
        <v>46</v>
      </c>
      <c r="C14" s="286" t="s">
        <v>107</v>
      </c>
      <c r="D14" s="458"/>
      <c r="E14" s="455"/>
      <c r="F14" s="287" t="s">
        <v>56</v>
      </c>
      <c r="G14" s="31">
        <v>41689</v>
      </c>
      <c r="H14" s="455"/>
      <c r="I14" s="479"/>
      <c r="J14" s="479"/>
      <c r="K14" s="505"/>
      <c r="L14" s="31">
        <v>41753</v>
      </c>
      <c r="M14" s="286" t="s">
        <v>47</v>
      </c>
      <c r="N14" s="151" t="s">
        <v>169</v>
      </c>
      <c r="O14" s="204" t="s">
        <v>165</v>
      </c>
      <c r="P14" s="31">
        <v>41820</v>
      </c>
      <c r="Q14" s="286" t="s">
        <v>617</v>
      </c>
      <c r="R14" s="291" t="s">
        <v>48</v>
      </c>
      <c r="S14" s="31"/>
      <c r="T14" s="291"/>
      <c r="U14" s="308">
        <f t="shared" si="5"/>
        <v>66</v>
      </c>
      <c r="V14" s="300" t="str">
        <f t="shared" si="1"/>
        <v>Inoportuno</v>
      </c>
      <c r="W14" s="308">
        <f t="shared" si="6"/>
        <v>-41219</v>
      </c>
      <c r="X14" s="506" t="s">
        <v>334</v>
      </c>
    </row>
    <row r="15" spans="1:25" ht="70.5" customHeight="1" x14ac:dyDescent="0.2">
      <c r="A15" s="443"/>
      <c r="B15" s="286" t="s">
        <v>46</v>
      </c>
      <c r="C15" s="286" t="s">
        <v>107</v>
      </c>
      <c r="D15" s="458"/>
      <c r="E15" s="455"/>
      <c r="F15" s="287" t="s">
        <v>56</v>
      </c>
      <c r="G15" s="31">
        <v>41689</v>
      </c>
      <c r="H15" s="455"/>
      <c r="I15" s="479"/>
      <c r="J15" s="479"/>
      <c r="K15" s="505"/>
      <c r="L15" s="31">
        <v>41753</v>
      </c>
      <c r="M15" s="286" t="s">
        <v>47</v>
      </c>
      <c r="N15" s="151" t="s">
        <v>169</v>
      </c>
      <c r="O15" s="204" t="s">
        <v>166</v>
      </c>
      <c r="P15" s="31">
        <v>41820</v>
      </c>
      <c r="Q15" s="286" t="s">
        <v>618</v>
      </c>
      <c r="R15" s="291" t="s">
        <v>48</v>
      </c>
      <c r="S15" s="31"/>
      <c r="T15" s="291"/>
      <c r="U15" s="308">
        <f t="shared" si="5"/>
        <v>66</v>
      </c>
      <c r="V15" s="300" t="str">
        <f t="shared" ref="V15:V62" si="7">IF(U15&gt;7,"Inoportuno",(IF(U15&lt;0,"No ha formulado PM","Oportuno")))</f>
        <v>Inoportuno</v>
      </c>
      <c r="W15" s="308">
        <f t="shared" si="6"/>
        <v>-41219</v>
      </c>
      <c r="X15" s="506" t="s">
        <v>334</v>
      </c>
    </row>
    <row r="16" spans="1:25" ht="139.5" customHeight="1" x14ac:dyDescent="0.2">
      <c r="A16" s="443"/>
      <c r="B16" s="286" t="s">
        <v>46</v>
      </c>
      <c r="C16" s="286" t="s">
        <v>107</v>
      </c>
      <c r="D16" s="458"/>
      <c r="E16" s="455"/>
      <c r="F16" s="287" t="s">
        <v>56</v>
      </c>
      <c r="G16" s="31">
        <v>41689</v>
      </c>
      <c r="H16" s="455"/>
      <c r="I16" s="479"/>
      <c r="J16" s="479"/>
      <c r="K16" s="505"/>
      <c r="L16" s="31">
        <v>41753</v>
      </c>
      <c r="M16" s="286" t="s">
        <v>47</v>
      </c>
      <c r="N16" s="151" t="s">
        <v>169</v>
      </c>
      <c r="O16" s="204" t="s">
        <v>167</v>
      </c>
      <c r="P16" s="31">
        <v>41820</v>
      </c>
      <c r="Q16" s="286" t="s">
        <v>619</v>
      </c>
      <c r="R16" s="291" t="s">
        <v>52</v>
      </c>
      <c r="S16" s="31">
        <v>42509</v>
      </c>
      <c r="T16" s="286" t="s">
        <v>620</v>
      </c>
      <c r="U16" s="308">
        <f t="shared" si="5"/>
        <v>66</v>
      </c>
      <c r="V16" s="300" t="str">
        <f t="shared" si="7"/>
        <v>Inoportuno</v>
      </c>
      <c r="W16" s="308">
        <f t="shared" si="6"/>
        <v>680</v>
      </c>
      <c r="X16" s="506" t="s">
        <v>334</v>
      </c>
    </row>
    <row r="17" spans="1:24" ht="150" customHeight="1" x14ac:dyDescent="0.2">
      <c r="A17" s="439"/>
      <c r="B17" s="286" t="s">
        <v>46</v>
      </c>
      <c r="C17" s="286" t="s">
        <v>107</v>
      </c>
      <c r="D17" s="459"/>
      <c r="E17" s="456"/>
      <c r="F17" s="287" t="s">
        <v>56</v>
      </c>
      <c r="G17" s="31">
        <v>41689</v>
      </c>
      <c r="H17" s="456"/>
      <c r="I17" s="479"/>
      <c r="J17" s="479"/>
      <c r="K17" s="481"/>
      <c r="L17" s="31">
        <v>41753</v>
      </c>
      <c r="M17" s="286" t="s">
        <v>47</v>
      </c>
      <c r="N17" s="151" t="s">
        <v>169</v>
      </c>
      <c r="O17" s="204" t="s">
        <v>168</v>
      </c>
      <c r="P17" s="31">
        <v>41820</v>
      </c>
      <c r="Q17" s="286" t="s">
        <v>621</v>
      </c>
      <c r="R17" s="291" t="s">
        <v>52</v>
      </c>
      <c r="S17" s="31">
        <v>42509</v>
      </c>
      <c r="T17" s="286" t="s">
        <v>622</v>
      </c>
      <c r="U17" s="308">
        <f t="shared" si="5"/>
        <v>66</v>
      </c>
      <c r="V17" s="300" t="str">
        <f t="shared" si="7"/>
        <v>Inoportuno</v>
      </c>
      <c r="W17" s="308">
        <f t="shared" si="6"/>
        <v>680</v>
      </c>
      <c r="X17" s="506" t="s">
        <v>334</v>
      </c>
    </row>
    <row r="18" spans="1:24" ht="165" customHeight="1" x14ac:dyDescent="0.2">
      <c r="A18" s="438"/>
      <c r="B18" s="286" t="s">
        <v>46</v>
      </c>
      <c r="C18" s="286" t="s">
        <v>35</v>
      </c>
      <c r="D18" s="284" t="s">
        <v>40</v>
      </c>
      <c r="E18" s="295" t="s">
        <v>195</v>
      </c>
      <c r="F18" s="287" t="s">
        <v>56</v>
      </c>
      <c r="G18" s="31">
        <v>41634</v>
      </c>
      <c r="H18" s="447" t="s">
        <v>36</v>
      </c>
      <c r="I18" s="298" t="s">
        <v>75</v>
      </c>
      <c r="J18" s="298" t="s">
        <v>131</v>
      </c>
      <c r="K18" s="142" t="s">
        <v>76</v>
      </c>
      <c r="L18" s="31">
        <v>41753</v>
      </c>
      <c r="M18" s="286" t="s">
        <v>101</v>
      </c>
      <c r="N18" s="286" t="s">
        <v>171</v>
      </c>
      <c r="O18" s="204" t="s">
        <v>170</v>
      </c>
      <c r="P18" s="31">
        <v>41789</v>
      </c>
      <c r="Q18" s="286" t="s">
        <v>623</v>
      </c>
      <c r="R18" s="291" t="s">
        <v>48</v>
      </c>
      <c r="S18" s="31"/>
      <c r="T18" s="291"/>
      <c r="U18" s="308">
        <f t="shared" si="5"/>
        <v>119</v>
      </c>
      <c r="V18" s="300" t="str">
        <f t="shared" si="7"/>
        <v>Inoportuno</v>
      </c>
      <c r="W18" s="308">
        <f t="shared" si="6"/>
        <v>-41189</v>
      </c>
      <c r="X18" s="303" t="s">
        <v>334</v>
      </c>
    </row>
    <row r="19" spans="1:24" ht="221.25" customHeight="1" x14ac:dyDescent="0.2">
      <c r="A19" s="439"/>
      <c r="B19" s="286" t="s">
        <v>46</v>
      </c>
      <c r="C19" s="286" t="s">
        <v>35</v>
      </c>
      <c r="D19" s="284" t="s">
        <v>40</v>
      </c>
      <c r="E19" s="295" t="s">
        <v>195</v>
      </c>
      <c r="F19" s="287" t="s">
        <v>56</v>
      </c>
      <c r="G19" s="31">
        <v>41634</v>
      </c>
      <c r="H19" s="449"/>
      <c r="I19" s="298" t="s">
        <v>75</v>
      </c>
      <c r="J19" s="298" t="s">
        <v>131</v>
      </c>
      <c r="K19" s="142" t="s">
        <v>76</v>
      </c>
      <c r="L19" s="31">
        <v>41753</v>
      </c>
      <c r="M19" s="286" t="s">
        <v>47</v>
      </c>
      <c r="N19" s="286" t="s">
        <v>171</v>
      </c>
      <c r="O19" s="204" t="s">
        <v>259</v>
      </c>
      <c r="P19" s="31">
        <v>42004</v>
      </c>
      <c r="Q19" s="286" t="s">
        <v>624</v>
      </c>
      <c r="R19" s="291" t="s">
        <v>48</v>
      </c>
      <c r="S19" s="31"/>
      <c r="T19" s="291"/>
      <c r="U19" s="308">
        <f t="shared" si="5"/>
        <v>119</v>
      </c>
      <c r="V19" s="300" t="str">
        <f t="shared" si="7"/>
        <v>Inoportuno</v>
      </c>
      <c r="W19" s="308">
        <f t="shared" si="6"/>
        <v>-41399</v>
      </c>
      <c r="X19" s="303" t="s">
        <v>334</v>
      </c>
    </row>
    <row r="20" spans="1:24" ht="178.5" x14ac:dyDescent="0.2">
      <c r="A20" s="291">
        <f t="shared" si="4"/>
        <v>1</v>
      </c>
      <c r="B20" s="286" t="s">
        <v>46</v>
      </c>
      <c r="C20" s="286" t="s">
        <v>108</v>
      </c>
      <c r="D20" s="284" t="s">
        <v>40</v>
      </c>
      <c r="E20" s="295" t="s">
        <v>195</v>
      </c>
      <c r="F20" s="287" t="s">
        <v>56</v>
      </c>
      <c r="G20" s="31">
        <v>41506</v>
      </c>
      <c r="H20" s="353" t="s">
        <v>240</v>
      </c>
      <c r="I20" s="298" t="s">
        <v>75</v>
      </c>
      <c r="J20" s="298" t="s">
        <v>131</v>
      </c>
      <c r="K20" s="142" t="s">
        <v>76</v>
      </c>
      <c r="L20" s="31">
        <v>41513</v>
      </c>
      <c r="M20" s="286" t="s">
        <v>47</v>
      </c>
      <c r="N20" s="286" t="s">
        <v>112</v>
      </c>
      <c r="O20" s="204" t="s">
        <v>172</v>
      </c>
      <c r="P20" s="31">
        <v>42035</v>
      </c>
      <c r="Q20" s="286" t="s">
        <v>441</v>
      </c>
      <c r="R20" s="291" t="s">
        <v>48</v>
      </c>
      <c r="S20" s="31"/>
      <c r="T20" s="291"/>
      <c r="U20" s="308">
        <f t="shared" si="5"/>
        <v>8</v>
      </c>
      <c r="V20" s="300" t="str">
        <f t="shared" si="7"/>
        <v>Inoportuno</v>
      </c>
      <c r="W20" s="308">
        <f t="shared" si="6"/>
        <v>-41429</v>
      </c>
      <c r="X20" s="303" t="s">
        <v>334</v>
      </c>
    </row>
    <row r="21" spans="1:24" ht="245.25" customHeight="1" x14ac:dyDescent="0.2">
      <c r="A21" s="291">
        <f t="shared" si="4"/>
        <v>2</v>
      </c>
      <c r="B21" s="286" t="s">
        <v>46</v>
      </c>
      <c r="C21" s="286" t="s">
        <v>241</v>
      </c>
      <c r="D21" s="284" t="s">
        <v>43</v>
      </c>
      <c r="E21" s="295" t="s">
        <v>195</v>
      </c>
      <c r="F21" s="287" t="s">
        <v>56</v>
      </c>
      <c r="G21" s="31">
        <v>41313</v>
      </c>
      <c r="H21" s="353" t="s">
        <v>12</v>
      </c>
      <c r="I21" s="298" t="s">
        <v>75</v>
      </c>
      <c r="J21" s="298" t="s">
        <v>132</v>
      </c>
      <c r="K21" s="142" t="s">
        <v>76</v>
      </c>
      <c r="L21" s="31">
        <v>41324</v>
      </c>
      <c r="M21" s="286" t="s">
        <v>47</v>
      </c>
      <c r="N21" s="286" t="s">
        <v>110</v>
      </c>
      <c r="O21" s="204" t="s">
        <v>111</v>
      </c>
      <c r="P21" s="31">
        <v>42369</v>
      </c>
      <c r="Q21" s="289" t="s">
        <v>625</v>
      </c>
      <c r="R21" s="291" t="s">
        <v>52</v>
      </c>
      <c r="S21" s="31">
        <v>42509</v>
      </c>
      <c r="T21" s="291"/>
      <c r="U21" s="308">
        <f t="shared" si="5"/>
        <v>12</v>
      </c>
      <c r="V21" s="300" t="str">
        <f t="shared" si="7"/>
        <v>Inoportuno</v>
      </c>
      <c r="W21" s="308">
        <f t="shared" si="6"/>
        <v>140</v>
      </c>
      <c r="X21" s="303" t="s">
        <v>334</v>
      </c>
    </row>
    <row r="22" spans="1:24" ht="261.75" customHeight="1" x14ac:dyDescent="0.2">
      <c r="A22" s="291">
        <f t="shared" si="4"/>
        <v>3</v>
      </c>
      <c r="B22" s="286" t="s">
        <v>46</v>
      </c>
      <c r="C22" s="286" t="s">
        <v>6</v>
      </c>
      <c r="D22" s="284" t="s">
        <v>40</v>
      </c>
      <c r="E22" s="295" t="s">
        <v>195</v>
      </c>
      <c r="F22" s="287" t="s">
        <v>56</v>
      </c>
      <c r="G22" s="31">
        <v>41534</v>
      </c>
      <c r="H22" s="358" t="s">
        <v>15</v>
      </c>
      <c r="I22" s="298" t="s">
        <v>75</v>
      </c>
      <c r="J22" s="298" t="s">
        <v>131</v>
      </c>
      <c r="K22" s="142" t="s">
        <v>76</v>
      </c>
      <c r="L22" s="31">
        <v>41541</v>
      </c>
      <c r="M22" s="286" t="s">
        <v>47</v>
      </c>
      <c r="N22" s="286" t="s">
        <v>116</v>
      </c>
      <c r="O22" s="204" t="s">
        <v>115</v>
      </c>
      <c r="P22" s="31">
        <v>42094</v>
      </c>
      <c r="Q22" s="286" t="s">
        <v>626</v>
      </c>
      <c r="R22" s="291" t="s">
        <v>48</v>
      </c>
      <c r="S22" s="31"/>
      <c r="T22" s="291"/>
      <c r="U22" s="308">
        <f t="shared" si="5"/>
        <v>8</v>
      </c>
      <c r="V22" s="300" t="str">
        <f t="shared" si="7"/>
        <v>Inoportuno</v>
      </c>
      <c r="W22" s="308">
        <f t="shared" si="6"/>
        <v>-41489</v>
      </c>
      <c r="X22" s="303" t="s">
        <v>334</v>
      </c>
    </row>
    <row r="23" spans="1:24" ht="264.75" customHeight="1" x14ac:dyDescent="0.2">
      <c r="A23" s="291">
        <f t="shared" si="4"/>
        <v>4</v>
      </c>
      <c r="B23" s="286" t="s">
        <v>46</v>
      </c>
      <c r="C23" s="286" t="s">
        <v>6</v>
      </c>
      <c r="D23" s="293" t="s">
        <v>40</v>
      </c>
      <c r="E23" s="295" t="s">
        <v>195</v>
      </c>
      <c r="F23" s="294" t="s">
        <v>56</v>
      </c>
      <c r="G23" s="153">
        <v>41534</v>
      </c>
      <c r="H23" s="359" t="s">
        <v>109</v>
      </c>
      <c r="I23" s="298" t="s">
        <v>75</v>
      </c>
      <c r="J23" s="298" t="s">
        <v>131</v>
      </c>
      <c r="K23" s="305" t="s">
        <v>76</v>
      </c>
      <c r="L23" s="31">
        <v>41541</v>
      </c>
      <c r="M23" s="286" t="s">
        <v>47</v>
      </c>
      <c r="N23" s="286" t="s">
        <v>114</v>
      </c>
      <c r="O23" s="204" t="s">
        <v>117</v>
      </c>
      <c r="P23" s="31">
        <v>42094</v>
      </c>
      <c r="Q23" s="286" t="s">
        <v>627</v>
      </c>
      <c r="R23" s="291" t="s">
        <v>48</v>
      </c>
      <c r="S23" s="31"/>
      <c r="T23" s="291"/>
      <c r="U23" s="308">
        <f t="shared" si="5"/>
        <v>8</v>
      </c>
      <c r="V23" s="300" t="str">
        <f t="shared" si="7"/>
        <v>Inoportuno</v>
      </c>
      <c r="W23" s="308">
        <f t="shared" si="6"/>
        <v>-41489</v>
      </c>
      <c r="X23" s="301" t="s">
        <v>334</v>
      </c>
    </row>
    <row r="24" spans="1:24" ht="344.25" x14ac:dyDescent="0.2">
      <c r="A24" s="291">
        <f t="shared" si="4"/>
        <v>5</v>
      </c>
      <c r="B24" s="286" t="s">
        <v>46</v>
      </c>
      <c r="C24" s="286" t="s">
        <v>6</v>
      </c>
      <c r="D24" s="284" t="s">
        <v>40</v>
      </c>
      <c r="E24" s="295" t="s">
        <v>195</v>
      </c>
      <c r="F24" s="287" t="s">
        <v>56</v>
      </c>
      <c r="G24" s="31">
        <v>41534</v>
      </c>
      <c r="H24" s="358" t="s">
        <v>16</v>
      </c>
      <c r="I24" s="298" t="s">
        <v>75</v>
      </c>
      <c r="J24" s="298" t="s">
        <v>131</v>
      </c>
      <c r="K24" s="142" t="s">
        <v>76</v>
      </c>
      <c r="L24" s="31">
        <v>41541</v>
      </c>
      <c r="M24" s="286" t="s">
        <v>101</v>
      </c>
      <c r="N24" s="286" t="s">
        <v>113</v>
      </c>
      <c r="O24" s="204" t="s">
        <v>118</v>
      </c>
      <c r="P24" s="31">
        <v>42369</v>
      </c>
      <c r="Q24" s="286" t="s">
        <v>628</v>
      </c>
      <c r="R24" s="291" t="s">
        <v>48</v>
      </c>
      <c r="S24" s="31"/>
      <c r="T24" s="291"/>
      <c r="U24" s="308">
        <f t="shared" si="5"/>
        <v>8</v>
      </c>
      <c r="V24" s="300" t="str">
        <f t="shared" si="7"/>
        <v>Inoportuno</v>
      </c>
      <c r="W24" s="308">
        <f t="shared" si="6"/>
        <v>-41759</v>
      </c>
      <c r="X24" s="303" t="s">
        <v>334</v>
      </c>
    </row>
    <row r="25" spans="1:24" ht="134.25" customHeight="1" x14ac:dyDescent="0.2">
      <c r="A25" s="291">
        <f t="shared" si="4"/>
        <v>6</v>
      </c>
      <c r="B25" s="286" t="s">
        <v>46</v>
      </c>
      <c r="C25" s="286" t="s">
        <v>6</v>
      </c>
      <c r="D25" s="284" t="s">
        <v>40</v>
      </c>
      <c r="E25" s="295" t="s">
        <v>195</v>
      </c>
      <c r="F25" s="287" t="s">
        <v>56</v>
      </c>
      <c r="G25" s="31">
        <v>41534</v>
      </c>
      <c r="H25" s="358" t="s">
        <v>17</v>
      </c>
      <c r="I25" s="298" t="s">
        <v>75</v>
      </c>
      <c r="J25" s="298" t="s">
        <v>131</v>
      </c>
      <c r="K25" s="142" t="s">
        <v>76</v>
      </c>
      <c r="L25" s="31">
        <v>41541</v>
      </c>
      <c r="M25" s="286" t="s">
        <v>101</v>
      </c>
      <c r="N25" s="286" t="s">
        <v>120</v>
      </c>
      <c r="O25" s="204" t="s">
        <v>119</v>
      </c>
      <c r="P25" s="31">
        <v>42185</v>
      </c>
      <c r="Q25" s="286" t="s">
        <v>629</v>
      </c>
      <c r="R25" s="291" t="s">
        <v>52</v>
      </c>
      <c r="S25" s="279">
        <v>42509</v>
      </c>
      <c r="T25" s="286" t="s">
        <v>630</v>
      </c>
      <c r="U25" s="308">
        <f t="shared" si="5"/>
        <v>8</v>
      </c>
      <c r="V25" s="300" t="str">
        <f t="shared" si="7"/>
        <v>Inoportuno</v>
      </c>
      <c r="W25" s="308">
        <f t="shared" si="6"/>
        <v>320</v>
      </c>
      <c r="X25" s="303" t="s">
        <v>334</v>
      </c>
    </row>
    <row r="26" spans="1:24" ht="251.25" customHeight="1" x14ac:dyDescent="0.2">
      <c r="A26" s="291">
        <f t="shared" si="4"/>
        <v>7</v>
      </c>
      <c r="B26" s="286" t="s">
        <v>46</v>
      </c>
      <c r="C26" s="286" t="s">
        <v>6</v>
      </c>
      <c r="D26" s="284" t="s">
        <v>40</v>
      </c>
      <c r="E26" s="295" t="s">
        <v>195</v>
      </c>
      <c r="F26" s="287" t="s">
        <v>56</v>
      </c>
      <c r="G26" s="31">
        <v>41534</v>
      </c>
      <c r="H26" s="358" t="s">
        <v>18</v>
      </c>
      <c r="I26" s="298" t="s">
        <v>75</v>
      </c>
      <c r="J26" s="298" t="s">
        <v>131</v>
      </c>
      <c r="K26" s="142" t="s">
        <v>76</v>
      </c>
      <c r="L26" s="31">
        <v>41541</v>
      </c>
      <c r="M26" s="286" t="s">
        <v>47</v>
      </c>
      <c r="N26" s="286" t="s">
        <v>122</v>
      </c>
      <c r="O26" s="204" t="s">
        <v>121</v>
      </c>
      <c r="P26" s="31">
        <v>42094</v>
      </c>
      <c r="Q26" s="286" t="s">
        <v>631</v>
      </c>
      <c r="R26" s="291" t="s">
        <v>48</v>
      </c>
      <c r="S26" s="31"/>
      <c r="T26" s="291"/>
      <c r="U26" s="308">
        <f t="shared" si="5"/>
        <v>8</v>
      </c>
      <c r="V26" s="300" t="str">
        <f t="shared" si="7"/>
        <v>Inoportuno</v>
      </c>
      <c r="W26" s="308">
        <f t="shared" si="6"/>
        <v>-41489</v>
      </c>
      <c r="X26" s="303" t="s">
        <v>334</v>
      </c>
    </row>
    <row r="27" spans="1:24" ht="178.5" customHeight="1" x14ac:dyDescent="0.2">
      <c r="A27" s="291">
        <f t="shared" si="4"/>
        <v>8</v>
      </c>
      <c r="B27" s="286" t="s">
        <v>46</v>
      </c>
      <c r="C27" s="286" t="s">
        <v>6</v>
      </c>
      <c r="D27" s="284" t="s">
        <v>40</v>
      </c>
      <c r="E27" s="295" t="s">
        <v>195</v>
      </c>
      <c r="F27" s="287" t="s">
        <v>56</v>
      </c>
      <c r="G27" s="31">
        <v>41534</v>
      </c>
      <c r="H27" s="358" t="s">
        <v>19</v>
      </c>
      <c r="I27" s="298" t="s">
        <v>75</v>
      </c>
      <c r="J27" s="298" t="s">
        <v>132</v>
      </c>
      <c r="K27" s="142" t="s">
        <v>76</v>
      </c>
      <c r="L27" s="31">
        <v>41541</v>
      </c>
      <c r="M27" s="286" t="s">
        <v>101</v>
      </c>
      <c r="N27" s="286" t="s">
        <v>242</v>
      </c>
      <c r="O27" s="204" t="s">
        <v>123</v>
      </c>
      <c r="P27" s="31">
        <v>42185</v>
      </c>
      <c r="Q27" s="286" t="s">
        <v>632</v>
      </c>
      <c r="R27" s="291" t="s">
        <v>52</v>
      </c>
      <c r="S27" s="31">
        <v>42509</v>
      </c>
      <c r="T27" s="286" t="s">
        <v>633</v>
      </c>
      <c r="U27" s="308">
        <f t="shared" si="5"/>
        <v>8</v>
      </c>
      <c r="V27" s="300" t="str">
        <f t="shared" si="7"/>
        <v>Inoportuno</v>
      </c>
      <c r="W27" s="308">
        <f t="shared" si="6"/>
        <v>320</v>
      </c>
      <c r="X27" s="303" t="s">
        <v>334</v>
      </c>
    </row>
    <row r="28" spans="1:24" ht="175.5" customHeight="1" x14ac:dyDescent="0.2">
      <c r="A28" s="438"/>
      <c r="B28" s="286" t="s">
        <v>21</v>
      </c>
      <c r="C28" s="286" t="s">
        <v>181</v>
      </c>
      <c r="D28" s="457" t="s">
        <v>40</v>
      </c>
      <c r="E28" s="454" t="s">
        <v>0</v>
      </c>
      <c r="F28" s="287" t="s">
        <v>56</v>
      </c>
      <c r="G28" s="31">
        <v>41596</v>
      </c>
      <c r="H28" s="440" t="s">
        <v>511</v>
      </c>
      <c r="I28" s="467" t="s">
        <v>75</v>
      </c>
      <c r="J28" s="467" t="s">
        <v>132</v>
      </c>
      <c r="K28" s="438" t="s">
        <v>76</v>
      </c>
      <c r="L28" s="31">
        <v>42130</v>
      </c>
      <c r="M28" s="286" t="s">
        <v>47</v>
      </c>
      <c r="N28" s="177" t="s">
        <v>319</v>
      </c>
      <c r="O28" s="330" t="s">
        <v>328</v>
      </c>
      <c r="P28" s="168">
        <v>42185</v>
      </c>
      <c r="Q28" s="286" t="s">
        <v>594</v>
      </c>
      <c r="R28" s="291" t="s">
        <v>52</v>
      </c>
      <c r="S28" s="31">
        <v>42451</v>
      </c>
      <c r="T28" s="510" t="s">
        <v>595</v>
      </c>
      <c r="U28" s="308">
        <f t="shared" ref="U28:U30" si="8">DAYS360(G28,L28,0)+1</f>
        <v>529</v>
      </c>
      <c r="V28" s="300" t="str">
        <f t="shared" ref="V28:V30" si="9">IF(U28&gt;7,"Inoportuno",(IF(U28&lt;0,"No ha formulado PM","Oportuno")))</f>
        <v>Inoportuno</v>
      </c>
      <c r="W28" s="308">
        <f t="shared" ref="W28:W30" si="10">DAYS360(P28,S28,0)+1</f>
        <v>263</v>
      </c>
      <c r="X28" s="506" t="s">
        <v>334</v>
      </c>
    </row>
    <row r="29" spans="1:24" ht="192.75" customHeight="1" x14ac:dyDescent="0.2">
      <c r="A29" s="443"/>
      <c r="B29" s="286" t="s">
        <v>21</v>
      </c>
      <c r="C29" s="286" t="s">
        <v>181</v>
      </c>
      <c r="D29" s="458"/>
      <c r="E29" s="455"/>
      <c r="F29" s="287" t="s">
        <v>56</v>
      </c>
      <c r="G29" s="31">
        <v>41596</v>
      </c>
      <c r="H29" s="441"/>
      <c r="I29" s="468"/>
      <c r="J29" s="468"/>
      <c r="K29" s="443"/>
      <c r="L29" s="31">
        <v>42130</v>
      </c>
      <c r="M29" s="286" t="s">
        <v>47</v>
      </c>
      <c r="N29" s="3" t="s">
        <v>327</v>
      </c>
      <c r="O29" s="330" t="s">
        <v>329</v>
      </c>
      <c r="P29" s="168">
        <v>42185</v>
      </c>
      <c r="Q29" s="287" t="s">
        <v>596</v>
      </c>
      <c r="R29" s="291" t="s">
        <v>52</v>
      </c>
      <c r="S29" s="31">
        <v>42451</v>
      </c>
      <c r="T29" s="451"/>
      <c r="U29" s="308">
        <f t="shared" si="8"/>
        <v>529</v>
      </c>
      <c r="V29" s="300" t="str">
        <f t="shared" si="9"/>
        <v>Inoportuno</v>
      </c>
      <c r="W29" s="308">
        <f t="shared" si="10"/>
        <v>263</v>
      </c>
      <c r="X29" s="506" t="s">
        <v>334</v>
      </c>
    </row>
    <row r="30" spans="1:24" ht="153" x14ac:dyDescent="0.2">
      <c r="A30" s="443"/>
      <c r="B30" s="286" t="s">
        <v>21</v>
      </c>
      <c r="C30" s="286" t="s">
        <v>181</v>
      </c>
      <c r="D30" s="458"/>
      <c r="E30" s="455"/>
      <c r="F30" s="287" t="s">
        <v>56</v>
      </c>
      <c r="G30" s="31">
        <v>41596</v>
      </c>
      <c r="H30" s="441"/>
      <c r="I30" s="468"/>
      <c r="J30" s="468"/>
      <c r="K30" s="443"/>
      <c r="L30" s="31">
        <v>42130</v>
      </c>
      <c r="M30" s="286" t="s">
        <v>47</v>
      </c>
      <c r="N30" s="3" t="s">
        <v>442</v>
      </c>
      <c r="O30" s="330" t="s">
        <v>507</v>
      </c>
      <c r="P30" s="168">
        <v>42185</v>
      </c>
      <c r="Q30" s="286" t="s">
        <v>597</v>
      </c>
      <c r="R30" s="291" t="s">
        <v>52</v>
      </c>
      <c r="S30" s="31">
        <v>42451</v>
      </c>
      <c r="T30" s="451"/>
      <c r="U30" s="308">
        <f t="shared" si="8"/>
        <v>529</v>
      </c>
      <c r="V30" s="300" t="str">
        <f t="shared" si="9"/>
        <v>Inoportuno</v>
      </c>
      <c r="W30" s="308">
        <f t="shared" si="10"/>
        <v>263</v>
      </c>
      <c r="X30" s="506" t="s">
        <v>334</v>
      </c>
    </row>
    <row r="31" spans="1:24" ht="220.5" customHeight="1" x14ac:dyDescent="0.2">
      <c r="A31" s="439"/>
      <c r="B31" s="286" t="s">
        <v>21</v>
      </c>
      <c r="C31" s="286" t="s">
        <v>181</v>
      </c>
      <c r="D31" s="459"/>
      <c r="E31" s="456"/>
      <c r="F31" s="287" t="s">
        <v>56</v>
      </c>
      <c r="G31" s="31">
        <v>41596</v>
      </c>
      <c r="H31" s="442"/>
      <c r="I31" s="469"/>
      <c r="J31" s="469"/>
      <c r="K31" s="439"/>
      <c r="L31" s="31">
        <v>42130</v>
      </c>
      <c r="M31" s="286" t="s">
        <v>47</v>
      </c>
      <c r="N31" s="3" t="s">
        <v>322</v>
      </c>
      <c r="O31" s="330" t="s">
        <v>522</v>
      </c>
      <c r="P31" s="168">
        <v>42185</v>
      </c>
      <c r="Q31" s="286" t="s">
        <v>598</v>
      </c>
      <c r="R31" s="291" t="s">
        <v>52</v>
      </c>
      <c r="S31" s="31">
        <v>42451</v>
      </c>
      <c r="T31" s="452"/>
      <c r="U31" s="308">
        <f t="shared" ref="U31:U59" si="11">DAYS360(G31,L31,0)+1</f>
        <v>529</v>
      </c>
      <c r="V31" s="300" t="str">
        <f t="shared" si="7"/>
        <v>Inoportuno</v>
      </c>
      <c r="W31" s="308">
        <f t="shared" si="6"/>
        <v>263</v>
      </c>
      <c r="X31" s="506" t="s">
        <v>334</v>
      </c>
    </row>
    <row r="32" spans="1:24" ht="382.5" x14ac:dyDescent="0.2">
      <c r="A32" s="291">
        <f t="shared" si="4"/>
        <v>1</v>
      </c>
      <c r="B32" s="304" t="s">
        <v>61</v>
      </c>
      <c r="C32" s="286" t="s">
        <v>140</v>
      </c>
      <c r="D32" s="457" t="s">
        <v>40</v>
      </c>
      <c r="E32" s="454" t="s">
        <v>0</v>
      </c>
      <c r="F32" s="287" t="s">
        <v>104</v>
      </c>
      <c r="G32" s="331">
        <v>41135</v>
      </c>
      <c r="H32" s="332" t="s">
        <v>7</v>
      </c>
      <c r="I32" s="467" t="s">
        <v>75</v>
      </c>
      <c r="J32" s="467" t="s">
        <v>131</v>
      </c>
      <c r="K32" s="438" t="s">
        <v>76</v>
      </c>
      <c r="L32" s="179">
        <v>41165</v>
      </c>
      <c r="M32" s="286" t="s">
        <v>101</v>
      </c>
      <c r="N32" s="286" t="s">
        <v>141</v>
      </c>
      <c r="O32" s="204" t="s">
        <v>243</v>
      </c>
      <c r="P32" s="168">
        <v>41455</v>
      </c>
      <c r="Q32" s="286" t="s">
        <v>531</v>
      </c>
      <c r="R32" s="169" t="s">
        <v>52</v>
      </c>
      <c r="S32" s="168">
        <v>42508</v>
      </c>
      <c r="T32" s="286" t="s">
        <v>547</v>
      </c>
      <c r="U32" s="308">
        <f t="shared" si="11"/>
        <v>30</v>
      </c>
      <c r="V32" s="300" t="str">
        <f t="shared" si="7"/>
        <v>Inoportuno</v>
      </c>
      <c r="W32" s="308">
        <f t="shared" ref="W32:W59" si="12">DAYS360(P32,S32,0)+1</f>
        <v>1039</v>
      </c>
      <c r="X32" s="303" t="s">
        <v>334</v>
      </c>
    </row>
    <row r="33" spans="1:24" ht="25.5" x14ac:dyDescent="0.2">
      <c r="A33" s="291">
        <f>+A32+1</f>
        <v>2</v>
      </c>
      <c r="B33" s="304" t="s">
        <v>61</v>
      </c>
      <c r="C33" s="286"/>
      <c r="D33" s="458"/>
      <c r="E33" s="455"/>
      <c r="F33" s="287" t="s">
        <v>104</v>
      </c>
      <c r="G33" s="331">
        <v>42480</v>
      </c>
      <c r="H33" s="444" t="s">
        <v>548</v>
      </c>
      <c r="I33" s="468"/>
      <c r="J33" s="468"/>
      <c r="K33" s="443"/>
      <c r="L33" s="179">
        <v>42508</v>
      </c>
      <c r="M33" s="286" t="s">
        <v>47</v>
      </c>
      <c r="N33" s="286" t="s">
        <v>134</v>
      </c>
      <c r="O33" s="204" t="s">
        <v>549</v>
      </c>
      <c r="P33" s="168">
        <v>42735</v>
      </c>
      <c r="Q33" s="286"/>
      <c r="R33" s="169" t="s">
        <v>48</v>
      </c>
      <c r="S33" s="168"/>
      <c r="T33" s="169"/>
      <c r="U33" s="308">
        <f t="shared" ref="U33:U35" si="13">DAYS360(G33,L33,0)+1</f>
        <v>29</v>
      </c>
      <c r="V33" s="300" t="str">
        <f t="shared" ref="V33:V35" si="14">IF(U33&gt;7,"Inoportuno",(IF(U33&lt;0,"No ha formulado PM","Oportuno")))</f>
        <v>Inoportuno</v>
      </c>
      <c r="W33" s="308">
        <f t="shared" ref="W33:W35" si="15">DAYS360(P33,S33,0)+1</f>
        <v>-42119</v>
      </c>
      <c r="X33" s="303" t="s">
        <v>334</v>
      </c>
    </row>
    <row r="34" spans="1:24" ht="25.5" x14ac:dyDescent="0.2">
      <c r="A34" s="291">
        <f t="shared" ref="A34:A36" si="16">+A33+1</f>
        <v>3</v>
      </c>
      <c r="B34" s="304" t="s">
        <v>61</v>
      </c>
      <c r="C34" s="286"/>
      <c r="D34" s="458"/>
      <c r="E34" s="455"/>
      <c r="F34" s="287" t="s">
        <v>104</v>
      </c>
      <c r="G34" s="331">
        <v>42480</v>
      </c>
      <c r="H34" s="445"/>
      <c r="I34" s="468"/>
      <c r="J34" s="468"/>
      <c r="K34" s="443"/>
      <c r="L34" s="179">
        <v>42508</v>
      </c>
      <c r="M34" s="286" t="s">
        <v>47</v>
      </c>
      <c r="N34" s="286" t="s">
        <v>134</v>
      </c>
      <c r="O34" s="204" t="s">
        <v>550</v>
      </c>
      <c r="P34" s="168">
        <v>42735</v>
      </c>
      <c r="Q34" s="286"/>
      <c r="R34" s="169" t="s">
        <v>48</v>
      </c>
      <c r="S34" s="168"/>
      <c r="T34" s="169"/>
      <c r="U34" s="308">
        <f t="shared" si="13"/>
        <v>29</v>
      </c>
      <c r="V34" s="300" t="str">
        <f t="shared" si="14"/>
        <v>Inoportuno</v>
      </c>
      <c r="W34" s="308">
        <f t="shared" si="15"/>
        <v>-42119</v>
      </c>
      <c r="X34" s="303" t="s">
        <v>334</v>
      </c>
    </row>
    <row r="35" spans="1:24" ht="25.5" x14ac:dyDescent="0.2">
      <c r="A35" s="291">
        <f t="shared" si="16"/>
        <v>4</v>
      </c>
      <c r="B35" s="304" t="s">
        <v>61</v>
      </c>
      <c r="C35" s="286"/>
      <c r="D35" s="459"/>
      <c r="E35" s="456"/>
      <c r="F35" s="287" t="s">
        <v>104</v>
      </c>
      <c r="G35" s="331">
        <v>42480</v>
      </c>
      <c r="H35" s="446"/>
      <c r="I35" s="469"/>
      <c r="J35" s="469"/>
      <c r="K35" s="439"/>
      <c r="L35" s="179">
        <v>42508</v>
      </c>
      <c r="M35" s="286" t="s">
        <v>47</v>
      </c>
      <c r="N35" s="286" t="s">
        <v>134</v>
      </c>
      <c r="O35" s="204" t="s">
        <v>551</v>
      </c>
      <c r="P35" s="168">
        <v>42735</v>
      </c>
      <c r="Q35" s="286"/>
      <c r="R35" s="169" t="s">
        <v>48</v>
      </c>
      <c r="S35" s="168"/>
      <c r="T35" s="169"/>
      <c r="U35" s="308">
        <f t="shared" si="13"/>
        <v>29</v>
      </c>
      <c r="V35" s="300" t="str">
        <f t="shared" si="14"/>
        <v>Inoportuno</v>
      </c>
      <c r="W35" s="308">
        <f t="shared" si="15"/>
        <v>-42119</v>
      </c>
      <c r="X35" s="303" t="s">
        <v>334</v>
      </c>
    </row>
    <row r="36" spans="1:24" ht="342" customHeight="1" x14ac:dyDescent="0.2">
      <c r="A36" s="291">
        <f t="shared" si="16"/>
        <v>5</v>
      </c>
      <c r="B36" s="286" t="s">
        <v>61</v>
      </c>
      <c r="C36" s="286" t="s">
        <v>204</v>
      </c>
      <c r="D36" s="283" t="s">
        <v>40</v>
      </c>
      <c r="E36" s="295" t="s">
        <v>0</v>
      </c>
      <c r="F36" s="287" t="s">
        <v>55</v>
      </c>
      <c r="G36" s="31">
        <v>41425</v>
      </c>
      <c r="H36" s="357" t="s">
        <v>133</v>
      </c>
      <c r="I36" s="298" t="s">
        <v>75</v>
      </c>
      <c r="J36" s="298" t="s">
        <v>131</v>
      </c>
      <c r="K36" s="142" t="s">
        <v>76</v>
      </c>
      <c r="L36" s="31">
        <v>41457</v>
      </c>
      <c r="M36" s="286" t="s">
        <v>101</v>
      </c>
      <c r="N36" s="286" t="s">
        <v>134</v>
      </c>
      <c r="O36" s="204" t="s">
        <v>297</v>
      </c>
      <c r="P36" s="168">
        <v>42369</v>
      </c>
      <c r="Q36" s="286" t="s">
        <v>532</v>
      </c>
      <c r="R36" s="169" t="s">
        <v>52</v>
      </c>
      <c r="S36" s="168">
        <v>42480</v>
      </c>
      <c r="T36" s="286" t="s">
        <v>533</v>
      </c>
      <c r="U36" s="308">
        <f t="shared" si="11"/>
        <v>33</v>
      </c>
      <c r="V36" s="300" t="str">
        <f t="shared" si="7"/>
        <v>Inoportuno</v>
      </c>
      <c r="W36" s="308">
        <f t="shared" si="12"/>
        <v>111</v>
      </c>
      <c r="X36" s="303" t="s">
        <v>334</v>
      </c>
    </row>
    <row r="37" spans="1:24" ht="127.5" customHeight="1" x14ac:dyDescent="0.2">
      <c r="A37" s="291">
        <f t="shared" si="4"/>
        <v>6</v>
      </c>
      <c r="B37" s="286" t="s">
        <v>61</v>
      </c>
      <c r="C37" s="286" t="s">
        <v>204</v>
      </c>
      <c r="D37" s="283" t="s">
        <v>40</v>
      </c>
      <c r="E37" s="295" t="s">
        <v>0</v>
      </c>
      <c r="F37" s="287" t="s">
        <v>55</v>
      </c>
      <c r="G37" s="31">
        <v>41425</v>
      </c>
      <c r="H37" s="357" t="s">
        <v>205</v>
      </c>
      <c r="I37" s="298" t="s">
        <v>75</v>
      </c>
      <c r="J37" s="298" t="s">
        <v>131</v>
      </c>
      <c r="K37" s="142" t="s">
        <v>76</v>
      </c>
      <c r="L37" s="31">
        <v>41457</v>
      </c>
      <c r="M37" s="286" t="s">
        <v>47</v>
      </c>
      <c r="N37" s="286" t="s">
        <v>135</v>
      </c>
      <c r="O37" s="204" t="s">
        <v>206</v>
      </c>
      <c r="P37" s="168">
        <v>42531</v>
      </c>
      <c r="Q37" s="286" t="s">
        <v>554</v>
      </c>
      <c r="R37" s="169" t="s">
        <v>48</v>
      </c>
      <c r="S37" s="168"/>
      <c r="T37" s="169"/>
      <c r="U37" s="308">
        <f t="shared" si="11"/>
        <v>33</v>
      </c>
      <c r="V37" s="300" t="str">
        <f t="shared" si="7"/>
        <v>Inoportuno</v>
      </c>
      <c r="W37" s="308">
        <f t="shared" si="12"/>
        <v>-41919</v>
      </c>
      <c r="X37" s="303" t="s">
        <v>334</v>
      </c>
    </row>
    <row r="38" spans="1:24" ht="216.75" customHeight="1" x14ac:dyDescent="0.2">
      <c r="A38" s="291">
        <f t="shared" si="4"/>
        <v>7</v>
      </c>
      <c r="B38" s="304" t="s">
        <v>61</v>
      </c>
      <c r="C38" s="286" t="s">
        <v>204</v>
      </c>
      <c r="D38" s="283" t="s">
        <v>40</v>
      </c>
      <c r="E38" s="295" t="s">
        <v>0</v>
      </c>
      <c r="F38" s="287" t="s">
        <v>55</v>
      </c>
      <c r="G38" s="31">
        <v>41425</v>
      </c>
      <c r="H38" s="357" t="s">
        <v>207</v>
      </c>
      <c r="I38" s="298" t="s">
        <v>75</v>
      </c>
      <c r="J38" s="298" t="s">
        <v>132</v>
      </c>
      <c r="K38" s="142" t="s">
        <v>76</v>
      </c>
      <c r="L38" s="31">
        <v>41457</v>
      </c>
      <c r="M38" s="286" t="s">
        <v>47</v>
      </c>
      <c r="N38" s="286" t="s">
        <v>134</v>
      </c>
      <c r="O38" s="204" t="s">
        <v>203</v>
      </c>
      <c r="P38" s="168">
        <v>41639</v>
      </c>
      <c r="Q38" s="286" t="s">
        <v>534</v>
      </c>
      <c r="R38" s="169" t="s">
        <v>52</v>
      </c>
      <c r="S38" s="168">
        <v>42480</v>
      </c>
      <c r="T38" s="171" t="s">
        <v>535</v>
      </c>
      <c r="U38" s="308">
        <f t="shared" si="11"/>
        <v>33</v>
      </c>
      <c r="V38" s="300" t="str">
        <f t="shared" si="7"/>
        <v>Inoportuno</v>
      </c>
      <c r="W38" s="308">
        <f t="shared" si="12"/>
        <v>831</v>
      </c>
      <c r="X38" s="303" t="s">
        <v>334</v>
      </c>
    </row>
    <row r="39" spans="1:24" ht="127.5" customHeight="1" x14ac:dyDescent="0.2">
      <c r="A39" s="291">
        <f t="shared" si="4"/>
        <v>8</v>
      </c>
      <c r="B39" s="304" t="s">
        <v>61</v>
      </c>
      <c r="C39" s="286" t="s">
        <v>204</v>
      </c>
      <c r="D39" s="283" t="s">
        <v>40</v>
      </c>
      <c r="E39" s="295" t="s">
        <v>0</v>
      </c>
      <c r="F39" s="287" t="s">
        <v>55</v>
      </c>
      <c r="G39" s="31">
        <v>41425</v>
      </c>
      <c r="H39" s="357" t="s">
        <v>11</v>
      </c>
      <c r="I39" s="298" t="s">
        <v>75</v>
      </c>
      <c r="J39" s="298" t="s">
        <v>132</v>
      </c>
      <c r="K39" s="142" t="s">
        <v>76</v>
      </c>
      <c r="L39" s="31">
        <v>41457</v>
      </c>
      <c r="M39" s="286" t="s">
        <v>101</v>
      </c>
      <c r="N39" s="286" t="s">
        <v>134</v>
      </c>
      <c r="O39" s="204" t="s">
        <v>136</v>
      </c>
      <c r="P39" s="168">
        <v>41517</v>
      </c>
      <c r="Q39" s="286" t="s">
        <v>536</v>
      </c>
      <c r="R39" s="169" t="s">
        <v>52</v>
      </c>
      <c r="S39" s="168">
        <v>42480</v>
      </c>
      <c r="T39" s="286" t="s">
        <v>537</v>
      </c>
      <c r="U39" s="308">
        <f t="shared" si="11"/>
        <v>33</v>
      </c>
      <c r="V39" s="300" t="str">
        <f t="shared" si="7"/>
        <v>Inoportuno</v>
      </c>
      <c r="W39" s="308">
        <f t="shared" si="12"/>
        <v>951</v>
      </c>
      <c r="X39" s="303" t="s">
        <v>334</v>
      </c>
    </row>
    <row r="40" spans="1:24" ht="179.25" customHeight="1" x14ac:dyDescent="0.2">
      <c r="A40" s="291">
        <f t="shared" si="4"/>
        <v>9</v>
      </c>
      <c r="B40" s="286" t="s">
        <v>61</v>
      </c>
      <c r="C40" s="286" t="s">
        <v>204</v>
      </c>
      <c r="D40" s="283" t="s">
        <v>40</v>
      </c>
      <c r="E40" s="295" t="s">
        <v>0</v>
      </c>
      <c r="F40" s="287" t="s">
        <v>55</v>
      </c>
      <c r="G40" s="31">
        <v>41425</v>
      </c>
      <c r="H40" s="357" t="s">
        <v>208</v>
      </c>
      <c r="I40" s="298" t="s">
        <v>75</v>
      </c>
      <c r="J40" s="298" t="s">
        <v>131</v>
      </c>
      <c r="K40" s="142" t="s">
        <v>76</v>
      </c>
      <c r="L40" s="31">
        <v>41457</v>
      </c>
      <c r="M40" s="286" t="s">
        <v>47</v>
      </c>
      <c r="N40" s="286" t="s">
        <v>134</v>
      </c>
      <c r="O40" s="204" t="s">
        <v>552</v>
      </c>
      <c r="P40" s="168">
        <v>42735</v>
      </c>
      <c r="Q40" s="286" t="s">
        <v>553</v>
      </c>
      <c r="R40" s="169" t="s">
        <v>48</v>
      </c>
      <c r="S40" s="168"/>
      <c r="T40" s="286"/>
      <c r="U40" s="308">
        <f t="shared" si="11"/>
        <v>33</v>
      </c>
      <c r="V40" s="300" t="str">
        <f t="shared" si="7"/>
        <v>Inoportuno</v>
      </c>
      <c r="W40" s="308">
        <f t="shared" si="12"/>
        <v>-42119</v>
      </c>
      <c r="X40" s="303" t="s">
        <v>334</v>
      </c>
    </row>
    <row r="41" spans="1:24" ht="127.5" customHeight="1" x14ac:dyDescent="0.2">
      <c r="A41" s="291">
        <f t="shared" si="4"/>
        <v>10</v>
      </c>
      <c r="B41" s="292" t="s">
        <v>61</v>
      </c>
      <c r="C41" s="292" t="s">
        <v>204</v>
      </c>
      <c r="D41" s="283" t="s">
        <v>40</v>
      </c>
      <c r="E41" s="295" t="s">
        <v>0</v>
      </c>
      <c r="F41" s="306" t="s">
        <v>55</v>
      </c>
      <c r="G41" s="152">
        <v>41425</v>
      </c>
      <c r="H41" s="360" t="s">
        <v>209</v>
      </c>
      <c r="I41" s="298" t="s">
        <v>75</v>
      </c>
      <c r="J41" s="298" t="s">
        <v>131</v>
      </c>
      <c r="K41" s="296" t="s">
        <v>76</v>
      </c>
      <c r="L41" s="31">
        <v>41457</v>
      </c>
      <c r="M41" s="286" t="s">
        <v>47</v>
      </c>
      <c r="N41" s="286" t="s">
        <v>137</v>
      </c>
      <c r="O41" s="204" t="s">
        <v>210</v>
      </c>
      <c r="P41" s="168">
        <v>42735</v>
      </c>
      <c r="Q41" s="286" t="s">
        <v>555</v>
      </c>
      <c r="R41" s="169" t="s">
        <v>48</v>
      </c>
      <c r="S41" s="168"/>
      <c r="T41" s="169"/>
      <c r="U41" s="308">
        <f t="shared" si="11"/>
        <v>33</v>
      </c>
      <c r="V41" s="300" t="str">
        <f t="shared" si="7"/>
        <v>Inoportuno</v>
      </c>
      <c r="W41" s="308">
        <f t="shared" si="12"/>
        <v>-42119</v>
      </c>
      <c r="X41" s="303" t="s">
        <v>334</v>
      </c>
    </row>
    <row r="42" spans="1:24" ht="89.25" customHeight="1" x14ac:dyDescent="0.2">
      <c r="A42" s="291">
        <f t="shared" si="4"/>
        <v>11</v>
      </c>
      <c r="B42" s="295" t="s">
        <v>333</v>
      </c>
      <c r="C42" s="295" t="s">
        <v>27</v>
      </c>
      <c r="D42" s="283" t="s">
        <v>40</v>
      </c>
      <c r="E42" s="295" t="s">
        <v>0</v>
      </c>
      <c r="F42" s="294" t="s">
        <v>104</v>
      </c>
      <c r="G42" s="153">
        <v>41638</v>
      </c>
      <c r="H42" s="356" t="s">
        <v>23</v>
      </c>
      <c r="I42" s="298" t="s">
        <v>75</v>
      </c>
      <c r="J42" s="333" t="s">
        <v>132</v>
      </c>
      <c r="K42" s="296" t="s">
        <v>76</v>
      </c>
      <c r="L42" s="31">
        <v>42537</v>
      </c>
      <c r="M42" s="286" t="s">
        <v>101</v>
      </c>
      <c r="N42" s="286"/>
      <c r="O42" s="368" t="s">
        <v>662</v>
      </c>
      <c r="P42" s="168">
        <v>42537</v>
      </c>
      <c r="Q42" s="204" t="s">
        <v>661</v>
      </c>
      <c r="R42" s="169" t="s">
        <v>52</v>
      </c>
      <c r="S42" s="168">
        <v>42551</v>
      </c>
      <c r="T42" s="204" t="s">
        <v>663</v>
      </c>
      <c r="U42" s="308">
        <f t="shared" si="11"/>
        <v>887</v>
      </c>
      <c r="V42" s="300" t="str">
        <f t="shared" si="7"/>
        <v>Inoportuno</v>
      </c>
      <c r="W42" s="308">
        <f t="shared" si="12"/>
        <v>15</v>
      </c>
      <c r="X42" s="303" t="s">
        <v>334</v>
      </c>
    </row>
    <row r="43" spans="1:24" ht="203.25" customHeight="1" x14ac:dyDescent="0.2">
      <c r="A43" s="291">
        <f t="shared" si="4"/>
        <v>12</v>
      </c>
      <c r="B43" s="295" t="s">
        <v>333</v>
      </c>
      <c r="C43" s="295" t="s">
        <v>27</v>
      </c>
      <c r="D43" s="283" t="s">
        <v>40</v>
      </c>
      <c r="E43" s="295" t="s">
        <v>0</v>
      </c>
      <c r="F43" s="294" t="s">
        <v>104</v>
      </c>
      <c r="G43" s="153">
        <v>41638</v>
      </c>
      <c r="H43" s="356" t="s">
        <v>25</v>
      </c>
      <c r="I43" s="298" t="s">
        <v>75</v>
      </c>
      <c r="J43" s="333" t="s">
        <v>132</v>
      </c>
      <c r="K43" s="296" t="s">
        <v>76</v>
      </c>
      <c r="L43" s="31">
        <v>42551</v>
      </c>
      <c r="M43" s="286" t="s">
        <v>47</v>
      </c>
      <c r="N43" s="286" t="s">
        <v>142</v>
      </c>
      <c r="O43" s="368" t="s">
        <v>695</v>
      </c>
      <c r="P43" s="168">
        <v>42750</v>
      </c>
      <c r="Q43" s="286" t="s">
        <v>696</v>
      </c>
      <c r="R43" s="169" t="s">
        <v>52</v>
      </c>
      <c r="S43" s="168">
        <v>42663</v>
      </c>
      <c r="T43" s="390" t="s">
        <v>697</v>
      </c>
      <c r="U43" s="308">
        <f t="shared" si="11"/>
        <v>901</v>
      </c>
      <c r="V43" s="300" t="str">
        <f t="shared" si="7"/>
        <v>Inoportuno</v>
      </c>
      <c r="W43" s="308">
        <f t="shared" si="12"/>
        <v>-84</v>
      </c>
      <c r="X43" s="303" t="s">
        <v>334</v>
      </c>
    </row>
    <row r="44" spans="1:24" ht="222.75" customHeight="1" x14ac:dyDescent="0.2">
      <c r="A44" s="291">
        <f t="shared" si="4"/>
        <v>13</v>
      </c>
      <c r="B44" s="295" t="s">
        <v>333</v>
      </c>
      <c r="C44" s="295" t="s">
        <v>27</v>
      </c>
      <c r="D44" s="283" t="s">
        <v>40</v>
      </c>
      <c r="E44" s="295" t="s">
        <v>0</v>
      </c>
      <c r="F44" s="294" t="s">
        <v>104</v>
      </c>
      <c r="G44" s="153">
        <v>41638</v>
      </c>
      <c r="H44" s="356" t="s">
        <v>26</v>
      </c>
      <c r="I44" s="298" t="s">
        <v>75</v>
      </c>
      <c r="J44" s="333" t="s">
        <v>132</v>
      </c>
      <c r="K44" s="296" t="s">
        <v>76</v>
      </c>
      <c r="L44" s="31">
        <v>42537</v>
      </c>
      <c r="M44" s="286" t="s">
        <v>101</v>
      </c>
      <c r="N44" s="286"/>
      <c r="O44" s="204" t="s">
        <v>662</v>
      </c>
      <c r="P44" s="168">
        <v>42537</v>
      </c>
      <c r="Q44" s="286" t="s">
        <v>664</v>
      </c>
      <c r="R44" s="169" t="s">
        <v>52</v>
      </c>
      <c r="S44" s="168">
        <v>42551</v>
      </c>
      <c r="T44" s="204" t="s">
        <v>665</v>
      </c>
      <c r="U44" s="308">
        <f t="shared" si="11"/>
        <v>887</v>
      </c>
      <c r="V44" s="300" t="str">
        <f t="shared" si="7"/>
        <v>Inoportuno</v>
      </c>
      <c r="W44" s="308">
        <f t="shared" si="12"/>
        <v>15</v>
      </c>
      <c r="X44" s="303" t="s">
        <v>334</v>
      </c>
    </row>
    <row r="45" spans="1:24" ht="137.25" customHeight="1" x14ac:dyDescent="0.2">
      <c r="A45" s="291">
        <f t="shared" si="4"/>
        <v>14</v>
      </c>
      <c r="B45" s="295" t="s">
        <v>333</v>
      </c>
      <c r="C45" s="295" t="s">
        <v>27</v>
      </c>
      <c r="D45" s="283" t="s">
        <v>40</v>
      </c>
      <c r="E45" s="295" t="s">
        <v>0</v>
      </c>
      <c r="F45" s="294" t="s">
        <v>104</v>
      </c>
      <c r="G45" s="153">
        <v>41638</v>
      </c>
      <c r="H45" s="356" t="s">
        <v>24</v>
      </c>
      <c r="I45" s="298" t="s">
        <v>75</v>
      </c>
      <c r="J45" s="333" t="s">
        <v>131</v>
      </c>
      <c r="K45" s="296" t="s">
        <v>76</v>
      </c>
      <c r="L45" s="31">
        <v>42581</v>
      </c>
      <c r="M45" s="286" t="s">
        <v>47</v>
      </c>
      <c r="N45" s="286" t="s">
        <v>142</v>
      </c>
      <c r="O45" s="204" t="s">
        <v>698</v>
      </c>
      <c r="P45" s="168">
        <v>42612</v>
      </c>
      <c r="Q45" s="204" t="s">
        <v>714</v>
      </c>
      <c r="R45" s="169" t="s">
        <v>48</v>
      </c>
      <c r="S45" s="168"/>
      <c r="T45" s="169"/>
      <c r="U45" s="308">
        <f t="shared" si="11"/>
        <v>931</v>
      </c>
      <c r="V45" s="300" t="str">
        <f t="shared" si="7"/>
        <v>Inoportuno</v>
      </c>
      <c r="W45" s="308">
        <f t="shared" si="12"/>
        <v>-41999</v>
      </c>
      <c r="X45" s="303" t="s">
        <v>334</v>
      </c>
    </row>
    <row r="46" spans="1:24" ht="351" customHeight="1" x14ac:dyDescent="0.2">
      <c r="A46" s="419">
        <f t="shared" si="4"/>
        <v>15</v>
      </c>
      <c r="B46" s="295" t="s">
        <v>333</v>
      </c>
      <c r="C46" s="295" t="s">
        <v>138</v>
      </c>
      <c r="D46" s="293" t="s">
        <v>40</v>
      </c>
      <c r="E46" s="295" t="s">
        <v>0</v>
      </c>
      <c r="F46" s="294" t="s">
        <v>104</v>
      </c>
      <c r="G46" s="153">
        <v>41243</v>
      </c>
      <c r="H46" s="334" t="s">
        <v>4</v>
      </c>
      <c r="I46" s="298" t="s">
        <v>75</v>
      </c>
      <c r="J46" s="298" t="s">
        <v>132</v>
      </c>
      <c r="K46" s="142" t="s">
        <v>76</v>
      </c>
      <c r="L46" s="31">
        <v>41318</v>
      </c>
      <c r="M46" s="286" t="s">
        <v>101</v>
      </c>
      <c r="N46" s="286" t="s">
        <v>142</v>
      </c>
      <c r="O46" s="204" t="s">
        <v>143</v>
      </c>
      <c r="P46" s="168">
        <v>41455</v>
      </c>
      <c r="Q46" s="289" t="s">
        <v>427</v>
      </c>
      <c r="R46" s="169" t="s">
        <v>52</v>
      </c>
      <c r="S46" s="168">
        <v>42381</v>
      </c>
      <c r="T46" s="171" t="s">
        <v>443</v>
      </c>
      <c r="U46" s="308">
        <f t="shared" si="11"/>
        <v>74</v>
      </c>
      <c r="V46" s="300" t="str">
        <f t="shared" si="7"/>
        <v>Inoportuno</v>
      </c>
      <c r="W46" s="308">
        <f t="shared" si="12"/>
        <v>913</v>
      </c>
      <c r="X46" s="303" t="s">
        <v>334</v>
      </c>
    </row>
    <row r="47" spans="1:24" ht="217.5" customHeight="1" x14ac:dyDescent="0.2">
      <c r="A47" s="418"/>
      <c r="B47" s="295" t="s">
        <v>333</v>
      </c>
      <c r="C47" s="295" t="s">
        <v>138</v>
      </c>
      <c r="D47" s="293" t="s">
        <v>40</v>
      </c>
      <c r="E47" s="295" t="s">
        <v>0</v>
      </c>
      <c r="F47" s="294" t="s">
        <v>104</v>
      </c>
      <c r="G47" s="153">
        <v>41243</v>
      </c>
      <c r="H47" s="334" t="s">
        <v>5</v>
      </c>
      <c r="I47" s="298" t="s">
        <v>75</v>
      </c>
      <c r="J47" s="298" t="s">
        <v>132</v>
      </c>
      <c r="K47" s="142" t="s">
        <v>76</v>
      </c>
      <c r="L47" s="31">
        <v>41318</v>
      </c>
      <c r="M47" s="286" t="s">
        <v>101</v>
      </c>
      <c r="N47" s="286" t="s">
        <v>142</v>
      </c>
      <c r="O47" s="204" t="s">
        <v>211</v>
      </c>
      <c r="P47" s="168">
        <v>41455</v>
      </c>
      <c r="Q47" s="289" t="s">
        <v>444</v>
      </c>
      <c r="R47" s="169" t="s">
        <v>52</v>
      </c>
      <c r="S47" s="168">
        <v>42381</v>
      </c>
      <c r="T47" s="171" t="s">
        <v>445</v>
      </c>
      <c r="U47" s="308">
        <f t="shared" si="11"/>
        <v>74</v>
      </c>
      <c r="V47" s="300" t="str">
        <f t="shared" si="7"/>
        <v>Inoportuno</v>
      </c>
      <c r="W47" s="308">
        <f t="shared" si="12"/>
        <v>913</v>
      </c>
      <c r="X47" s="303" t="s">
        <v>334</v>
      </c>
    </row>
    <row r="48" spans="1:24" ht="237" customHeight="1" x14ac:dyDescent="0.2">
      <c r="A48" s="418"/>
      <c r="B48" s="295" t="s">
        <v>333</v>
      </c>
      <c r="C48" s="295" t="s">
        <v>138</v>
      </c>
      <c r="D48" s="293" t="s">
        <v>40</v>
      </c>
      <c r="E48" s="295" t="s">
        <v>0</v>
      </c>
      <c r="F48" s="294" t="s">
        <v>104</v>
      </c>
      <c r="G48" s="153">
        <v>41243</v>
      </c>
      <c r="H48" s="334" t="s">
        <v>144</v>
      </c>
      <c r="I48" s="298" t="s">
        <v>75</v>
      </c>
      <c r="J48" s="298" t="s">
        <v>131</v>
      </c>
      <c r="K48" s="142" t="s">
        <v>76</v>
      </c>
      <c r="L48" s="31">
        <v>41318</v>
      </c>
      <c r="M48" s="286" t="s">
        <v>47</v>
      </c>
      <c r="N48" s="286" t="s">
        <v>142</v>
      </c>
      <c r="O48" s="204" t="s">
        <v>713</v>
      </c>
      <c r="P48" s="168">
        <v>42612</v>
      </c>
      <c r="Q48" s="289" t="s">
        <v>715</v>
      </c>
      <c r="R48" s="169" t="s">
        <v>48</v>
      </c>
      <c r="S48" s="168"/>
      <c r="T48" s="169"/>
      <c r="U48" s="308">
        <f t="shared" si="11"/>
        <v>74</v>
      </c>
      <c r="V48" s="300" t="str">
        <f t="shared" si="7"/>
        <v>Inoportuno</v>
      </c>
      <c r="W48" s="308">
        <f t="shared" si="12"/>
        <v>-41999</v>
      </c>
      <c r="X48" s="303" t="s">
        <v>334</v>
      </c>
    </row>
    <row r="49" spans="1:24" ht="140.25" customHeight="1" x14ac:dyDescent="0.2">
      <c r="A49" s="418"/>
      <c r="B49" s="295" t="s">
        <v>59</v>
      </c>
      <c r="C49" s="295" t="s">
        <v>212</v>
      </c>
      <c r="D49" s="293" t="s">
        <v>43</v>
      </c>
      <c r="E49" s="295" t="s">
        <v>195</v>
      </c>
      <c r="F49" s="294" t="s">
        <v>55</v>
      </c>
      <c r="G49" s="153">
        <v>41697</v>
      </c>
      <c r="H49" s="334" t="s">
        <v>147</v>
      </c>
      <c r="I49" s="298" t="s">
        <v>75</v>
      </c>
      <c r="J49" s="298" t="s">
        <v>131</v>
      </c>
      <c r="K49" s="142" t="s">
        <v>76</v>
      </c>
      <c r="L49" s="31">
        <v>41726</v>
      </c>
      <c r="M49" s="286" t="s">
        <v>47</v>
      </c>
      <c r="N49" s="286" t="s">
        <v>148</v>
      </c>
      <c r="O49" s="204" t="s">
        <v>213</v>
      </c>
      <c r="P49" s="31">
        <v>42004</v>
      </c>
      <c r="Q49" s="286" t="s">
        <v>446</v>
      </c>
      <c r="R49" s="291" t="s">
        <v>48</v>
      </c>
      <c r="S49" s="31"/>
      <c r="T49" s="291"/>
      <c r="U49" s="308">
        <f t="shared" si="11"/>
        <v>32</v>
      </c>
      <c r="V49" s="300" t="str">
        <f t="shared" si="7"/>
        <v>Inoportuno</v>
      </c>
      <c r="W49" s="308">
        <f t="shared" si="12"/>
        <v>-41399</v>
      </c>
      <c r="X49" s="303" t="s">
        <v>334</v>
      </c>
    </row>
    <row r="50" spans="1:24" ht="258.75" customHeight="1" x14ac:dyDescent="0.2">
      <c r="A50" s="418"/>
      <c r="B50" s="295" t="s">
        <v>46</v>
      </c>
      <c r="C50" s="295" t="s">
        <v>155</v>
      </c>
      <c r="D50" s="457" t="s">
        <v>43</v>
      </c>
      <c r="E50" s="454" t="s">
        <v>195</v>
      </c>
      <c r="F50" s="294" t="s">
        <v>56</v>
      </c>
      <c r="G50" s="153">
        <v>41684</v>
      </c>
      <c r="H50" s="447" t="s">
        <v>173</v>
      </c>
      <c r="I50" s="479" t="s">
        <v>75</v>
      </c>
      <c r="J50" s="479" t="s">
        <v>131</v>
      </c>
      <c r="K50" s="480" t="s">
        <v>76</v>
      </c>
      <c r="L50" s="31">
        <v>41753</v>
      </c>
      <c r="M50" s="286" t="s">
        <v>47</v>
      </c>
      <c r="N50" s="286" t="s">
        <v>112</v>
      </c>
      <c r="O50" s="204" t="s">
        <v>174</v>
      </c>
      <c r="P50" s="31">
        <v>42063</v>
      </c>
      <c r="Q50" s="286" t="s">
        <v>634</v>
      </c>
      <c r="R50" s="291" t="s">
        <v>52</v>
      </c>
      <c r="S50" s="31">
        <v>42509</v>
      </c>
      <c r="T50" s="286" t="s">
        <v>635</v>
      </c>
      <c r="U50" s="308">
        <f t="shared" si="11"/>
        <v>71</v>
      </c>
      <c r="V50" s="300" t="str">
        <f t="shared" si="7"/>
        <v>Inoportuno</v>
      </c>
      <c r="W50" s="308">
        <f t="shared" si="12"/>
        <v>440</v>
      </c>
      <c r="X50" s="506" t="s">
        <v>334</v>
      </c>
    </row>
    <row r="51" spans="1:24" ht="45" customHeight="1" x14ac:dyDescent="0.2">
      <c r="A51" s="418"/>
      <c r="B51" s="295" t="s">
        <v>46</v>
      </c>
      <c r="C51" s="295" t="s">
        <v>155</v>
      </c>
      <c r="D51" s="458"/>
      <c r="E51" s="455"/>
      <c r="F51" s="294" t="s">
        <v>56</v>
      </c>
      <c r="G51" s="153">
        <v>41684</v>
      </c>
      <c r="H51" s="448"/>
      <c r="I51" s="479"/>
      <c r="J51" s="479"/>
      <c r="K51" s="505"/>
      <c r="L51" s="31">
        <v>41753</v>
      </c>
      <c r="M51" s="286" t="s">
        <v>47</v>
      </c>
      <c r="N51" s="286" t="s">
        <v>112</v>
      </c>
      <c r="O51" s="204" t="s">
        <v>214</v>
      </c>
      <c r="P51" s="31">
        <v>42063</v>
      </c>
      <c r="Q51" s="286" t="s">
        <v>636</v>
      </c>
      <c r="R51" s="291" t="s">
        <v>52</v>
      </c>
      <c r="S51" s="31">
        <v>42509</v>
      </c>
      <c r="T51" s="291"/>
      <c r="U51" s="308">
        <f t="shared" si="11"/>
        <v>71</v>
      </c>
      <c r="V51" s="300" t="str">
        <f t="shared" si="7"/>
        <v>Inoportuno</v>
      </c>
      <c r="W51" s="308">
        <f t="shared" si="12"/>
        <v>440</v>
      </c>
      <c r="X51" s="506" t="s">
        <v>334</v>
      </c>
    </row>
    <row r="52" spans="1:24" ht="189.75" customHeight="1" x14ac:dyDescent="0.2">
      <c r="A52" s="418"/>
      <c r="B52" s="295" t="s">
        <v>46</v>
      </c>
      <c r="C52" s="295" t="s">
        <v>155</v>
      </c>
      <c r="D52" s="458"/>
      <c r="E52" s="455"/>
      <c r="F52" s="294" t="s">
        <v>56</v>
      </c>
      <c r="G52" s="153">
        <v>41684</v>
      </c>
      <c r="H52" s="448"/>
      <c r="I52" s="479"/>
      <c r="J52" s="479"/>
      <c r="K52" s="505"/>
      <c r="L52" s="31">
        <v>41753</v>
      </c>
      <c r="M52" s="286" t="s">
        <v>47</v>
      </c>
      <c r="N52" s="286" t="s">
        <v>112</v>
      </c>
      <c r="O52" s="204" t="s">
        <v>175</v>
      </c>
      <c r="P52" s="31">
        <v>41805</v>
      </c>
      <c r="Q52" s="286" t="s">
        <v>637</v>
      </c>
      <c r="R52" s="291" t="s">
        <v>52</v>
      </c>
      <c r="S52" s="31">
        <v>42509</v>
      </c>
      <c r="T52" s="291"/>
      <c r="U52" s="308">
        <f t="shared" si="11"/>
        <v>71</v>
      </c>
      <c r="V52" s="300" t="str">
        <f t="shared" si="7"/>
        <v>Inoportuno</v>
      </c>
      <c r="W52" s="308">
        <f t="shared" si="12"/>
        <v>695</v>
      </c>
      <c r="X52" s="506" t="s">
        <v>334</v>
      </c>
    </row>
    <row r="53" spans="1:24" ht="201" customHeight="1" x14ac:dyDescent="0.2">
      <c r="A53" s="417"/>
      <c r="B53" s="295" t="s">
        <v>46</v>
      </c>
      <c r="C53" s="295" t="s">
        <v>155</v>
      </c>
      <c r="D53" s="459"/>
      <c r="E53" s="456"/>
      <c r="F53" s="294" t="s">
        <v>56</v>
      </c>
      <c r="G53" s="153">
        <v>41684</v>
      </c>
      <c r="H53" s="449"/>
      <c r="I53" s="479"/>
      <c r="J53" s="479"/>
      <c r="K53" s="481"/>
      <c r="L53" s="31">
        <v>41753</v>
      </c>
      <c r="M53" s="286" t="s">
        <v>47</v>
      </c>
      <c r="N53" s="286" t="s">
        <v>112</v>
      </c>
      <c r="O53" s="204" t="s">
        <v>176</v>
      </c>
      <c r="P53" s="31">
        <v>41789</v>
      </c>
      <c r="Q53" s="286" t="s">
        <v>638</v>
      </c>
      <c r="R53" s="291" t="s">
        <v>48</v>
      </c>
      <c r="S53" s="31"/>
      <c r="T53" s="291"/>
      <c r="U53" s="308">
        <f t="shared" si="11"/>
        <v>71</v>
      </c>
      <c r="V53" s="300" t="str">
        <f t="shared" si="7"/>
        <v>Inoportuno</v>
      </c>
      <c r="W53" s="308">
        <f t="shared" si="12"/>
        <v>-41189</v>
      </c>
      <c r="X53" s="506" t="s">
        <v>334</v>
      </c>
    </row>
    <row r="54" spans="1:24" ht="236.25" customHeight="1" x14ac:dyDescent="0.2">
      <c r="A54" s="291">
        <f t="shared" si="4"/>
        <v>1</v>
      </c>
      <c r="B54" s="295" t="s">
        <v>62</v>
      </c>
      <c r="C54" s="295" t="s">
        <v>156</v>
      </c>
      <c r="D54" s="457" t="s">
        <v>43</v>
      </c>
      <c r="E54" s="454" t="s">
        <v>195</v>
      </c>
      <c r="F54" s="294" t="s">
        <v>56</v>
      </c>
      <c r="G54" s="153">
        <v>41704</v>
      </c>
      <c r="H54" s="334" t="s">
        <v>157</v>
      </c>
      <c r="I54" s="479" t="s">
        <v>75</v>
      </c>
      <c r="J54" s="479" t="s">
        <v>132</v>
      </c>
      <c r="K54" s="480" t="s">
        <v>76</v>
      </c>
      <c r="L54" s="31">
        <v>41737</v>
      </c>
      <c r="M54" s="286" t="s">
        <v>101</v>
      </c>
      <c r="N54" s="286" t="s">
        <v>56</v>
      </c>
      <c r="O54" s="204" t="s">
        <v>215</v>
      </c>
      <c r="P54" s="31">
        <v>42078</v>
      </c>
      <c r="Q54" s="286" t="s">
        <v>578</v>
      </c>
      <c r="R54" s="291" t="s">
        <v>52</v>
      </c>
      <c r="S54" s="31"/>
      <c r="T54" s="286" t="s">
        <v>579</v>
      </c>
      <c r="U54" s="308">
        <f t="shared" si="11"/>
        <v>33</v>
      </c>
      <c r="V54" s="300" t="str">
        <f t="shared" si="7"/>
        <v>Inoportuno</v>
      </c>
      <c r="W54" s="308">
        <f t="shared" si="12"/>
        <v>-41474</v>
      </c>
      <c r="X54" s="506" t="s">
        <v>334</v>
      </c>
    </row>
    <row r="55" spans="1:24" ht="408.75" customHeight="1" x14ac:dyDescent="0.2">
      <c r="A55" s="291">
        <f t="shared" si="4"/>
        <v>2</v>
      </c>
      <c r="B55" s="295" t="s">
        <v>62</v>
      </c>
      <c r="C55" s="295" t="s">
        <v>156</v>
      </c>
      <c r="D55" s="458"/>
      <c r="E55" s="455"/>
      <c r="F55" s="294" t="s">
        <v>56</v>
      </c>
      <c r="G55" s="153">
        <v>41704</v>
      </c>
      <c r="H55" s="334" t="s">
        <v>157</v>
      </c>
      <c r="I55" s="479"/>
      <c r="J55" s="479"/>
      <c r="K55" s="505"/>
      <c r="L55" s="31">
        <v>41737</v>
      </c>
      <c r="M55" s="286" t="s">
        <v>47</v>
      </c>
      <c r="N55" s="286" t="s">
        <v>56</v>
      </c>
      <c r="O55" s="204" t="s">
        <v>158</v>
      </c>
      <c r="P55" s="31">
        <v>42078</v>
      </c>
      <c r="Q55" s="287" t="s">
        <v>580</v>
      </c>
      <c r="R55" s="291" t="s">
        <v>52</v>
      </c>
      <c r="S55" s="31">
        <v>42467</v>
      </c>
      <c r="T55" s="286" t="s">
        <v>579</v>
      </c>
      <c r="U55" s="308">
        <f t="shared" si="11"/>
        <v>33</v>
      </c>
      <c r="V55" s="300" t="str">
        <f t="shared" si="7"/>
        <v>Inoportuno</v>
      </c>
      <c r="W55" s="308">
        <f t="shared" si="12"/>
        <v>383</v>
      </c>
      <c r="X55" s="506" t="s">
        <v>334</v>
      </c>
    </row>
    <row r="56" spans="1:24" ht="165" customHeight="1" x14ac:dyDescent="0.2">
      <c r="A56" s="291">
        <f t="shared" si="4"/>
        <v>3</v>
      </c>
      <c r="B56" s="295" t="s">
        <v>60</v>
      </c>
      <c r="C56" s="295" t="s">
        <v>216</v>
      </c>
      <c r="D56" s="457" t="s">
        <v>43</v>
      </c>
      <c r="E56" s="454" t="s">
        <v>195</v>
      </c>
      <c r="F56" s="294" t="s">
        <v>56</v>
      </c>
      <c r="G56" s="153">
        <v>41714</v>
      </c>
      <c r="H56" s="334" t="s">
        <v>150</v>
      </c>
      <c r="I56" s="467" t="s">
        <v>75</v>
      </c>
      <c r="J56" s="467" t="s">
        <v>131</v>
      </c>
      <c r="K56" s="438" t="s">
        <v>76</v>
      </c>
      <c r="L56" s="31">
        <v>41726</v>
      </c>
      <c r="M56" s="286" t="s">
        <v>47</v>
      </c>
      <c r="N56" s="286" t="s">
        <v>148</v>
      </c>
      <c r="O56" s="204" t="s">
        <v>151</v>
      </c>
      <c r="P56" s="31">
        <v>42004</v>
      </c>
      <c r="Q56" s="286" t="s">
        <v>447</v>
      </c>
      <c r="R56" s="291" t="s">
        <v>48</v>
      </c>
      <c r="S56" s="31"/>
      <c r="T56" s="291"/>
      <c r="U56" s="308">
        <f t="shared" si="11"/>
        <v>13</v>
      </c>
      <c r="V56" s="300" t="str">
        <f t="shared" si="7"/>
        <v>Inoportuno</v>
      </c>
      <c r="W56" s="308">
        <f t="shared" si="12"/>
        <v>-41399</v>
      </c>
      <c r="X56" s="506" t="s">
        <v>334</v>
      </c>
    </row>
    <row r="57" spans="1:24" ht="166.5" customHeight="1" x14ac:dyDescent="0.2">
      <c r="A57" s="291">
        <f t="shared" si="4"/>
        <v>4</v>
      </c>
      <c r="B57" s="295" t="s">
        <v>60</v>
      </c>
      <c r="C57" s="295" t="s">
        <v>216</v>
      </c>
      <c r="D57" s="458"/>
      <c r="E57" s="455"/>
      <c r="F57" s="294" t="s">
        <v>56</v>
      </c>
      <c r="G57" s="153">
        <v>41714</v>
      </c>
      <c r="H57" s="334" t="s">
        <v>150</v>
      </c>
      <c r="I57" s="468"/>
      <c r="J57" s="468"/>
      <c r="K57" s="443"/>
      <c r="L57" s="31">
        <v>41726</v>
      </c>
      <c r="M57" s="286" t="s">
        <v>47</v>
      </c>
      <c r="N57" s="286" t="s">
        <v>148</v>
      </c>
      <c r="O57" s="204" t="s">
        <v>152</v>
      </c>
      <c r="P57" s="31">
        <v>42004</v>
      </c>
      <c r="Q57" s="286" t="s">
        <v>448</v>
      </c>
      <c r="R57" s="291" t="s">
        <v>48</v>
      </c>
      <c r="S57" s="31"/>
      <c r="T57" s="291"/>
      <c r="U57" s="308">
        <f t="shared" si="11"/>
        <v>13</v>
      </c>
      <c r="V57" s="300" t="str">
        <f t="shared" si="7"/>
        <v>Inoportuno</v>
      </c>
      <c r="W57" s="308">
        <f t="shared" si="12"/>
        <v>-41399</v>
      </c>
      <c r="X57" s="506" t="s">
        <v>334</v>
      </c>
    </row>
    <row r="58" spans="1:24" ht="89.25" customHeight="1" x14ac:dyDescent="0.2">
      <c r="A58" s="291">
        <f t="shared" si="4"/>
        <v>5</v>
      </c>
      <c r="B58" s="295" t="s">
        <v>60</v>
      </c>
      <c r="C58" s="295" t="s">
        <v>216</v>
      </c>
      <c r="D58" s="458"/>
      <c r="E58" s="455"/>
      <c r="F58" s="294" t="s">
        <v>56</v>
      </c>
      <c r="G58" s="153">
        <v>41714</v>
      </c>
      <c r="H58" s="334" t="s">
        <v>150</v>
      </c>
      <c r="I58" s="468"/>
      <c r="J58" s="468"/>
      <c r="K58" s="443"/>
      <c r="L58" s="31">
        <v>41726</v>
      </c>
      <c r="M58" s="286" t="s">
        <v>47</v>
      </c>
      <c r="N58" s="286" t="s">
        <v>148</v>
      </c>
      <c r="O58" s="204" t="s">
        <v>153</v>
      </c>
      <c r="P58" s="31">
        <v>42004</v>
      </c>
      <c r="Q58" s="286" t="s">
        <v>415</v>
      </c>
      <c r="R58" s="291" t="s">
        <v>48</v>
      </c>
      <c r="S58" s="31"/>
      <c r="T58" s="291"/>
      <c r="U58" s="308">
        <f t="shared" si="11"/>
        <v>13</v>
      </c>
      <c r="V58" s="300" t="str">
        <f t="shared" si="7"/>
        <v>Inoportuno</v>
      </c>
      <c r="W58" s="308">
        <f t="shared" si="12"/>
        <v>-41399</v>
      </c>
      <c r="X58" s="506" t="s">
        <v>334</v>
      </c>
    </row>
    <row r="59" spans="1:24" ht="63.75" customHeight="1" x14ac:dyDescent="0.2">
      <c r="A59" s="291">
        <f t="shared" si="4"/>
        <v>6</v>
      </c>
      <c r="B59" s="295" t="s">
        <v>60</v>
      </c>
      <c r="C59" s="295" t="s">
        <v>216</v>
      </c>
      <c r="D59" s="459"/>
      <c r="E59" s="456"/>
      <c r="F59" s="294" t="s">
        <v>56</v>
      </c>
      <c r="G59" s="153">
        <v>41714</v>
      </c>
      <c r="H59" s="334" t="s">
        <v>150</v>
      </c>
      <c r="I59" s="469"/>
      <c r="J59" s="469"/>
      <c r="K59" s="439"/>
      <c r="L59" s="31">
        <v>41726</v>
      </c>
      <c r="M59" s="286" t="s">
        <v>47</v>
      </c>
      <c r="N59" s="286" t="s">
        <v>148</v>
      </c>
      <c r="O59" s="204" t="s">
        <v>217</v>
      </c>
      <c r="P59" s="31">
        <v>42004</v>
      </c>
      <c r="Q59" s="286"/>
      <c r="R59" s="291" t="s">
        <v>48</v>
      </c>
      <c r="S59" s="31"/>
      <c r="T59" s="291"/>
      <c r="U59" s="308">
        <f t="shared" si="11"/>
        <v>13</v>
      </c>
      <c r="V59" s="300" t="str">
        <f t="shared" si="7"/>
        <v>Inoportuno</v>
      </c>
      <c r="W59" s="308">
        <f t="shared" si="12"/>
        <v>-41399</v>
      </c>
      <c r="X59" s="506" t="s">
        <v>334</v>
      </c>
    </row>
    <row r="60" spans="1:24" ht="168.75" customHeight="1" x14ac:dyDescent="0.2">
      <c r="A60" s="291">
        <f t="shared" si="4"/>
        <v>7</v>
      </c>
      <c r="B60" s="295" t="s">
        <v>333</v>
      </c>
      <c r="C60" s="335" t="s">
        <v>177</v>
      </c>
      <c r="D60" s="457" t="s">
        <v>177</v>
      </c>
      <c r="E60" s="454" t="s">
        <v>0</v>
      </c>
      <c r="F60" s="287" t="s">
        <v>104</v>
      </c>
      <c r="G60" s="163">
        <v>41901</v>
      </c>
      <c r="H60" s="482" t="s">
        <v>224</v>
      </c>
      <c r="I60" s="479" t="s">
        <v>75</v>
      </c>
      <c r="J60" s="479" t="s">
        <v>131</v>
      </c>
      <c r="K60" s="480" t="s">
        <v>76</v>
      </c>
      <c r="L60" s="31">
        <v>41933</v>
      </c>
      <c r="M60" s="286" t="s">
        <v>101</v>
      </c>
      <c r="N60" s="286" t="s">
        <v>142</v>
      </c>
      <c r="O60" s="368" t="s">
        <v>703</v>
      </c>
      <c r="P60" s="168">
        <v>42612</v>
      </c>
      <c r="Q60" s="286" t="s">
        <v>704</v>
      </c>
      <c r="R60" s="169" t="s">
        <v>48</v>
      </c>
      <c r="S60" s="168">
        <v>42381</v>
      </c>
      <c r="T60" s="171" t="s">
        <v>705</v>
      </c>
      <c r="U60" s="308">
        <f>DAYS360(G60,L60,0)+1</f>
        <v>33</v>
      </c>
      <c r="V60" s="300" t="str">
        <f t="shared" si="7"/>
        <v>Inoportuno</v>
      </c>
      <c r="W60" s="308">
        <f>DAYS360(P60,S60,0)+1</f>
        <v>-227</v>
      </c>
      <c r="X60" s="506" t="s">
        <v>334</v>
      </c>
    </row>
    <row r="61" spans="1:24" ht="117.75" customHeight="1" x14ac:dyDescent="0.2">
      <c r="A61" s="291">
        <f t="shared" si="4"/>
        <v>8</v>
      </c>
      <c r="B61" s="295" t="s">
        <v>333</v>
      </c>
      <c r="C61" s="335" t="s">
        <v>177</v>
      </c>
      <c r="D61" s="458"/>
      <c r="E61" s="455"/>
      <c r="F61" s="287" t="s">
        <v>104</v>
      </c>
      <c r="G61" s="163">
        <v>41901</v>
      </c>
      <c r="H61" s="483"/>
      <c r="I61" s="479"/>
      <c r="J61" s="479"/>
      <c r="K61" s="505"/>
      <c r="L61" s="31">
        <v>41933</v>
      </c>
      <c r="M61" s="286" t="s">
        <v>47</v>
      </c>
      <c r="N61" s="286" t="s">
        <v>244</v>
      </c>
      <c r="O61" s="204" t="s">
        <v>245</v>
      </c>
      <c r="P61" s="168">
        <v>42216</v>
      </c>
      <c r="Q61" s="286" t="s">
        <v>428</v>
      </c>
      <c r="R61" s="169" t="s">
        <v>52</v>
      </c>
      <c r="S61" s="168">
        <v>42381</v>
      </c>
      <c r="T61" s="171" t="s">
        <v>429</v>
      </c>
      <c r="U61" s="308">
        <f t="shared" ref="U61:U65" si="17">DAYS360(G61,L61,0)+1</f>
        <v>33</v>
      </c>
      <c r="V61" s="300" t="str">
        <f t="shared" si="7"/>
        <v>Inoportuno</v>
      </c>
      <c r="W61" s="308">
        <f t="shared" ref="W61:W64" si="18">DAYS360(P61,S61,0)+1</f>
        <v>163</v>
      </c>
      <c r="X61" s="506" t="s">
        <v>334</v>
      </c>
    </row>
    <row r="62" spans="1:24" ht="84.75" customHeight="1" x14ac:dyDescent="0.2">
      <c r="A62" s="291">
        <f t="shared" si="4"/>
        <v>9</v>
      </c>
      <c r="B62" s="295" t="s">
        <v>333</v>
      </c>
      <c r="C62" s="335" t="s">
        <v>177</v>
      </c>
      <c r="D62" s="458"/>
      <c r="E62" s="455"/>
      <c r="F62" s="287" t="s">
        <v>104</v>
      </c>
      <c r="G62" s="163">
        <v>41901</v>
      </c>
      <c r="H62" s="483"/>
      <c r="I62" s="479"/>
      <c r="J62" s="479"/>
      <c r="K62" s="505"/>
      <c r="L62" s="31">
        <v>41933</v>
      </c>
      <c r="M62" s="286" t="s">
        <v>101</v>
      </c>
      <c r="N62" s="171" t="s">
        <v>226</v>
      </c>
      <c r="O62" s="204" t="s">
        <v>225</v>
      </c>
      <c r="P62" s="168">
        <v>42004</v>
      </c>
      <c r="Q62" s="286" t="s">
        <v>430</v>
      </c>
      <c r="R62" s="169" t="s">
        <v>52</v>
      </c>
      <c r="S62" s="168">
        <v>42381</v>
      </c>
      <c r="T62" s="171" t="s">
        <v>429</v>
      </c>
      <c r="U62" s="308">
        <f t="shared" si="17"/>
        <v>33</v>
      </c>
      <c r="V62" s="300" t="str">
        <f t="shared" si="7"/>
        <v>Inoportuno</v>
      </c>
      <c r="W62" s="308">
        <f t="shared" si="18"/>
        <v>373</v>
      </c>
      <c r="X62" s="506" t="s">
        <v>334</v>
      </c>
    </row>
    <row r="63" spans="1:24" ht="201" customHeight="1" x14ac:dyDescent="0.2">
      <c r="A63" s="291">
        <f t="shared" si="4"/>
        <v>10</v>
      </c>
      <c r="B63" s="295" t="s">
        <v>333</v>
      </c>
      <c r="C63" s="335" t="s">
        <v>177</v>
      </c>
      <c r="D63" s="458"/>
      <c r="E63" s="455"/>
      <c r="F63" s="287" t="s">
        <v>104</v>
      </c>
      <c r="G63" s="163">
        <v>41901</v>
      </c>
      <c r="H63" s="483"/>
      <c r="I63" s="479"/>
      <c r="J63" s="479"/>
      <c r="K63" s="505"/>
      <c r="L63" s="31">
        <v>41933</v>
      </c>
      <c r="M63" s="286" t="s">
        <v>101</v>
      </c>
      <c r="N63" s="171" t="s">
        <v>226</v>
      </c>
      <c r="O63" s="204" t="s">
        <v>298</v>
      </c>
      <c r="P63" s="168">
        <v>42004</v>
      </c>
      <c r="Q63" s="287" t="s">
        <v>666</v>
      </c>
      <c r="R63" s="169" t="s">
        <v>52</v>
      </c>
      <c r="S63" s="168">
        <v>42537</v>
      </c>
      <c r="T63" s="287" t="s">
        <v>667</v>
      </c>
      <c r="U63" s="308">
        <f t="shared" si="17"/>
        <v>33</v>
      </c>
      <c r="V63" s="300" t="str">
        <f t="shared" ref="V63:V85" si="19">IF(U63&gt;7,"Inoportuno",(IF(U63&lt;0,"No ha formulado PM","Oportuno")))</f>
        <v>Inoportuno</v>
      </c>
      <c r="W63" s="308">
        <f t="shared" si="18"/>
        <v>527</v>
      </c>
      <c r="X63" s="506" t="s">
        <v>334</v>
      </c>
    </row>
    <row r="64" spans="1:24" ht="193.5" customHeight="1" x14ac:dyDescent="0.2">
      <c r="A64" s="291">
        <f t="shared" si="4"/>
        <v>11</v>
      </c>
      <c r="B64" s="295" t="s">
        <v>333</v>
      </c>
      <c r="C64" s="335" t="s">
        <v>177</v>
      </c>
      <c r="D64" s="459"/>
      <c r="E64" s="456"/>
      <c r="F64" s="287" t="s">
        <v>104</v>
      </c>
      <c r="G64" s="163">
        <v>41901</v>
      </c>
      <c r="H64" s="484"/>
      <c r="I64" s="479"/>
      <c r="J64" s="479"/>
      <c r="K64" s="481"/>
      <c r="L64" s="31">
        <v>41933</v>
      </c>
      <c r="M64" s="286" t="s">
        <v>47</v>
      </c>
      <c r="N64" s="171" t="s">
        <v>226</v>
      </c>
      <c r="O64" s="204" t="s">
        <v>699</v>
      </c>
      <c r="P64" s="168">
        <v>42612</v>
      </c>
      <c r="Q64" s="391" t="s">
        <v>700</v>
      </c>
      <c r="R64" s="169" t="s">
        <v>48</v>
      </c>
      <c r="S64" s="168"/>
      <c r="T64" s="171" t="s">
        <v>449</v>
      </c>
      <c r="U64" s="308">
        <f t="shared" si="17"/>
        <v>33</v>
      </c>
      <c r="V64" s="300" t="str">
        <f t="shared" si="19"/>
        <v>Inoportuno</v>
      </c>
      <c r="W64" s="308">
        <f t="shared" si="18"/>
        <v>-41999</v>
      </c>
      <c r="X64" s="506" t="s">
        <v>334</v>
      </c>
    </row>
    <row r="65" spans="1:24" ht="267.75" x14ac:dyDescent="0.2">
      <c r="A65" s="291">
        <f t="shared" si="4"/>
        <v>12</v>
      </c>
      <c r="B65" s="286" t="s">
        <v>9</v>
      </c>
      <c r="C65" s="286" t="s">
        <v>180</v>
      </c>
      <c r="D65" s="283" t="s">
        <v>40</v>
      </c>
      <c r="E65" s="285" t="s">
        <v>0</v>
      </c>
      <c r="F65" s="287" t="s">
        <v>56</v>
      </c>
      <c r="G65" s="31">
        <v>41778</v>
      </c>
      <c r="H65" s="357" t="s">
        <v>246</v>
      </c>
      <c r="I65" s="288" t="s">
        <v>75</v>
      </c>
      <c r="J65" s="288" t="s">
        <v>131</v>
      </c>
      <c r="K65" s="290" t="s">
        <v>76</v>
      </c>
      <c r="L65" s="31">
        <v>41816</v>
      </c>
      <c r="M65" s="286" t="s">
        <v>47</v>
      </c>
      <c r="N65" s="286" t="s">
        <v>247</v>
      </c>
      <c r="O65" s="204" t="s">
        <v>248</v>
      </c>
      <c r="P65" s="31">
        <v>41881</v>
      </c>
      <c r="Q65" s="286" t="s">
        <v>674</v>
      </c>
      <c r="R65" s="291" t="s">
        <v>48</v>
      </c>
      <c r="S65" s="31"/>
      <c r="T65" s="291"/>
      <c r="U65" s="308">
        <f t="shared" si="17"/>
        <v>38</v>
      </c>
      <c r="V65" s="300" t="str">
        <f t="shared" si="19"/>
        <v>Inoportuno</v>
      </c>
      <c r="W65" s="308">
        <f t="shared" ref="W65" si="20">DAYS360(P65,S65,0)+1</f>
        <v>-41279</v>
      </c>
      <c r="X65" s="303" t="s">
        <v>334</v>
      </c>
    </row>
    <row r="66" spans="1:24" ht="409.5" customHeight="1" x14ac:dyDescent="0.2">
      <c r="A66" s="291">
        <f t="shared" si="4"/>
        <v>13</v>
      </c>
      <c r="B66" s="286" t="s">
        <v>46</v>
      </c>
      <c r="C66" s="286" t="s">
        <v>182</v>
      </c>
      <c r="D66" s="284" t="s">
        <v>43</v>
      </c>
      <c r="E66" s="295" t="s">
        <v>195</v>
      </c>
      <c r="F66" s="287" t="s">
        <v>56</v>
      </c>
      <c r="G66" s="31">
        <v>41848</v>
      </c>
      <c r="H66" s="357" t="s">
        <v>249</v>
      </c>
      <c r="I66" s="298" t="s">
        <v>75</v>
      </c>
      <c r="J66" s="298" t="s">
        <v>131</v>
      </c>
      <c r="K66" s="142" t="s">
        <v>76</v>
      </c>
      <c r="L66" s="31">
        <v>41964</v>
      </c>
      <c r="M66" s="286" t="s">
        <v>101</v>
      </c>
      <c r="N66" s="286" t="s">
        <v>360</v>
      </c>
      <c r="O66" s="204" t="s">
        <v>227</v>
      </c>
      <c r="P66" s="31">
        <v>41942</v>
      </c>
      <c r="Q66" s="286" t="s">
        <v>450</v>
      </c>
      <c r="R66" s="291" t="s">
        <v>48</v>
      </c>
      <c r="S66" s="31"/>
      <c r="T66" s="291"/>
      <c r="U66" s="308">
        <f t="shared" ref="U66:U80" si="21">DAYS360(G66,L66,0)+1</f>
        <v>114</v>
      </c>
      <c r="V66" s="300" t="str">
        <f t="shared" si="19"/>
        <v>Inoportuno</v>
      </c>
      <c r="W66" s="308">
        <f t="shared" ref="W66:W80" si="22">DAYS360(P66,S66,0)+1</f>
        <v>-41339</v>
      </c>
      <c r="X66" s="303" t="s">
        <v>334</v>
      </c>
    </row>
    <row r="67" spans="1:24" ht="94.5" customHeight="1" x14ac:dyDescent="0.2">
      <c r="A67" s="291">
        <f t="shared" si="4"/>
        <v>14</v>
      </c>
      <c r="B67" s="286" t="s">
        <v>46</v>
      </c>
      <c r="C67" s="286" t="s">
        <v>182</v>
      </c>
      <c r="D67" s="284" t="s">
        <v>43</v>
      </c>
      <c r="E67" s="295" t="s">
        <v>195</v>
      </c>
      <c r="F67" s="287" t="s">
        <v>56</v>
      </c>
      <c r="G67" s="31">
        <v>41848</v>
      </c>
      <c r="H67" s="357" t="s">
        <v>183</v>
      </c>
      <c r="I67" s="298" t="s">
        <v>75</v>
      </c>
      <c r="J67" s="165" t="s">
        <v>131</v>
      </c>
      <c r="K67" s="142" t="s">
        <v>76</v>
      </c>
      <c r="L67" s="31">
        <v>41964</v>
      </c>
      <c r="M67" s="286" t="s">
        <v>101</v>
      </c>
      <c r="N67" s="286" t="s">
        <v>361</v>
      </c>
      <c r="O67" s="204" t="s">
        <v>228</v>
      </c>
      <c r="P67" s="31">
        <v>41912</v>
      </c>
      <c r="Q67" s="286" t="s">
        <v>639</v>
      </c>
      <c r="R67" s="291" t="s">
        <v>48</v>
      </c>
      <c r="S67" s="31"/>
      <c r="T67" s="291"/>
      <c r="U67" s="308">
        <f t="shared" si="21"/>
        <v>114</v>
      </c>
      <c r="V67" s="300" t="str">
        <f t="shared" si="19"/>
        <v>Inoportuno</v>
      </c>
      <c r="W67" s="308">
        <f t="shared" si="22"/>
        <v>-41309</v>
      </c>
      <c r="X67" s="303" t="s">
        <v>334</v>
      </c>
    </row>
    <row r="68" spans="1:24" ht="236.25" customHeight="1" x14ac:dyDescent="0.2">
      <c r="A68" s="291">
        <f t="shared" si="4"/>
        <v>15</v>
      </c>
      <c r="B68" s="286" t="s">
        <v>46</v>
      </c>
      <c r="C68" s="286" t="s">
        <v>182</v>
      </c>
      <c r="D68" s="457" t="s">
        <v>43</v>
      </c>
      <c r="E68" s="454" t="s">
        <v>195</v>
      </c>
      <c r="F68" s="287" t="s">
        <v>56</v>
      </c>
      <c r="G68" s="31">
        <v>41848</v>
      </c>
      <c r="H68" s="357" t="s">
        <v>184</v>
      </c>
      <c r="I68" s="479" t="s">
        <v>75</v>
      </c>
      <c r="J68" s="479" t="s">
        <v>132</v>
      </c>
      <c r="K68" s="480" t="s">
        <v>76</v>
      </c>
      <c r="L68" s="31">
        <v>41964</v>
      </c>
      <c r="M68" s="286" t="s">
        <v>101</v>
      </c>
      <c r="N68" s="164" t="s">
        <v>229</v>
      </c>
      <c r="O68" s="204" t="s">
        <v>230</v>
      </c>
      <c r="P68" s="31">
        <v>42063</v>
      </c>
      <c r="Q68" s="286" t="s">
        <v>640</v>
      </c>
      <c r="R68" s="291" t="s">
        <v>52</v>
      </c>
      <c r="S68" s="31">
        <v>42509</v>
      </c>
      <c r="T68" s="286" t="s">
        <v>641</v>
      </c>
      <c r="U68" s="308">
        <f t="shared" si="21"/>
        <v>114</v>
      </c>
      <c r="V68" s="300" t="str">
        <f t="shared" si="19"/>
        <v>Inoportuno</v>
      </c>
      <c r="W68" s="308">
        <f t="shared" si="22"/>
        <v>440</v>
      </c>
      <c r="X68" s="506" t="s">
        <v>334</v>
      </c>
    </row>
    <row r="69" spans="1:24" ht="215.25" customHeight="1" x14ac:dyDescent="0.2">
      <c r="A69" s="291">
        <f t="shared" ref="A69:A120" si="23">+A68+1</f>
        <v>16</v>
      </c>
      <c r="B69" s="286" t="s">
        <v>46</v>
      </c>
      <c r="C69" s="286" t="s">
        <v>182</v>
      </c>
      <c r="D69" s="459"/>
      <c r="E69" s="456"/>
      <c r="F69" s="287" t="s">
        <v>56</v>
      </c>
      <c r="G69" s="31">
        <v>41848</v>
      </c>
      <c r="H69" s="357" t="s">
        <v>184</v>
      </c>
      <c r="I69" s="479"/>
      <c r="J69" s="479"/>
      <c r="K69" s="481"/>
      <c r="L69" s="31">
        <v>41964</v>
      </c>
      <c r="M69" s="286" t="s">
        <v>47</v>
      </c>
      <c r="N69" s="164" t="s">
        <v>229</v>
      </c>
      <c r="O69" s="204" t="s">
        <v>250</v>
      </c>
      <c r="P69" s="31">
        <v>42063</v>
      </c>
      <c r="Q69" s="361" t="s">
        <v>642</v>
      </c>
      <c r="R69" s="280" t="s">
        <v>52</v>
      </c>
      <c r="S69" s="281">
        <v>42531</v>
      </c>
      <c r="T69" s="291"/>
      <c r="U69" s="308">
        <f t="shared" si="21"/>
        <v>114</v>
      </c>
      <c r="V69" s="300" t="str">
        <f t="shared" si="19"/>
        <v>Inoportuno</v>
      </c>
      <c r="W69" s="308">
        <f t="shared" si="22"/>
        <v>461</v>
      </c>
      <c r="X69" s="506" t="s">
        <v>334</v>
      </c>
    </row>
    <row r="70" spans="1:24" ht="357" customHeight="1" x14ac:dyDescent="0.2">
      <c r="A70" s="291">
        <f t="shared" si="23"/>
        <v>17</v>
      </c>
      <c r="B70" s="286" t="s">
        <v>46</v>
      </c>
      <c r="C70" s="286" t="s">
        <v>182</v>
      </c>
      <c r="D70" s="457" t="s">
        <v>43</v>
      </c>
      <c r="E70" s="454" t="s">
        <v>195</v>
      </c>
      <c r="F70" s="287" t="s">
        <v>56</v>
      </c>
      <c r="G70" s="31">
        <v>41848</v>
      </c>
      <c r="H70" s="357" t="s">
        <v>185</v>
      </c>
      <c r="I70" s="479" t="s">
        <v>75</v>
      </c>
      <c r="J70" s="479" t="s">
        <v>131</v>
      </c>
      <c r="K70" s="480" t="s">
        <v>76</v>
      </c>
      <c r="L70" s="31">
        <v>41964</v>
      </c>
      <c r="M70" s="286" t="s">
        <v>101</v>
      </c>
      <c r="N70" s="286" t="s">
        <v>229</v>
      </c>
      <c r="O70" s="204" t="s">
        <v>230</v>
      </c>
      <c r="P70" s="31">
        <v>42063</v>
      </c>
      <c r="Q70" s="362" t="s">
        <v>643</v>
      </c>
      <c r="R70" s="291" t="s">
        <v>48</v>
      </c>
      <c r="S70" s="31"/>
      <c r="T70" s="291"/>
      <c r="U70" s="308">
        <f t="shared" si="21"/>
        <v>114</v>
      </c>
      <c r="V70" s="300" t="str">
        <f t="shared" si="19"/>
        <v>Inoportuno</v>
      </c>
      <c r="W70" s="308">
        <f t="shared" si="22"/>
        <v>-41459</v>
      </c>
      <c r="X70" s="506" t="s">
        <v>334</v>
      </c>
    </row>
    <row r="71" spans="1:24" ht="357" customHeight="1" x14ac:dyDescent="0.2">
      <c r="A71" s="291">
        <f t="shared" si="23"/>
        <v>18</v>
      </c>
      <c r="B71" s="286" t="s">
        <v>46</v>
      </c>
      <c r="C71" s="286" t="s">
        <v>182</v>
      </c>
      <c r="D71" s="459"/>
      <c r="E71" s="456"/>
      <c r="F71" s="287" t="s">
        <v>56</v>
      </c>
      <c r="G71" s="31">
        <v>41848</v>
      </c>
      <c r="H71" s="357" t="s">
        <v>185</v>
      </c>
      <c r="I71" s="479"/>
      <c r="J71" s="479"/>
      <c r="K71" s="481"/>
      <c r="L71" s="31">
        <v>41964</v>
      </c>
      <c r="M71" s="286" t="s">
        <v>47</v>
      </c>
      <c r="N71" s="286" t="s">
        <v>229</v>
      </c>
      <c r="O71" s="204" t="s">
        <v>250</v>
      </c>
      <c r="P71" s="31">
        <v>42063</v>
      </c>
      <c r="Q71" s="361" t="s">
        <v>644</v>
      </c>
      <c r="R71" s="291" t="s">
        <v>48</v>
      </c>
      <c r="S71" s="31"/>
      <c r="T71" s="291"/>
      <c r="U71" s="308">
        <f t="shared" si="21"/>
        <v>114</v>
      </c>
      <c r="V71" s="300" t="str">
        <f t="shared" si="19"/>
        <v>Inoportuno</v>
      </c>
      <c r="W71" s="308">
        <f t="shared" si="22"/>
        <v>-41459</v>
      </c>
      <c r="X71" s="506" t="s">
        <v>334</v>
      </c>
    </row>
    <row r="72" spans="1:24" ht="56.25" x14ac:dyDescent="0.2">
      <c r="A72" s="291">
        <f t="shared" si="23"/>
        <v>19</v>
      </c>
      <c r="B72" s="286" t="s">
        <v>46</v>
      </c>
      <c r="C72" s="286" t="s">
        <v>182</v>
      </c>
      <c r="D72" s="284" t="s">
        <v>43</v>
      </c>
      <c r="E72" s="295" t="s">
        <v>195</v>
      </c>
      <c r="F72" s="287" t="s">
        <v>56</v>
      </c>
      <c r="G72" s="31">
        <v>41848</v>
      </c>
      <c r="H72" s="357" t="s">
        <v>186</v>
      </c>
      <c r="I72" s="298" t="s">
        <v>75</v>
      </c>
      <c r="J72" s="298" t="s">
        <v>131</v>
      </c>
      <c r="K72" s="142" t="s">
        <v>76</v>
      </c>
      <c r="L72" s="31">
        <v>41964</v>
      </c>
      <c r="M72" s="286" t="s">
        <v>47</v>
      </c>
      <c r="N72" s="164" t="s">
        <v>232</v>
      </c>
      <c r="O72" s="204" t="s">
        <v>231</v>
      </c>
      <c r="P72" s="31">
        <v>42124</v>
      </c>
      <c r="Q72" s="361" t="s">
        <v>644</v>
      </c>
      <c r="R72" s="291" t="s">
        <v>48</v>
      </c>
      <c r="S72" s="31"/>
      <c r="T72" s="291"/>
      <c r="U72" s="308">
        <f t="shared" si="21"/>
        <v>114</v>
      </c>
      <c r="V72" s="300" t="str">
        <f t="shared" si="19"/>
        <v>Inoportuno</v>
      </c>
      <c r="W72" s="308">
        <f t="shared" si="22"/>
        <v>-41519</v>
      </c>
      <c r="X72" s="303" t="s">
        <v>334</v>
      </c>
    </row>
    <row r="73" spans="1:24" ht="123" customHeight="1" x14ac:dyDescent="0.2">
      <c r="A73" s="291">
        <f t="shared" si="23"/>
        <v>20</v>
      </c>
      <c r="B73" s="286" t="s">
        <v>46</v>
      </c>
      <c r="C73" s="286" t="s">
        <v>182</v>
      </c>
      <c r="D73" s="284" t="s">
        <v>43</v>
      </c>
      <c r="E73" s="295" t="s">
        <v>195</v>
      </c>
      <c r="F73" s="287" t="s">
        <v>56</v>
      </c>
      <c r="G73" s="31">
        <v>41848</v>
      </c>
      <c r="H73" s="357" t="s">
        <v>187</v>
      </c>
      <c r="I73" s="298" t="s">
        <v>75</v>
      </c>
      <c r="J73" s="298" t="s">
        <v>131</v>
      </c>
      <c r="K73" s="142" t="s">
        <v>76</v>
      </c>
      <c r="L73" s="31">
        <v>41964</v>
      </c>
      <c r="M73" s="286" t="s">
        <v>47</v>
      </c>
      <c r="N73" s="164" t="s">
        <v>234</v>
      </c>
      <c r="O73" s="204" t="s">
        <v>233</v>
      </c>
      <c r="P73" s="31">
        <v>42004</v>
      </c>
      <c r="Q73" s="286"/>
      <c r="R73" s="291" t="s">
        <v>48</v>
      </c>
      <c r="S73" s="31"/>
      <c r="T73" s="291"/>
      <c r="U73" s="308">
        <f t="shared" si="21"/>
        <v>114</v>
      </c>
      <c r="V73" s="300" t="str">
        <f t="shared" si="19"/>
        <v>Inoportuno</v>
      </c>
      <c r="W73" s="308">
        <f t="shared" si="22"/>
        <v>-41399</v>
      </c>
      <c r="X73" s="303" t="s">
        <v>334</v>
      </c>
    </row>
    <row r="74" spans="1:24" ht="55.5" customHeight="1" x14ac:dyDescent="0.2">
      <c r="A74" s="291">
        <f t="shared" si="23"/>
        <v>21</v>
      </c>
      <c r="B74" s="286" t="s">
        <v>46</v>
      </c>
      <c r="C74" s="286" t="s">
        <v>182</v>
      </c>
      <c r="D74" s="457" t="s">
        <v>43</v>
      </c>
      <c r="E74" s="454" t="s">
        <v>195</v>
      </c>
      <c r="F74" s="287" t="s">
        <v>56</v>
      </c>
      <c r="G74" s="31">
        <v>41848</v>
      </c>
      <c r="H74" s="357" t="s">
        <v>188</v>
      </c>
      <c r="I74" s="479" t="s">
        <v>75</v>
      </c>
      <c r="J74" s="479" t="s">
        <v>131</v>
      </c>
      <c r="K74" s="480" t="s">
        <v>76</v>
      </c>
      <c r="L74" s="31">
        <v>41964</v>
      </c>
      <c r="M74" s="286" t="s">
        <v>101</v>
      </c>
      <c r="N74" s="286" t="s">
        <v>229</v>
      </c>
      <c r="O74" s="204" t="s">
        <v>235</v>
      </c>
      <c r="P74" s="161">
        <v>41942</v>
      </c>
      <c r="Q74" s="286"/>
      <c r="R74" s="291" t="s">
        <v>48</v>
      </c>
      <c r="S74" s="31"/>
      <c r="T74" s="291"/>
      <c r="U74" s="308">
        <f t="shared" si="21"/>
        <v>114</v>
      </c>
      <c r="V74" s="300" t="str">
        <f t="shared" si="19"/>
        <v>Inoportuno</v>
      </c>
      <c r="W74" s="308">
        <f t="shared" si="22"/>
        <v>-41339</v>
      </c>
      <c r="X74" s="506" t="s">
        <v>334</v>
      </c>
    </row>
    <row r="75" spans="1:24" ht="55.5" customHeight="1" x14ac:dyDescent="0.2">
      <c r="A75" s="291">
        <f t="shared" si="23"/>
        <v>22</v>
      </c>
      <c r="B75" s="286" t="s">
        <v>46</v>
      </c>
      <c r="C75" s="286" t="s">
        <v>182</v>
      </c>
      <c r="D75" s="459"/>
      <c r="E75" s="456"/>
      <c r="F75" s="287" t="s">
        <v>56</v>
      </c>
      <c r="G75" s="31">
        <v>41848</v>
      </c>
      <c r="H75" s="357" t="s">
        <v>188</v>
      </c>
      <c r="I75" s="479"/>
      <c r="J75" s="479"/>
      <c r="K75" s="481"/>
      <c r="L75" s="31">
        <v>41964</v>
      </c>
      <c r="M75" s="286" t="s">
        <v>47</v>
      </c>
      <c r="N75" s="286" t="s">
        <v>229</v>
      </c>
      <c r="O75" s="204" t="s">
        <v>251</v>
      </c>
      <c r="P75" s="161">
        <v>42124</v>
      </c>
      <c r="Q75" s="286"/>
      <c r="R75" s="291" t="s">
        <v>48</v>
      </c>
      <c r="S75" s="31"/>
      <c r="T75" s="291"/>
      <c r="U75" s="308">
        <f t="shared" ref="U75" si="24">DAYS360(G75,L75,0)+1</f>
        <v>114</v>
      </c>
      <c r="V75" s="300" t="str">
        <f t="shared" si="19"/>
        <v>Inoportuno</v>
      </c>
      <c r="W75" s="308">
        <f t="shared" ref="W75" si="25">DAYS360(P75,S75,0)+1</f>
        <v>-41519</v>
      </c>
      <c r="X75" s="506" t="s">
        <v>334</v>
      </c>
    </row>
    <row r="76" spans="1:24" ht="198" customHeight="1" x14ac:dyDescent="0.2">
      <c r="A76" s="291">
        <v>73</v>
      </c>
      <c r="B76" s="286" t="s">
        <v>58</v>
      </c>
      <c r="C76" s="286" t="s">
        <v>197</v>
      </c>
      <c r="D76" s="457" t="s">
        <v>40</v>
      </c>
      <c r="E76" s="454" t="s">
        <v>0</v>
      </c>
      <c r="F76" s="287" t="s">
        <v>55</v>
      </c>
      <c r="G76" s="31">
        <v>41880</v>
      </c>
      <c r="H76" s="357" t="s">
        <v>198</v>
      </c>
      <c r="I76" s="467" t="s">
        <v>75</v>
      </c>
      <c r="J76" s="467" t="s">
        <v>131</v>
      </c>
      <c r="K76" s="438" t="s">
        <v>76</v>
      </c>
      <c r="L76" s="31">
        <v>41921</v>
      </c>
      <c r="M76" s="286" t="s">
        <v>47</v>
      </c>
      <c r="N76" s="286" t="s">
        <v>220</v>
      </c>
      <c r="O76" s="204" t="s">
        <v>252</v>
      </c>
      <c r="P76" s="31">
        <v>41973</v>
      </c>
      <c r="Q76" s="286" t="s">
        <v>451</v>
      </c>
      <c r="R76" s="291" t="s">
        <v>48</v>
      </c>
      <c r="S76" s="31"/>
      <c r="T76" s="291"/>
      <c r="U76" s="308">
        <f t="shared" si="21"/>
        <v>41</v>
      </c>
      <c r="V76" s="300" t="str">
        <f t="shared" ref="V76" si="26">IF(U76&gt;7,"Inoportuno",(IF(U76&lt;0,"No ha formulado PM","Oportuno")))</f>
        <v>Inoportuno</v>
      </c>
      <c r="W76" s="308">
        <f t="shared" si="22"/>
        <v>-41369</v>
      </c>
      <c r="X76" s="506" t="s">
        <v>334</v>
      </c>
    </row>
    <row r="77" spans="1:24" ht="186" customHeight="1" x14ac:dyDescent="0.2">
      <c r="A77" s="291">
        <f t="shared" si="23"/>
        <v>74</v>
      </c>
      <c r="B77" s="286" t="s">
        <v>58</v>
      </c>
      <c r="C77" s="286" t="s">
        <v>197</v>
      </c>
      <c r="D77" s="459"/>
      <c r="E77" s="456"/>
      <c r="F77" s="287" t="s">
        <v>55</v>
      </c>
      <c r="G77" s="31">
        <v>41880</v>
      </c>
      <c r="H77" s="357" t="s">
        <v>198</v>
      </c>
      <c r="I77" s="469"/>
      <c r="J77" s="469"/>
      <c r="K77" s="439"/>
      <c r="L77" s="31">
        <v>41921</v>
      </c>
      <c r="M77" s="286" t="s">
        <v>47</v>
      </c>
      <c r="N77" s="286" t="s">
        <v>218</v>
      </c>
      <c r="O77" s="204" t="s">
        <v>219</v>
      </c>
      <c r="P77" s="31">
        <v>42369</v>
      </c>
      <c r="Q77" s="286" t="s">
        <v>452</v>
      </c>
      <c r="R77" s="291" t="s">
        <v>48</v>
      </c>
      <c r="S77" s="31"/>
      <c r="T77" s="291"/>
      <c r="U77" s="308">
        <f t="shared" ref="U77" si="27">DAYS360(G77,L77,0)+1</f>
        <v>41</v>
      </c>
      <c r="V77" s="300" t="str">
        <f t="shared" ref="V77" si="28">IF(U77&gt;7,"Inoportuno",(IF(U77&lt;0,"No ha formulado PM","Oportuno")))</f>
        <v>Inoportuno</v>
      </c>
      <c r="W77" s="308">
        <f t="shared" ref="W77" si="29">DAYS360(P77,S77,0)+1</f>
        <v>-41759</v>
      </c>
      <c r="X77" s="506" t="s">
        <v>334</v>
      </c>
    </row>
    <row r="78" spans="1:24" ht="141.75" customHeight="1" x14ac:dyDescent="0.2">
      <c r="A78" s="291">
        <f t="shared" si="23"/>
        <v>75</v>
      </c>
      <c r="B78" s="295" t="s">
        <v>331</v>
      </c>
      <c r="C78" s="286" t="s">
        <v>199</v>
      </c>
      <c r="D78" s="284" t="s">
        <v>40</v>
      </c>
      <c r="E78" s="295" t="s">
        <v>0</v>
      </c>
      <c r="F78" s="287" t="s">
        <v>104</v>
      </c>
      <c r="G78" s="31">
        <v>41908</v>
      </c>
      <c r="H78" s="357" t="s">
        <v>200</v>
      </c>
      <c r="I78" s="298" t="s">
        <v>75</v>
      </c>
      <c r="J78" s="298" t="s">
        <v>132</v>
      </c>
      <c r="K78" s="142" t="s">
        <v>76</v>
      </c>
      <c r="L78" s="31">
        <v>41942</v>
      </c>
      <c r="M78" s="286" t="s">
        <v>47</v>
      </c>
      <c r="N78" s="171" t="s">
        <v>221</v>
      </c>
      <c r="O78" s="204" t="s">
        <v>253</v>
      </c>
      <c r="P78" s="168">
        <v>41988</v>
      </c>
      <c r="Q78" s="286" t="s">
        <v>538</v>
      </c>
      <c r="R78" s="169" t="s">
        <v>52</v>
      </c>
      <c r="S78" s="168">
        <v>42480</v>
      </c>
      <c r="T78" s="171" t="s">
        <v>539</v>
      </c>
      <c r="U78" s="308">
        <f t="shared" si="21"/>
        <v>35</v>
      </c>
      <c r="V78" s="300" t="str">
        <f t="shared" si="19"/>
        <v>Inoportuno</v>
      </c>
      <c r="W78" s="308">
        <f t="shared" si="22"/>
        <v>486</v>
      </c>
      <c r="X78" s="303" t="s">
        <v>334</v>
      </c>
    </row>
    <row r="79" spans="1:24" ht="144" customHeight="1" x14ac:dyDescent="0.2">
      <c r="A79" s="291">
        <f t="shared" si="23"/>
        <v>76</v>
      </c>
      <c r="B79" s="295" t="s">
        <v>331</v>
      </c>
      <c r="C79" s="286" t="s">
        <v>199</v>
      </c>
      <c r="D79" s="284" t="s">
        <v>40</v>
      </c>
      <c r="E79" s="295" t="s">
        <v>0</v>
      </c>
      <c r="F79" s="287" t="s">
        <v>104</v>
      </c>
      <c r="G79" s="31">
        <v>41908</v>
      </c>
      <c r="H79" s="357" t="s">
        <v>394</v>
      </c>
      <c r="I79" s="298" t="s">
        <v>75</v>
      </c>
      <c r="J79" s="298" t="s">
        <v>132</v>
      </c>
      <c r="K79" s="142" t="s">
        <v>76</v>
      </c>
      <c r="L79" s="31">
        <v>41942</v>
      </c>
      <c r="M79" s="286" t="s">
        <v>47</v>
      </c>
      <c r="N79" s="171" t="s">
        <v>221</v>
      </c>
      <c r="O79" s="204" t="s">
        <v>254</v>
      </c>
      <c r="P79" s="168">
        <v>41958</v>
      </c>
      <c r="Q79" s="286" t="s">
        <v>540</v>
      </c>
      <c r="R79" s="169" t="s">
        <v>52</v>
      </c>
      <c r="S79" s="168">
        <v>42480</v>
      </c>
      <c r="T79" s="171" t="s">
        <v>541</v>
      </c>
      <c r="U79" s="308">
        <f t="shared" ref="U79" si="30">DAYS360(G79,L79,0)+1</f>
        <v>35</v>
      </c>
      <c r="V79" s="300" t="str">
        <f t="shared" si="19"/>
        <v>Inoportuno</v>
      </c>
      <c r="W79" s="308">
        <f t="shared" ref="W79" si="31">DAYS360(P79,S79,0)+1</f>
        <v>516</v>
      </c>
      <c r="X79" s="303" t="s">
        <v>334</v>
      </c>
    </row>
    <row r="80" spans="1:24" ht="248.25" customHeight="1" x14ac:dyDescent="0.2">
      <c r="A80" s="291">
        <f t="shared" si="23"/>
        <v>77</v>
      </c>
      <c r="B80" s="295" t="s">
        <v>331</v>
      </c>
      <c r="C80" s="286" t="s">
        <v>199</v>
      </c>
      <c r="D80" s="457" t="s">
        <v>40</v>
      </c>
      <c r="E80" s="454" t="s">
        <v>0</v>
      </c>
      <c r="F80" s="287" t="s">
        <v>104</v>
      </c>
      <c r="G80" s="31">
        <v>41908</v>
      </c>
      <c r="H80" s="357" t="s">
        <v>335</v>
      </c>
      <c r="I80" s="467" t="s">
        <v>75</v>
      </c>
      <c r="J80" s="467" t="s">
        <v>131</v>
      </c>
      <c r="K80" s="438" t="s">
        <v>76</v>
      </c>
      <c r="L80" s="31">
        <v>42142</v>
      </c>
      <c r="M80" s="286" t="s">
        <v>47</v>
      </c>
      <c r="N80" s="171" t="s">
        <v>134</v>
      </c>
      <c r="O80" s="204" t="s">
        <v>557</v>
      </c>
      <c r="P80" s="170">
        <v>42531</v>
      </c>
      <c r="Q80" s="286" t="s">
        <v>556</v>
      </c>
      <c r="R80" s="169" t="s">
        <v>48</v>
      </c>
      <c r="S80" s="168"/>
      <c r="T80" s="169"/>
      <c r="U80" s="308">
        <f t="shared" si="21"/>
        <v>233</v>
      </c>
      <c r="V80" s="300" t="str">
        <f t="shared" si="19"/>
        <v>Inoportuno</v>
      </c>
      <c r="W80" s="308">
        <f t="shared" si="22"/>
        <v>-41919</v>
      </c>
      <c r="X80" s="303" t="s">
        <v>334</v>
      </c>
    </row>
    <row r="81" spans="1:24" ht="248.25" customHeight="1" x14ac:dyDescent="0.2">
      <c r="A81" s="291">
        <f>+A80+1</f>
        <v>78</v>
      </c>
      <c r="B81" s="295" t="s">
        <v>331</v>
      </c>
      <c r="C81" s="286"/>
      <c r="D81" s="459"/>
      <c r="E81" s="456"/>
      <c r="F81" s="287" t="s">
        <v>55</v>
      </c>
      <c r="G81" s="31">
        <v>42480</v>
      </c>
      <c r="H81" s="357" t="s">
        <v>335</v>
      </c>
      <c r="I81" s="469"/>
      <c r="J81" s="469"/>
      <c r="K81" s="439"/>
      <c r="L81" s="31">
        <v>42508</v>
      </c>
      <c r="M81" s="286" t="s">
        <v>47</v>
      </c>
      <c r="N81" s="171" t="s">
        <v>134</v>
      </c>
      <c r="O81" s="204" t="s">
        <v>558</v>
      </c>
      <c r="P81" s="170">
        <v>42531</v>
      </c>
      <c r="Q81" s="286"/>
      <c r="R81" s="169" t="s">
        <v>48</v>
      </c>
      <c r="S81" s="168"/>
      <c r="T81" s="169"/>
      <c r="U81" s="308">
        <f t="shared" ref="U81" si="32">DAYS360(G81,L81,0)+1</f>
        <v>29</v>
      </c>
      <c r="V81" s="300" t="str">
        <f t="shared" ref="V81" si="33">IF(U81&gt;7,"Inoportuno",(IF(U81&lt;0,"No ha formulado PM","Oportuno")))</f>
        <v>Inoportuno</v>
      </c>
      <c r="W81" s="308">
        <f t="shared" ref="W81" si="34">DAYS360(P81,S81,0)+1</f>
        <v>-41919</v>
      </c>
      <c r="X81" s="303" t="s">
        <v>334</v>
      </c>
    </row>
    <row r="82" spans="1:24" ht="234" customHeight="1" x14ac:dyDescent="0.2">
      <c r="A82" s="291">
        <f>+A81+1</f>
        <v>79</v>
      </c>
      <c r="B82" s="295" t="s">
        <v>331</v>
      </c>
      <c r="C82" s="286" t="s">
        <v>199</v>
      </c>
      <c r="D82" s="284" t="s">
        <v>40</v>
      </c>
      <c r="E82" s="295" t="s">
        <v>0</v>
      </c>
      <c r="F82" s="287" t="s">
        <v>104</v>
      </c>
      <c r="G82" s="31">
        <v>41908</v>
      </c>
      <c r="H82" s="357" t="s">
        <v>255</v>
      </c>
      <c r="I82" s="298" t="s">
        <v>75</v>
      </c>
      <c r="J82" s="298" t="s">
        <v>132</v>
      </c>
      <c r="K82" s="142" t="s">
        <v>76</v>
      </c>
      <c r="L82" s="31">
        <v>41942</v>
      </c>
      <c r="M82" s="286" t="s">
        <v>47</v>
      </c>
      <c r="N82" s="171" t="s">
        <v>223</v>
      </c>
      <c r="O82" s="204" t="s">
        <v>222</v>
      </c>
      <c r="P82" s="168">
        <v>42003</v>
      </c>
      <c r="Q82" s="286" t="s">
        <v>542</v>
      </c>
      <c r="R82" s="169" t="s">
        <v>52</v>
      </c>
      <c r="S82" s="168">
        <v>42472</v>
      </c>
      <c r="T82" s="286" t="s">
        <v>543</v>
      </c>
      <c r="U82" s="308">
        <f t="shared" ref="U82" si="35">DAYS360(G82,L82,0)+1</f>
        <v>35</v>
      </c>
      <c r="V82" s="300" t="str">
        <f t="shared" si="19"/>
        <v>Inoportuno</v>
      </c>
      <c r="W82" s="308">
        <f t="shared" ref="W82" si="36">DAYS360(P82,S82,0)+1</f>
        <v>463</v>
      </c>
      <c r="X82" s="303" t="s">
        <v>334</v>
      </c>
    </row>
    <row r="83" spans="1:24" ht="239.25" customHeight="1" x14ac:dyDescent="0.2">
      <c r="A83" s="291">
        <v>80</v>
      </c>
      <c r="B83" s="286" t="s">
        <v>60</v>
      </c>
      <c r="C83" s="286" t="s">
        <v>201</v>
      </c>
      <c r="D83" s="283" t="s">
        <v>40</v>
      </c>
      <c r="E83" s="285" t="s">
        <v>0</v>
      </c>
      <c r="F83" s="287" t="s">
        <v>56</v>
      </c>
      <c r="G83" s="31">
        <v>41878</v>
      </c>
      <c r="H83" s="357" t="s">
        <v>202</v>
      </c>
      <c r="I83" s="288" t="s">
        <v>75</v>
      </c>
      <c r="J83" s="288" t="s">
        <v>131</v>
      </c>
      <c r="K83" s="290" t="s">
        <v>76</v>
      </c>
      <c r="L83" s="31">
        <v>42130</v>
      </c>
      <c r="M83" s="286" t="s">
        <v>101</v>
      </c>
      <c r="N83" s="286" t="s">
        <v>148</v>
      </c>
      <c r="O83" s="204" t="s">
        <v>310</v>
      </c>
      <c r="P83" s="31">
        <v>42369</v>
      </c>
      <c r="Q83" s="286" t="s">
        <v>453</v>
      </c>
      <c r="R83" s="291" t="s">
        <v>48</v>
      </c>
      <c r="S83" s="31"/>
      <c r="T83" s="291"/>
      <c r="U83" s="308">
        <f t="shared" ref="U83" si="37">DAYS360(G83,L83,0)+1</f>
        <v>250</v>
      </c>
      <c r="V83" s="300" t="str">
        <f t="shared" ref="V83" si="38">IF(U83&gt;7,"Inoportuno",(IF(U83&lt;0,"No ha formulado PM","Oportuno")))</f>
        <v>Inoportuno</v>
      </c>
      <c r="W83" s="308">
        <f t="shared" ref="W83" si="39">DAYS360(P83,S83,0)+1</f>
        <v>-41759</v>
      </c>
      <c r="X83" s="302" t="s">
        <v>334</v>
      </c>
    </row>
    <row r="84" spans="1:24" ht="244.5" customHeight="1" x14ac:dyDescent="0.2">
      <c r="A84" s="291">
        <v>81</v>
      </c>
      <c r="B84" s="286" t="s">
        <v>46</v>
      </c>
      <c r="C84" s="286" t="s">
        <v>261</v>
      </c>
      <c r="D84" s="283" t="s">
        <v>40</v>
      </c>
      <c r="E84" s="285" t="s">
        <v>195</v>
      </c>
      <c r="F84" s="287" t="s">
        <v>56</v>
      </c>
      <c r="G84" s="31">
        <v>41969</v>
      </c>
      <c r="H84" s="353" t="s">
        <v>260</v>
      </c>
      <c r="I84" s="288" t="s">
        <v>75</v>
      </c>
      <c r="J84" s="288" t="s">
        <v>131</v>
      </c>
      <c r="K84" s="290" t="s">
        <v>76</v>
      </c>
      <c r="L84" s="31">
        <v>42228</v>
      </c>
      <c r="M84" s="286" t="s">
        <v>51</v>
      </c>
      <c r="N84" s="286" t="s">
        <v>336</v>
      </c>
      <c r="O84" s="204" t="s">
        <v>379</v>
      </c>
      <c r="P84" s="31">
        <v>42369</v>
      </c>
      <c r="Q84" s="286" t="s">
        <v>645</v>
      </c>
      <c r="R84" s="291" t="s">
        <v>48</v>
      </c>
      <c r="S84" s="31"/>
      <c r="T84" s="291"/>
      <c r="U84" s="308">
        <f t="shared" ref="U84" si="40">DAYS360(G84,L84,0)+1</f>
        <v>257</v>
      </c>
      <c r="V84" s="300" t="str">
        <f t="shared" ref="V84" si="41">IF(U84&gt;7,"Inoportuno",(IF(U84&lt;0,"No ha formulado PM","Oportuno")))</f>
        <v>Inoportuno</v>
      </c>
      <c r="W84" s="308">
        <f t="shared" ref="W84" si="42">DAYS360(P84,S84,0)+1</f>
        <v>-41759</v>
      </c>
      <c r="X84" s="303" t="s">
        <v>334</v>
      </c>
    </row>
    <row r="85" spans="1:24" ht="384" customHeight="1" x14ac:dyDescent="0.2">
      <c r="A85" s="291">
        <f t="shared" si="23"/>
        <v>82</v>
      </c>
      <c r="B85" s="286" t="s">
        <v>46</v>
      </c>
      <c r="C85" s="286" t="s">
        <v>261</v>
      </c>
      <c r="D85" s="457" t="s">
        <v>40</v>
      </c>
      <c r="E85" s="454" t="s">
        <v>195</v>
      </c>
      <c r="F85" s="287" t="s">
        <v>56</v>
      </c>
      <c r="G85" s="31">
        <v>41969</v>
      </c>
      <c r="H85" s="353" t="s">
        <v>454</v>
      </c>
      <c r="I85" s="467" t="s">
        <v>75</v>
      </c>
      <c r="J85" s="467" t="s">
        <v>132</v>
      </c>
      <c r="K85" s="438" t="s">
        <v>76</v>
      </c>
      <c r="L85" s="31">
        <v>42228</v>
      </c>
      <c r="M85" s="286" t="s">
        <v>101</v>
      </c>
      <c r="N85" s="286" t="s">
        <v>348</v>
      </c>
      <c r="O85" s="204" t="s">
        <v>380</v>
      </c>
      <c r="P85" s="31">
        <v>42277</v>
      </c>
      <c r="Q85" s="289" t="s">
        <v>646</v>
      </c>
      <c r="R85" s="280" t="s">
        <v>52</v>
      </c>
      <c r="S85" s="281">
        <v>42531</v>
      </c>
      <c r="T85" s="291"/>
      <c r="U85" s="308">
        <f t="shared" ref="U85:U116" si="43">DAYS360(G85,L85,0)+1</f>
        <v>257</v>
      </c>
      <c r="V85" s="300" t="str">
        <f t="shared" si="19"/>
        <v>Inoportuno</v>
      </c>
      <c r="W85" s="308">
        <f t="shared" ref="W85:W116" si="44">DAYS360(P85,S85,0)+1</f>
        <v>251</v>
      </c>
      <c r="X85" s="303" t="s">
        <v>334</v>
      </c>
    </row>
    <row r="86" spans="1:24" ht="285.75" customHeight="1" x14ac:dyDescent="0.2">
      <c r="A86" s="291">
        <f t="shared" si="23"/>
        <v>83</v>
      </c>
      <c r="B86" s="286" t="s">
        <v>46</v>
      </c>
      <c r="C86" s="286" t="s">
        <v>261</v>
      </c>
      <c r="D86" s="459"/>
      <c r="E86" s="456"/>
      <c r="F86" s="287" t="s">
        <v>56</v>
      </c>
      <c r="G86" s="31">
        <v>41969</v>
      </c>
      <c r="H86" s="363" t="s">
        <v>455</v>
      </c>
      <c r="I86" s="469"/>
      <c r="J86" s="469"/>
      <c r="K86" s="439"/>
      <c r="L86" s="31">
        <v>42228</v>
      </c>
      <c r="M86" s="286" t="s">
        <v>51</v>
      </c>
      <c r="N86" s="286" t="s">
        <v>348</v>
      </c>
      <c r="O86" s="204" t="s">
        <v>349</v>
      </c>
      <c r="P86" s="31">
        <v>42277</v>
      </c>
      <c r="Q86" s="286" t="s">
        <v>647</v>
      </c>
      <c r="R86" s="280" t="s">
        <v>52</v>
      </c>
      <c r="S86" s="281">
        <v>42509</v>
      </c>
      <c r="T86" s="282" t="s">
        <v>648</v>
      </c>
      <c r="U86" s="308">
        <f t="shared" ref="U86:U90" si="45">DAYS360(G86,L86,0)+1</f>
        <v>257</v>
      </c>
      <c r="V86" s="300" t="str">
        <f t="shared" ref="V86:V90" si="46">IF(U86&gt;7,"Inoportuno",(IF(U86&lt;0,"No ha formulado PM","Oportuno")))</f>
        <v>Inoportuno</v>
      </c>
      <c r="W86" s="308">
        <f t="shared" ref="W86:W90" si="47">DAYS360(P86,S86,0)+1</f>
        <v>230</v>
      </c>
      <c r="X86" s="303" t="s">
        <v>334</v>
      </c>
    </row>
    <row r="87" spans="1:24" ht="356.25" customHeight="1" x14ac:dyDescent="0.2">
      <c r="A87" s="291">
        <f t="shared" si="23"/>
        <v>84</v>
      </c>
      <c r="B87" s="286" t="s">
        <v>46</v>
      </c>
      <c r="C87" s="286" t="s">
        <v>261</v>
      </c>
      <c r="D87" s="457" t="s">
        <v>40</v>
      </c>
      <c r="E87" s="454" t="s">
        <v>195</v>
      </c>
      <c r="F87" s="287" t="s">
        <v>56</v>
      </c>
      <c r="G87" s="364" t="s">
        <v>337</v>
      </c>
      <c r="H87" s="353" t="s">
        <v>383</v>
      </c>
      <c r="I87" s="467" t="s">
        <v>75</v>
      </c>
      <c r="J87" s="467" t="s">
        <v>132</v>
      </c>
      <c r="K87" s="438" t="s">
        <v>76</v>
      </c>
      <c r="L87" s="31">
        <v>42228</v>
      </c>
      <c r="M87" s="286" t="s">
        <v>101</v>
      </c>
      <c r="N87" s="286" t="s">
        <v>338</v>
      </c>
      <c r="O87" s="204" t="s">
        <v>339</v>
      </c>
      <c r="P87" s="179">
        <v>42369</v>
      </c>
      <c r="Q87" s="286" t="s">
        <v>649</v>
      </c>
      <c r="R87" s="291" t="s">
        <v>52</v>
      </c>
      <c r="S87" s="31">
        <v>42541</v>
      </c>
      <c r="T87" s="286" t="s">
        <v>650</v>
      </c>
      <c r="U87" s="308" t="e">
        <f t="shared" ref="U87:U89" si="48">DAYS360(G87,L87,0)+1</f>
        <v>#VALUE!</v>
      </c>
      <c r="V87" s="300" t="e">
        <f t="shared" ref="V87:V89" si="49">IF(U87&gt;7,"Inoportuno",(IF(U87&lt;0,"No ha formulado PM","Oportuno")))</f>
        <v>#VALUE!</v>
      </c>
      <c r="W87" s="308">
        <f t="shared" ref="W87:W89" si="50">DAYS360(P87,S87,0)+1</f>
        <v>171</v>
      </c>
      <c r="X87" s="303" t="s">
        <v>334</v>
      </c>
    </row>
    <row r="88" spans="1:24" ht="356.25" customHeight="1" x14ac:dyDescent="0.2">
      <c r="A88" s="291">
        <f t="shared" si="23"/>
        <v>85</v>
      </c>
      <c r="B88" s="286" t="s">
        <v>46</v>
      </c>
      <c r="C88" s="286" t="s">
        <v>261</v>
      </c>
      <c r="D88" s="458"/>
      <c r="E88" s="455"/>
      <c r="F88" s="287" t="s">
        <v>56</v>
      </c>
      <c r="G88" s="364" t="s">
        <v>337</v>
      </c>
      <c r="H88" s="353" t="s">
        <v>343</v>
      </c>
      <c r="I88" s="468"/>
      <c r="J88" s="468"/>
      <c r="K88" s="443"/>
      <c r="L88" s="31">
        <v>42228</v>
      </c>
      <c r="M88" s="286" t="s">
        <v>47</v>
      </c>
      <c r="N88" s="286" t="s">
        <v>338</v>
      </c>
      <c r="O88" s="204" t="s">
        <v>340</v>
      </c>
      <c r="P88" s="31">
        <v>42369</v>
      </c>
      <c r="Q88" s="286" t="s">
        <v>651</v>
      </c>
      <c r="R88" s="291" t="s">
        <v>52</v>
      </c>
      <c r="S88" s="31">
        <v>42541</v>
      </c>
      <c r="T88" s="291"/>
      <c r="U88" s="308" t="e">
        <f t="shared" si="48"/>
        <v>#VALUE!</v>
      </c>
      <c r="V88" s="300" t="e">
        <f t="shared" si="49"/>
        <v>#VALUE!</v>
      </c>
      <c r="W88" s="308">
        <f t="shared" si="50"/>
        <v>171</v>
      </c>
      <c r="X88" s="303" t="s">
        <v>334</v>
      </c>
    </row>
    <row r="89" spans="1:24" ht="356.25" customHeight="1" x14ac:dyDescent="0.2">
      <c r="A89" s="291">
        <f t="shared" si="23"/>
        <v>86</v>
      </c>
      <c r="B89" s="286" t="s">
        <v>46</v>
      </c>
      <c r="C89" s="286" t="s">
        <v>261</v>
      </c>
      <c r="D89" s="459"/>
      <c r="E89" s="456"/>
      <c r="F89" s="287" t="s">
        <v>56</v>
      </c>
      <c r="G89" s="364" t="s">
        <v>337</v>
      </c>
      <c r="H89" s="353" t="s">
        <v>343</v>
      </c>
      <c r="I89" s="469"/>
      <c r="J89" s="469"/>
      <c r="K89" s="439"/>
      <c r="L89" s="31">
        <v>42228</v>
      </c>
      <c r="M89" s="286" t="s">
        <v>47</v>
      </c>
      <c r="N89" s="286" t="s">
        <v>338</v>
      </c>
      <c r="O89" s="204" t="s">
        <v>341</v>
      </c>
      <c r="P89" s="31">
        <v>42369</v>
      </c>
      <c r="Q89" s="286" t="s">
        <v>652</v>
      </c>
      <c r="R89" s="291" t="s">
        <v>52</v>
      </c>
      <c r="S89" s="31">
        <v>42541</v>
      </c>
      <c r="T89" s="291"/>
      <c r="U89" s="308" t="e">
        <f t="shared" si="48"/>
        <v>#VALUE!</v>
      </c>
      <c r="V89" s="300" t="e">
        <f t="shared" si="49"/>
        <v>#VALUE!</v>
      </c>
      <c r="W89" s="308">
        <f t="shared" si="50"/>
        <v>171</v>
      </c>
      <c r="X89" s="303" t="s">
        <v>334</v>
      </c>
    </row>
    <row r="90" spans="1:24" ht="238.5" customHeight="1" x14ac:dyDescent="0.2">
      <c r="A90" s="291">
        <f t="shared" si="23"/>
        <v>87</v>
      </c>
      <c r="B90" s="286" t="s">
        <v>46</v>
      </c>
      <c r="C90" s="286" t="s">
        <v>261</v>
      </c>
      <c r="D90" s="283" t="s">
        <v>40</v>
      </c>
      <c r="E90" s="285" t="s">
        <v>195</v>
      </c>
      <c r="F90" s="287" t="s">
        <v>56</v>
      </c>
      <c r="G90" s="31">
        <v>41969</v>
      </c>
      <c r="H90" s="353" t="s">
        <v>262</v>
      </c>
      <c r="I90" s="288" t="s">
        <v>75</v>
      </c>
      <c r="J90" s="288" t="s">
        <v>131</v>
      </c>
      <c r="K90" s="290" t="s">
        <v>76</v>
      </c>
      <c r="L90" s="31">
        <v>42228</v>
      </c>
      <c r="M90" s="286" t="s">
        <v>47</v>
      </c>
      <c r="N90" s="286" t="s">
        <v>342</v>
      </c>
      <c r="O90" s="204" t="s">
        <v>344</v>
      </c>
      <c r="P90" s="179">
        <v>42004</v>
      </c>
      <c r="Q90" s="289" t="s">
        <v>653</v>
      </c>
      <c r="R90" s="291" t="s">
        <v>48</v>
      </c>
      <c r="S90" s="31"/>
      <c r="T90" s="291"/>
      <c r="U90" s="308">
        <f t="shared" si="45"/>
        <v>257</v>
      </c>
      <c r="V90" s="300" t="str">
        <f t="shared" si="46"/>
        <v>Inoportuno</v>
      </c>
      <c r="W90" s="308">
        <f t="shared" si="47"/>
        <v>-41399</v>
      </c>
      <c r="X90" s="303" t="s">
        <v>334</v>
      </c>
    </row>
    <row r="91" spans="1:24" ht="107.25" customHeight="1" x14ac:dyDescent="0.2">
      <c r="A91" s="291">
        <f t="shared" si="23"/>
        <v>88</v>
      </c>
      <c r="B91" s="286" t="s">
        <v>263</v>
      </c>
      <c r="C91" s="286" t="s">
        <v>263</v>
      </c>
      <c r="D91" s="283" t="s">
        <v>40</v>
      </c>
      <c r="E91" s="295" t="s">
        <v>0</v>
      </c>
      <c r="F91" s="287" t="s">
        <v>53</v>
      </c>
      <c r="G91" s="31">
        <v>41999</v>
      </c>
      <c r="H91" s="295" t="s">
        <v>264</v>
      </c>
      <c r="I91" s="298" t="s">
        <v>75</v>
      </c>
      <c r="J91" s="288" t="s">
        <v>131</v>
      </c>
      <c r="K91" s="290" t="s">
        <v>76</v>
      </c>
      <c r="L91" s="31">
        <v>42052</v>
      </c>
      <c r="M91" s="286" t="s">
        <v>47</v>
      </c>
      <c r="N91" s="286" t="s">
        <v>363</v>
      </c>
      <c r="O91" s="204" t="s">
        <v>286</v>
      </c>
      <c r="P91" s="31">
        <v>42369</v>
      </c>
      <c r="Q91" s="286" t="s">
        <v>362</v>
      </c>
      <c r="R91" s="291" t="s">
        <v>48</v>
      </c>
      <c r="S91" s="31"/>
      <c r="T91" s="291"/>
      <c r="U91" s="308">
        <f t="shared" si="43"/>
        <v>52</v>
      </c>
      <c r="V91" s="300" t="str">
        <f t="shared" ref="V91:V116" si="51">IF(U91&gt;7,"Inoportuno",(IF(U91&lt;0,"No ha formulado PM","Oportuno")))</f>
        <v>Inoportuno</v>
      </c>
      <c r="W91" s="308">
        <f t="shared" si="44"/>
        <v>-41759</v>
      </c>
      <c r="X91" s="302" t="s">
        <v>334</v>
      </c>
    </row>
    <row r="92" spans="1:24" ht="138.75" customHeight="1" x14ac:dyDescent="0.2">
      <c r="A92" s="291">
        <f t="shared" si="23"/>
        <v>89</v>
      </c>
      <c r="B92" s="286" t="s">
        <v>60</v>
      </c>
      <c r="C92" s="286" t="s">
        <v>265</v>
      </c>
      <c r="D92" s="293" t="s">
        <v>40</v>
      </c>
      <c r="E92" s="285" t="s">
        <v>0</v>
      </c>
      <c r="F92" s="287" t="s">
        <v>56</v>
      </c>
      <c r="G92" s="31">
        <v>41995</v>
      </c>
      <c r="H92" s="357" t="s">
        <v>266</v>
      </c>
      <c r="I92" s="288" t="s">
        <v>75</v>
      </c>
      <c r="J92" s="288" t="s">
        <v>131</v>
      </c>
      <c r="K92" s="290" t="s">
        <v>76</v>
      </c>
      <c r="L92" s="31">
        <v>42010</v>
      </c>
      <c r="M92" s="286" t="s">
        <v>47</v>
      </c>
      <c r="N92" s="289" t="s">
        <v>278</v>
      </c>
      <c r="O92" s="204" t="s">
        <v>279</v>
      </c>
      <c r="P92" s="31">
        <v>42369</v>
      </c>
      <c r="Q92" s="286" t="s">
        <v>417</v>
      </c>
      <c r="R92" s="291" t="s">
        <v>48</v>
      </c>
      <c r="S92" s="31"/>
      <c r="T92" s="291"/>
      <c r="U92" s="308">
        <f t="shared" ref="U92" si="52">DAYS360(G92,L92,0)+1</f>
        <v>15</v>
      </c>
      <c r="V92" s="300" t="str">
        <f t="shared" si="51"/>
        <v>Inoportuno</v>
      </c>
      <c r="W92" s="308">
        <f t="shared" ref="W92" si="53">DAYS360(P92,S92,0)+1</f>
        <v>-41759</v>
      </c>
      <c r="X92" s="303" t="s">
        <v>334</v>
      </c>
    </row>
    <row r="93" spans="1:24" ht="149.25" customHeight="1" x14ac:dyDescent="0.2">
      <c r="A93" s="291">
        <f t="shared" si="23"/>
        <v>90</v>
      </c>
      <c r="B93" s="286" t="s">
        <v>60</v>
      </c>
      <c r="C93" s="286" t="s">
        <v>265</v>
      </c>
      <c r="D93" s="284" t="s">
        <v>40</v>
      </c>
      <c r="E93" s="295" t="s">
        <v>0</v>
      </c>
      <c r="F93" s="287" t="s">
        <v>56</v>
      </c>
      <c r="G93" s="31">
        <v>41995</v>
      </c>
      <c r="H93" s="357" t="s">
        <v>267</v>
      </c>
      <c r="I93" s="298" t="s">
        <v>75</v>
      </c>
      <c r="J93" s="298" t="s">
        <v>131</v>
      </c>
      <c r="K93" s="142" t="s">
        <v>77</v>
      </c>
      <c r="L93" s="31"/>
      <c r="M93" s="286"/>
      <c r="N93" s="286"/>
      <c r="O93" s="204"/>
      <c r="P93" s="31"/>
      <c r="Q93" s="286"/>
      <c r="R93" s="291"/>
      <c r="S93" s="31"/>
      <c r="T93" s="291"/>
      <c r="U93" s="308">
        <f t="shared" si="43"/>
        <v>-41391</v>
      </c>
      <c r="V93" s="300" t="str">
        <f t="shared" si="51"/>
        <v>No ha formulado PM</v>
      </c>
      <c r="W93" s="308">
        <f t="shared" si="44"/>
        <v>1</v>
      </c>
      <c r="X93" s="303" t="s">
        <v>334</v>
      </c>
    </row>
    <row r="94" spans="1:24" ht="102.75" customHeight="1" x14ac:dyDescent="0.2">
      <c r="A94" s="291">
        <f t="shared" si="23"/>
        <v>91</v>
      </c>
      <c r="B94" s="286" t="s">
        <v>60</v>
      </c>
      <c r="C94" s="286" t="s">
        <v>265</v>
      </c>
      <c r="D94" s="457" t="s">
        <v>40</v>
      </c>
      <c r="E94" s="454" t="s">
        <v>0</v>
      </c>
      <c r="F94" s="287" t="s">
        <v>56</v>
      </c>
      <c r="G94" s="31">
        <v>41995</v>
      </c>
      <c r="H94" s="357" t="s">
        <v>268</v>
      </c>
      <c r="I94" s="467" t="s">
        <v>75</v>
      </c>
      <c r="J94" s="467" t="s">
        <v>131</v>
      </c>
      <c r="K94" s="438" t="s">
        <v>76</v>
      </c>
      <c r="L94" s="31">
        <v>42010</v>
      </c>
      <c r="M94" s="286" t="s">
        <v>101</v>
      </c>
      <c r="N94" s="289" t="s">
        <v>282</v>
      </c>
      <c r="O94" s="204" t="s">
        <v>280</v>
      </c>
      <c r="P94" s="31">
        <v>42369</v>
      </c>
      <c r="Q94" s="286" t="s">
        <v>456</v>
      </c>
      <c r="R94" s="291" t="s">
        <v>48</v>
      </c>
      <c r="S94" s="31"/>
      <c r="T94" s="291"/>
      <c r="U94" s="308">
        <f t="shared" ref="U94:U97" si="54">DAYS360(G94,L94,0)+1</f>
        <v>15</v>
      </c>
      <c r="V94" s="300" t="str">
        <f t="shared" si="51"/>
        <v>Inoportuno</v>
      </c>
      <c r="W94" s="308">
        <f t="shared" ref="W94:W97" si="55">DAYS360(P94,S94,0)+1</f>
        <v>-41759</v>
      </c>
      <c r="X94" s="506" t="s">
        <v>334</v>
      </c>
    </row>
    <row r="95" spans="1:24" ht="131.25" customHeight="1" x14ac:dyDescent="0.2">
      <c r="A95" s="291">
        <f t="shared" si="23"/>
        <v>92</v>
      </c>
      <c r="B95" s="286" t="s">
        <v>60</v>
      </c>
      <c r="C95" s="286" t="s">
        <v>265</v>
      </c>
      <c r="D95" s="458"/>
      <c r="E95" s="455"/>
      <c r="F95" s="287" t="s">
        <v>56</v>
      </c>
      <c r="G95" s="31">
        <v>41995</v>
      </c>
      <c r="H95" s="357" t="s">
        <v>268</v>
      </c>
      <c r="I95" s="468"/>
      <c r="J95" s="468"/>
      <c r="K95" s="443"/>
      <c r="L95" s="31">
        <v>42010</v>
      </c>
      <c r="M95" s="286" t="s">
        <v>101</v>
      </c>
      <c r="N95" s="289" t="s">
        <v>282</v>
      </c>
      <c r="O95" s="204" t="s">
        <v>281</v>
      </c>
      <c r="P95" s="31">
        <v>42369</v>
      </c>
      <c r="Q95" s="286" t="s">
        <v>457</v>
      </c>
      <c r="R95" s="291" t="s">
        <v>48</v>
      </c>
      <c r="S95" s="31"/>
      <c r="T95" s="291"/>
      <c r="U95" s="308">
        <f t="shared" si="54"/>
        <v>15</v>
      </c>
      <c r="V95" s="300" t="str">
        <f t="shared" si="51"/>
        <v>Inoportuno</v>
      </c>
      <c r="W95" s="308">
        <f t="shared" si="55"/>
        <v>-41759</v>
      </c>
      <c r="X95" s="506" t="s">
        <v>334</v>
      </c>
    </row>
    <row r="96" spans="1:24" ht="220.5" customHeight="1" x14ac:dyDescent="0.2">
      <c r="A96" s="291">
        <f t="shared" si="23"/>
        <v>93</v>
      </c>
      <c r="B96" s="286" t="s">
        <v>60</v>
      </c>
      <c r="C96" s="286" t="s">
        <v>265</v>
      </c>
      <c r="D96" s="458"/>
      <c r="E96" s="455"/>
      <c r="F96" s="287" t="s">
        <v>56</v>
      </c>
      <c r="G96" s="31">
        <v>41995</v>
      </c>
      <c r="H96" s="357" t="s">
        <v>268</v>
      </c>
      <c r="I96" s="468"/>
      <c r="J96" s="468"/>
      <c r="K96" s="443"/>
      <c r="L96" s="31">
        <v>42010</v>
      </c>
      <c r="M96" s="286" t="s">
        <v>47</v>
      </c>
      <c r="N96" s="289" t="s">
        <v>282</v>
      </c>
      <c r="O96" s="204" t="s">
        <v>458</v>
      </c>
      <c r="P96" s="31">
        <v>42369</v>
      </c>
      <c r="Q96" s="289" t="s">
        <v>459</v>
      </c>
      <c r="R96" s="291" t="s">
        <v>48</v>
      </c>
      <c r="S96" s="31"/>
      <c r="T96" s="291"/>
      <c r="U96" s="308">
        <f t="shared" si="54"/>
        <v>15</v>
      </c>
      <c r="V96" s="300" t="str">
        <f t="shared" si="51"/>
        <v>Inoportuno</v>
      </c>
      <c r="W96" s="308">
        <f t="shared" si="55"/>
        <v>-41759</v>
      </c>
      <c r="X96" s="506" t="s">
        <v>334</v>
      </c>
    </row>
    <row r="97" spans="1:24" ht="96" customHeight="1" x14ac:dyDescent="0.2">
      <c r="A97" s="291">
        <f t="shared" si="23"/>
        <v>94</v>
      </c>
      <c r="B97" s="286" t="s">
        <v>60</v>
      </c>
      <c r="C97" s="286" t="s">
        <v>265</v>
      </c>
      <c r="D97" s="459"/>
      <c r="E97" s="456"/>
      <c r="F97" s="287" t="s">
        <v>56</v>
      </c>
      <c r="G97" s="31">
        <v>41995</v>
      </c>
      <c r="H97" s="357" t="s">
        <v>268</v>
      </c>
      <c r="I97" s="469"/>
      <c r="J97" s="469"/>
      <c r="K97" s="439"/>
      <c r="L97" s="31">
        <v>42010</v>
      </c>
      <c r="M97" s="286" t="s">
        <v>47</v>
      </c>
      <c r="N97" s="289" t="s">
        <v>282</v>
      </c>
      <c r="O97" s="204" t="s">
        <v>283</v>
      </c>
      <c r="P97" s="31">
        <v>42369</v>
      </c>
      <c r="Q97" s="286" t="s">
        <v>460</v>
      </c>
      <c r="R97" s="291" t="s">
        <v>48</v>
      </c>
      <c r="S97" s="31"/>
      <c r="T97" s="291"/>
      <c r="U97" s="308">
        <f t="shared" si="54"/>
        <v>15</v>
      </c>
      <c r="V97" s="300" t="str">
        <f t="shared" si="51"/>
        <v>Inoportuno</v>
      </c>
      <c r="W97" s="308">
        <f t="shared" si="55"/>
        <v>-41759</v>
      </c>
      <c r="X97" s="506" t="s">
        <v>334</v>
      </c>
    </row>
    <row r="98" spans="1:24" ht="238.5" customHeight="1" x14ac:dyDescent="0.2">
      <c r="A98" s="291">
        <f t="shared" si="23"/>
        <v>95</v>
      </c>
      <c r="B98" s="286" t="s">
        <v>60</v>
      </c>
      <c r="C98" s="286" t="s">
        <v>265</v>
      </c>
      <c r="D98" s="293" t="s">
        <v>40</v>
      </c>
      <c r="E98" s="285" t="s">
        <v>0</v>
      </c>
      <c r="F98" s="287" t="s">
        <v>56</v>
      </c>
      <c r="G98" s="31">
        <v>41995</v>
      </c>
      <c r="H98" s="357" t="s">
        <v>269</v>
      </c>
      <c r="I98" s="298" t="s">
        <v>75</v>
      </c>
      <c r="J98" s="298" t="s">
        <v>131</v>
      </c>
      <c r="K98" s="296" t="s">
        <v>76</v>
      </c>
      <c r="L98" s="31">
        <v>42010</v>
      </c>
      <c r="M98" s="286" t="s">
        <v>101</v>
      </c>
      <c r="N98" s="289" t="s">
        <v>282</v>
      </c>
      <c r="O98" s="204" t="s">
        <v>311</v>
      </c>
      <c r="P98" s="31">
        <v>42277</v>
      </c>
      <c r="Q98" s="289" t="s">
        <v>461</v>
      </c>
      <c r="R98" s="291" t="s">
        <v>48</v>
      </c>
      <c r="S98" s="31"/>
      <c r="T98" s="291"/>
      <c r="U98" s="308">
        <f t="shared" si="43"/>
        <v>15</v>
      </c>
      <c r="V98" s="300" t="str">
        <f t="shared" si="51"/>
        <v>Inoportuno</v>
      </c>
      <c r="W98" s="308">
        <f t="shared" si="44"/>
        <v>-41669</v>
      </c>
      <c r="X98" s="303" t="s">
        <v>334</v>
      </c>
    </row>
    <row r="99" spans="1:24" ht="216.75" customHeight="1" x14ac:dyDescent="0.2">
      <c r="A99" s="291">
        <f t="shared" si="23"/>
        <v>96</v>
      </c>
      <c r="B99" s="295" t="s">
        <v>333</v>
      </c>
      <c r="C99" s="286" t="s">
        <v>462</v>
      </c>
      <c r="D99" s="457" t="s">
        <v>40</v>
      </c>
      <c r="E99" s="454" t="s">
        <v>0</v>
      </c>
      <c r="F99" s="287" t="s">
        <v>57</v>
      </c>
      <c r="G99" s="31">
        <v>41985</v>
      </c>
      <c r="H99" s="357" t="s">
        <v>270</v>
      </c>
      <c r="I99" s="467" t="s">
        <v>75</v>
      </c>
      <c r="J99" s="467" t="s">
        <v>132</v>
      </c>
      <c r="K99" s="438" t="s">
        <v>76</v>
      </c>
      <c r="L99" s="31">
        <v>42023</v>
      </c>
      <c r="M99" s="286" t="s">
        <v>101</v>
      </c>
      <c r="N99" s="171" t="s">
        <v>287</v>
      </c>
      <c r="O99" s="368" t="s">
        <v>706</v>
      </c>
      <c r="P99" s="168">
        <v>42612</v>
      </c>
      <c r="Q99" s="286" t="s">
        <v>707</v>
      </c>
      <c r="R99" s="169" t="s">
        <v>52</v>
      </c>
      <c r="S99" s="168">
        <v>42663</v>
      </c>
      <c r="T99" s="171" t="s">
        <v>708</v>
      </c>
      <c r="U99" s="308">
        <f t="shared" si="43"/>
        <v>38</v>
      </c>
      <c r="V99" s="300" t="str">
        <f t="shared" si="51"/>
        <v>Inoportuno</v>
      </c>
      <c r="W99" s="308">
        <f t="shared" si="44"/>
        <v>51</v>
      </c>
      <c r="X99" s="507" t="s">
        <v>334</v>
      </c>
    </row>
    <row r="100" spans="1:24" ht="196.5" customHeight="1" x14ac:dyDescent="0.2">
      <c r="A100" s="291">
        <f t="shared" si="23"/>
        <v>97</v>
      </c>
      <c r="B100" s="295" t="s">
        <v>333</v>
      </c>
      <c r="C100" s="286" t="s">
        <v>462</v>
      </c>
      <c r="D100" s="459"/>
      <c r="E100" s="456"/>
      <c r="F100" s="287" t="s">
        <v>57</v>
      </c>
      <c r="G100" s="31">
        <v>41985</v>
      </c>
      <c r="H100" s="357" t="s">
        <v>270</v>
      </c>
      <c r="I100" s="469"/>
      <c r="J100" s="469"/>
      <c r="K100" s="439"/>
      <c r="L100" s="31">
        <v>42023</v>
      </c>
      <c r="M100" s="286" t="s">
        <v>47</v>
      </c>
      <c r="N100" s="171" t="s">
        <v>287</v>
      </c>
      <c r="O100" s="204" t="s">
        <v>701</v>
      </c>
      <c r="P100" s="168">
        <v>42551</v>
      </c>
      <c r="Q100" s="289" t="s">
        <v>702</v>
      </c>
      <c r="R100" s="169" t="s">
        <v>52</v>
      </c>
      <c r="S100" s="168"/>
      <c r="T100" s="169"/>
      <c r="U100" s="308">
        <f t="shared" ref="U100" si="56">DAYS360(G100,L100,0)+1</f>
        <v>38</v>
      </c>
      <c r="V100" s="300" t="str">
        <f t="shared" si="51"/>
        <v>Inoportuno</v>
      </c>
      <c r="W100" s="308">
        <f t="shared" ref="W100" si="57">DAYS360(P100,S100,0)+1</f>
        <v>-41939</v>
      </c>
      <c r="X100" s="509" t="s">
        <v>334</v>
      </c>
    </row>
    <row r="101" spans="1:24" ht="174.75" customHeight="1" x14ac:dyDescent="0.2">
      <c r="A101" s="291">
        <f t="shared" si="23"/>
        <v>98</v>
      </c>
      <c r="B101" s="295" t="s">
        <v>333</v>
      </c>
      <c r="C101" s="286" t="s">
        <v>462</v>
      </c>
      <c r="D101" s="284" t="s">
        <v>40</v>
      </c>
      <c r="E101" s="295" t="s">
        <v>0</v>
      </c>
      <c r="F101" s="287" t="s">
        <v>57</v>
      </c>
      <c r="G101" s="31">
        <v>41985</v>
      </c>
      <c r="H101" s="357" t="s">
        <v>463</v>
      </c>
      <c r="I101" s="298" t="s">
        <v>75</v>
      </c>
      <c r="J101" s="298" t="s">
        <v>132</v>
      </c>
      <c r="K101" s="142" t="s">
        <v>76</v>
      </c>
      <c r="L101" s="31">
        <v>42023</v>
      </c>
      <c r="M101" s="286" t="s">
        <v>101</v>
      </c>
      <c r="N101" s="286" t="s">
        <v>134</v>
      </c>
      <c r="O101" s="204" t="s">
        <v>709</v>
      </c>
      <c r="P101" s="31">
        <v>42612</v>
      </c>
      <c r="Q101" s="286" t="s">
        <v>710</v>
      </c>
      <c r="R101" s="291" t="s">
        <v>52</v>
      </c>
      <c r="S101" s="31">
        <v>42663</v>
      </c>
      <c r="T101" s="171" t="s">
        <v>697</v>
      </c>
      <c r="U101" s="308">
        <f t="shared" si="43"/>
        <v>38</v>
      </c>
      <c r="V101" s="300" t="str">
        <f t="shared" si="51"/>
        <v>Inoportuno</v>
      </c>
      <c r="W101" s="308">
        <f t="shared" si="44"/>
        <v>51</v>
      </c>
      <c r="X101" s="303" t="s">
        <v>334</v>
      </c>
    </row>
    <row r="102" spans="1:24" ht="92.25" customHeight="1" x14ac:dyDescent="0.2">
      <c r="A102" s="291">
        <f t="shared" si="23"/>
        <v>99</v>
      </c>
      <c r="B102" s="295" t="s">
        <v>333</v>
      </c>
      <c r="C102" s="286" t="s">
        <v>462</v>
      </c>
      <c r="D102" s="284" t="s">
        <v>40</v>
      </c>
      <c r="E102" s="295" t="s">
        <v>0</v>
      </c>
      <c r="F102" s="287" t="s">
        <v>57</v>
      </c>
      <c r="G102" s="31">
        <v>41985</v>
      </c>
      <c r="H102" s="357" t="s">
        <v>271</v>
      </c>
      <c r="I102" s="298" t="s">
        <v>75</v>
      </c>
      <c r="J102" s="298" t="s">
        <v>132</v>
      </c>
      <c r="K102" s="142" t="s">
        <v>76</v>
      </c>
      <c r="L102" s="31">
        <v>42023</v>
      </c>
      <c r="M102" s="286" t="s">
        <v>101</v>
      </c>
      <c r="N102" s="286" t="s">
        <v>134</v>
      </c>
      <c r="O102" s="204" t="s">
        <v>288</v>
      </c>
      <c r="P102" s="31">
        <v>42093</v>
      </c>
      <c r="Q102" s="286" t="s">
        <v>668</v>
      </c>
      <c r="R102" s="291" t="s">
        <v>52</v>
      </c>
      <c r="S102" s="31">
        <v>42537</v>
      </c>
      <c r="T102" s="291"/>
      <c r="U102" s="308">
        <f t="shared" si="43"/>
        <v>38</v>
      </c>
      <c r="V102" s="300" t="str">
        <f t="shared" si="51"/>
        <v>Inoportuno</v>
      </c>
      <c r="W102" s="308">
        <f t="shared" si="44"/>
        <v>437</v>
      </c>
      <c r="X102" s="303" t="s">
        <v>334</v>
      </c>
    </row>
    <row r="103" spans="1:24" ht="162.75" customHeight="1" x14ac:dyDescent="0.2">
      <c r="A103" s="291">
        <f t="shared" si="23"/>
        <v>100</v>
      </c>
      <c r="B103" s="295" t="s">
        <v>333</v>
      </c>
      <c r="C103" s="286" t="s">
        <v>462</v>
      </c>
      <c r="D103" s="457" t="s">
        <v>40</v>
      </c>
      <c r="E103" s="454" t="s">
        <v>0</v>
      </c>
      <c r="F103" s="287" t="s">
        <v>57</v>
      </c>
      <c r="G103" s="31">
        <v>41985</v>
      </c>
      <c r="H103" s="454" t="s">
        <v>272</v>
      </c>
      <c r="I103" s="467" t="s">
        <v>75</v>
      </c>
      <c r="J103" s="467" t="s">
        <v>131</v>
      </c>
      <c r="K103" s="438" t="s">
        <v>76</v>
      </c>
      <c r="L103" s="31">
        <v>42023</v>
      </c>
      <c r="M103" s="286" t="s">
        <v>101</v>
      </c>
      <c r="N103" s="286" t="s">
        <v>134</v>
      </c>
      <c r="O103" s="204" t="s">
        <v>712</v>
      </c>
      <c r="P103" s="31">
        <v>42368</v>
      </c>
      <c r="Q103" s="286" t="s">
        <v>711</v>
      </c>
      <c r="R103" s="291" t="s">
        <v>48</v>
      </c>
      <c r="S103" s="31">
        <v>42885</v>
      </c>
      <c r="T103" s="171"/>
      <c r="U103" s="308">
        <f t="shared" si="43"/>
        <v>38</v>
      </c>
      <c r="V103" s="300" t="str">
        <f t="shared" si="51"/>
        <v>Inoportuno</v>
      </c>
      <c r="W103" s="308">
        <f t="shared" si="44"/>
        <v>511</v>
      </c>
      <c r="X103" s="507" t="s">
        <v>334</v>
      </c>
    </row>
    <row r="104" spans="1:24" ht="92.25" customHeight="1" x14ac:dyDescent="0.2">
      <c r="A104" s="291">
        <f t="shared" si="23"/>
        <v>101</v>
      </c>
      <c r="B104" s="295" t="s">
        <v>333</v>
      </c>
      <c r="C104" s="286" t="s">
        <v>462</v>
      </c>
      <c r="D104" s="458"/>
      <c r="E104" s="455"/>
      <c r="F104" s="287" t="s">
        <v>57</v>
      </c>
      <c r="G104" s="31">
        <v>41985</v>
      </c>
      <c r="H104" s="455"/>
      <c r="I104" s="468"/>
      <c r="J104" s="468"/>
      <c r="K104" s="443"/>
      <c r="L104" s="31">
        <v>42023</v>
      </c>
      <c r="M104" s="286" t="s">
        <v>101</v>
      </c>
      <c r="N104" s="286" t="s">
        <v>134</v>
      </c>
      <c r="O104" s="204" t="s">
        <v>464</v>
      </c>
      <c r="P104" s="31">
        <v>42368</v>
      </c>
      <c r="Q104" s="286" t="s">
        <v>716</v>
      </c>
      <c r="R104" s="291" t="s">
        <v>52</v>
      </c>
      <c r="S104" s="31">
        <v>42381</v>
      </c>
      <c r="T104" s="171" t="s">
        <v>429</v>
      </c>
      <c r="U104" s="308">
        <f t="shared" ref="U104:U106" si="58">DAYS360(G104,L104,0)+1</f>
        <v>38</v>
      </c>
      <c r="V104" s="300" t="str">
        <f t="shared" si="51"/>
        <v>Inoportuno</v>
      </c>
      <c r="W104" s="308">
        <f t="shared" ref="W104:W106" si="59">DAYS360(P104,S104,0)+1</f>
        <v>13</v>
      </c>
      <c r="X104" s="508" t="s">
        <v>334</v>
      </c>
    </row>
    <row r="105" spans="1:24" ht="143.25" customHeight="1" x14ac:dyDescent="0.2">
      <c r="A105" s="291">
        <f t="shared" si="23"/>
        <v>102</v>
      </c>
      <c r="B105" s="295" t="s">
        <v>333</v>
      </c>
      <c r="C105" s="286" t="s">
        <v>462</v>
      </c>
      <c r="D105" s="458"/>
      <c r="E105" s="455"/>
      <c r="F105" s="287" t="s">
        <v>57</v>
      </c>
      <c r="G105" s="31">
        <v>41985</v>
      </c>
      <c r="H105" s="455"/>
      <c r="I105" s="468"/>
      <c r="J105" s="468"/>
      <c r="K105" s="443"/>
      <c r="L105" s="31">
        <v>42023</v>
      </c>
      <c r="M105" s="286" t="s">
        <v>47</v>
      </c>
      <c r="N105" s="286" t="s">
        <v>134</v>
      </c>
      <c r="O105" s="204" t="s">
        <v>289</v>
      </c>
      <c r="P105" s="31">
        <v>42368</v>
      </c>
      <c r="Q105" s="286" t="s">
        <v>669</v>
      </c>
      <c r="R105" s="291" t="s">
        <v>48</v>
      </c>
      <c r="S105" s="31"/>
      <c r="T105" s="291"/>
      <c r="U105" s="308">
        <f t="shared" si="58"/>
        <v>38</v>
      </c>
      <c r="V105" s="300" t="str">
        <f t="shared" si="51"/>
        <v>Inoportuno</v>
      </c>
      <c r="W105" s="308">
        <f t="shared" si="59"/>
        <v>-41759</v>
      </c>
      <c r="X105" s="508" t="s">
        <v>334</v>
      </c>
    </row>
    <row r="106" spans="1:24" ht="175.5" customHeight="1" x14ac:dyDescent="0.2">
      <c r="A106" s="291">
        <f t="shared" si="23"/>
        <v>103</v>
      </c>
      <c r="B106" s="295" t="s">
        <v>333</v>
      </c>
      <c r="C106" s="286" t="s">
        <v>462</v>
      </c>
      <c r="D106" s="459"/>
      <c r="E106" s="456"/>
      <c r="F106" s="287" t="s">
        <v>57</v>
      </c>
      <c r="G106" s="31">
        <v>41985</v>
      </c>
      <c r="H106" s="456"/>
      <c r="I106" s="469"/>
      <c r="J106" s="469"/>
      <c r="K106" s="439"/>
      <c r="L106" s="31">
        <v>42023</v>
      </c>
      <c r="M106" s="286" t="s">
        <v>47</v>
      </c>
      <c r="N106" s="286" t="s">
        <v>134</v>
      </c>
      <c r="O106" s="204" t="s">
        <v>465</v>
      </c>
      <c r="P106" s="31">
        <v>42368</v>
      </c>
      <c r="Q106" s="289" t="s">
        <v>670</v>
      </c>
      <c r="R106" s="291" t="s">
        <v>48</v>
      </c>
      <c r="S106" s="31"/>
      <c r="T106" s="291"/>
      <c r="U106" s="308">
        <f t="shared" si="58"/>
        <v>38</v>
      </c>
      <c r="V106" s="300" t="str">
        <f t="shared" si="51"/>
        <v>Inoportuno</v>
      </c>
      <c r="W106" s="308">
        <f t="shared" si="59"/>
        <v>-41759</v>
      </c>
      <c r="X106" s="509" t="s">
        <v>334</v>
      </c>
    </row>
    <row r="107" spans="1:24" ht="193.5" customHeight="1" x14ac:dyDescent="0.2">
      <c r="A107" s="291">
        <f t="shared" si="23"/>
        <v>104</v>
      </c>
      <c r="B107" s="295" t="s">
        <v>333</v>
      </c>
      <c r="C107" s="286" t="s">
        <v>462</v>
      </c>
      <c r="D107" s="457" t="s">
        <v>40</v>
      </c>
      <c r="E107" s="454" t="s">
        <v>0</v>
      </c>
      <c r="F107" s="287" t="s">
        <v>57</v>
      </c>
      <c r="G107" s="31">
        <v>41985</v>
      </c>
      <c r="H107" s="357" t="s">
        <v>273</v>
      </c>
      <c r="I107" s="467" t="s">
        <v>75</v>
      </c>
      <c r="J107" s="467" t="s">
        <v>132</v>
      </c>
      <c r="K107" s="438" t="s">
        <v>76</v>
      </c>
      <c r="L107" s="31">
        <v>42023</v>
      </c>
      <c r="M107" s="286" t="s">
        <v>101</v>
      </c>
      <c r="N107" s="286" t="s">
        <v>134</v>
      </c>
      <c r="O107" s="204" t="s">
        <v>290</v>
      </c>
      <c r="P107" s="31">
        <v>42368</v>
      </c>
      <c r="Q107" s="365" t="s">
        <v>431</v>
      </c>
      <c r="R107" s="291" t="s">
        <v>52</v>
      </c>
      <c r="S107" s="31">
        <v>42381</v>
      </c>
      <c r="T107" s="171" t="s">
        <v>429</v>
      </c>
      <c r="U107" s="308">
        <f t="shared" si="43"/>
        <v>38</v>
      </c>
      <c r="V107" s="300" t="str">
        <f t="shared" si="51"/>
        <v>Inoportuno</v>
      </c>
      <c r="W107" s="308">
        <f t="shared" si="44"/>
        <v>13</v>
      </c>
      <c r="X107" s="507" t="s">
        <v>334</v>
      </c>
    </row>
    <row r="108" spans="1:24" ht="157.5" customHeight="1" x14ac:dyDescent="0.2">
      <c r="A108" s="291">
        <f t="shared" si="23"/>
        <v>105</v>
      </c>
      <c r="B108" s="295" t="s">
        <v>333</v>
      </c>
      <c r="C108" s="286" t="s">
        <v>462</v>
      </c>
      <c r="D108" s="458"/>
      <c r="E108" s="455"/>
      <c r="F108" s="287" t="s">
        <v>57</v>
      </c>
      <c r="G108" s="31">
        <v>41985</v>
      </c>
      <c r="H108" s="357" t="s">
        <v>273</v>
      </c>
      <c r="I108" s="468"/>
      <c r="J108" s="468"/>
      <c r="K108" s="443"/>
      <c r="L108" s="31">
        <v>42023</v>
      </c>
      <c r="M108" s="286" t="s">
        <v>101</v>
      </c>
      <c r="N108" s="286" t="s">
        <v>134</v>
      </c>
      <c r="O108" s="204" t="s">
        <v>291</v>
      </c>
      <c r="P108" s="31">
        <v>42368</v>
      </c>
      <c r="Q108" s="286" t="s">
        <v>432</v>
      </c>
      <c r="R108" s="291" t="s">
        <v>52</v>
      </c>
      <c r="S108" s="31">
        <v>42381</v>
      </c>
      <c r="T108" s="171" t="s">
        <v>429</v>
      </c>
      <c r="U108" s="308">
        <f t="shared" ref="U108:U109" si="60">DAYS360(G108,L108,0)+1</f>
        <v>38</v>
      </c>
      <c r="V108" s="300" t="str">
        <f t="shared" si="51"/>
        <v>Inoportuno</v>
      </c>
      <c r="W108" s="308">
        <f t="shared" ref="W108:W109" si="61">DAYS360(P108,S108,0)+1</f>
        <v>13</v>
      </c>
      <c r="X108" s="508" t="s">
        <v>334</v>
      </c>
    </row>
    <row r="109" spans="1:24" ht="194.25" customHeight="1" x14ac:dyDescent="0.2">
      <c r="A109" s="291">
        <f t="shared" si="23"/>
        <v>106</v>
      </c>
      <c r="B109" s="295" t="s">
        <v>333</v>
      </c>
      <c r="C109" s="286" t="s">
        <v>462</v>
      </c>
      <c r="D109" s="459"/>
      <c r="E109" s="456"/>
      <c r="F109" s="287" t="s">
        <v>57</v>
      </c>
      <c r="G109" s="31">
        <v>41985</v>
      </c>
      <c r="H109" s="357" t="s">
        <v>273</v>
      </c>
      <c r="I109" s="469"/>
      <c r="J109" s="469"/>
      <c r="K109" s="439"/>
      <c r="L109" s="31">
        <v>42023</v>
      </c>
      <c r="M109" s="286" t="s">
        <v>101</v>
      </c>
      <c r="N109" s="286" t="s">
        <v>134</v>
      </c>
      <c r="O109" s="204" t="s">
        <v>292</v>
      </c>
      <c r="P109" s="31">
        <v>42368</v>
      </c>
      <c r="Q109" s="286" t="s">
        <v>432</v>
      </c>
      <c r="R109" s="291" t="s">
        <v>52</v>
      </c>
      <c r="S109" s="31">
        <v>42381</v>
      </c>
      <c r="T109" s="171" t="s">
        <v>429</v>
      </c>
      <c r="U109" s="308">
        <f t="shared" si="60"/>
        <v>38</v>
      </c>
      <c r="V109" s="300" t="str">
        <f t="shared" si="51"/>
        <v>Inoportuno</v>
      </c>
      <c r="W109" s="308">
        <f t="shared" si="61"/>
        <v>13</v>
      </c>
      <c r="X109" s="509" t="s">
        <v>334</v>
      </c>
    </row>
    <row r="110" spans="1:24" ht="244.5" customHeight="1" x14ac:dyDescent="0.2">
      <c r="A110" s="291">
        <f t="shared" si="23"/>
        <v>107</v>
      </c>
      <c r="B110" s="295" t="s">
        <v>333</v>
      </c>
      <c r="C110" s="286" t="s">
        <v>462</v>
      </c>
      <c r="D110" s="457" t="s">
        <v>40</v>
      </c>
      <c r="E110" s="454" t="s">
        <v>0</v>
      </c>
      <c r="F110" s="287" t="s">
        <v>57</v>
      </c>
      <c r="G110" s="31">
        <v>41985</v>
      </c>
      <c r="H110" s="454" t="s">
        <v>296</v>
      </c>
      <c r="I110" s="467" t="s">
        <v>75</v>
      </c>
      <c r="J110" s="467" t="s">
        <v>131</v>
      </c>
      <c r="K110" s="438" t="s">
        <v>76</v>
      </c>
      <c r="L110" s="31">
        <v>42023</v>
      </c>
      <c r="M110" s="286" t="s">
        <v>101</v>
      </c>
      <c r="N110" s="286" t="s">
        <v>134</v>
      </c>
      <c r="O110" s="204" t="s">
        <v>293</v>
      </c>
      <c r="P110" s="31">
        <v>42368</v>
      </c>
      <c r="Q110" s="286" t="s">
        <v>433</v>
      </c>
      <c r="R110" s="291" t="s">
        <v>52</v>
      </c>
      <c r="S110" s="31">
        <v>42381</v>
      </c>
      <c r="T110" s="171" t="s">
        <v>429</v>
      </c>
      <c r="U110" s="308">
        <f t="shared" si="43"/>
        <v>38</v>
      </c>
      <c r="V110" s="300" t="str">
        <f t="shared" si="51"/>
        <v>Inoportuno</v>
      </c>
      <c r="W110" s="308">
        <f t="shared" si="44"/>
        <v>13</v>
      </c>
      <c r="X110" s="507" t="s">
        <v>334</v>
      </c>
    </row>
    <row r="111" spans="1:24" ht="111" customHeight="1" x14ac:dyDescent="0.2">
      <c r="A111" s="291">
        <f t="shared" si="23"/>
        <v>108</v>
      </c>
      <c r="B111" s="295" t="s">
        <v>333</v>
      </c>
      <c r="C111" s="286" t="s">
        <v>462</v>
      </c>
      <c r="D111" s="458"/>
      <c r="E111" s="455"/>
      <c r="F111" s="287" t="s">
        <v>57</v>
      </c>
      <c r="G111" s="31">
        <v>41985</v>
      </c>
      <c r="H111" s="455"/>
      <c r="I111" s="468"/>
      <c r="J111" s="468"/>
      <c r="K111" s="443"/>
      <c r="L111" s="31">
        <v>42023</v>
      </c>
      <c r="M111" s="286" t="s">
        <v>101</v>
      </c>
      <c r="N111" s="286" t="s">
        <v>134</v>
      </c>
      <c r="O111" s="204" t="s">
        <v>466</v>
      </c>
      <c r="P111" s="31">
        <v>42368</v>
      </c>
      <c r="Q111" s="286" t="s">
        <v>434</v>
      </c>
      <c r="R111" s="291" t="s">
        <v>52</v>
      </c>
      <c r="S111" s="31">
        <v>42381</v>
      </c>
      <c r="T111" s="171" t="s">
        <v>429</v>
      </c>
      <c r="U111" s="308">
        <f t="shared" ref="U111:U115" si="62">DAYS360(G111,L111,0)+1</f>
        <v>38</v>
      </c>
      <c r="V111" s="300" t="str">
        <f t="shared" si="51"/>
        <v>Inoportuno</v>
      </c>
      <c r="W111" s="308">
        <f t="shared" ref="W111:W115" si="63">DAYS360(P111,S111,0)+1</f>
        <v>13</v>
      </c>
      <c r="X111" s="508" t="s">
        <v>334</v>
      </c>
    </row>
    <row r="112" spans="1:24" ht="244.5" customHeight="1" x14ac:dyDescent="0.2">
      <c r="A112" s="291">
        <f t="shared" si="23"/>
        <v>109</v>
      </c>
      <c r="B112" s="295" t="s">
        <v>333</v>
      </c>
      <c r="C112" s="286" t="s">
        <v>462</v>
      </c>
      <c r="D112" s="458"/>
      <c r="E112" s="455"/>
      <c r="F112" s="287" t="s">
        <v>57</v>
      </c>
      <c r="G112" s="31">
        <v>41985</v>
      </c>
      <c r="H112" s="455"/>
      <c r="I112" s="468"/>
      <c r="J112" s="468"/>
      <c r="K112" s="443"/>
      <c r="L112" s="31">
        <v>42023</v>
      </c>
      <c r="M112" s="286" t="s">
        <v>101</v>
      </c>
      <c r="N112" s="286" t="s">
        <v>134</v>
      </c>
      <c r="O112" s="204" t="s">
        <v>294</v>
      </c>
      <c r="P112" s="31">
        <v>42368</v>
      </c>
      <c r="Q112" s="289" t="s">
        <v>671</v>
      </c>
      <c r="R112" s="291" t="s">
        <v>48</v>
      </c>
      <c r="S112" s="31"/>
      <c r="T112" s="291"/>
      <c r="U112" s="308">
        <f t="shared" si="62"/>
        <v>38</v>
      </c>
      <c r="V112" s="300" t="str">
        <f t="shared" si="51"/>
        <v>Inoportuno</v>
      </c>
      <c r="W112" s="308">
        <f t="shared" si="63"/>
        <v>-41759</v>
      </c>
      <c r="X112" s="508" t="s">
        <v>334</v>
      </c>
    </row>
    <row r="113" spans="1:24" ht="231.75" customHeight="1" x14ac:dyDescent="0.2">
      <c r="A113" s="291">
        <f t="shared" si="23"/>
        <v>110</v>
      </c>
      <c r="B113" s="295" t="s">
        <v>333</v>
      </c>
      <c r="C113" s="286" t="s">
        <v>462</v>
      </c>
      <c r="D113" s="458"/>
      <c r="E113" s="455"/>
      <c r="F113" s="287" t="s">
        <v>57</v>
      </c>
      <c r="G113" s="31">
        <v>41985</v>
      </c>
      <c r="H113" s="455"/>
      <c r="I113" s="468"/>
      <c r="J113" s="468"/>
      <c r="K113" s="443"/>
      <c r="L113" s="31">
        <v>42023</v>
      </c>
      <c r="M113" s="286" t="s">
        <v>47</v>
      </c>
      <c r="N113" s="286" t="s">
        <v>134</v>
      </c>
      <c r="O113" s="204" t="s">
        <v>295</v>
      </c>
      <c r="P113" s="31">
        <v>42368</v>
      </c>
      <c r="Q113" s="286" t="s">
        <v>435</v>
      </c>
      <c r="R113" s="291" t="s">
        <v>52</v>
      </c>
      <c r="S113" s="31">
        <v>42381</v>
      </c>
      <c r="T113" s="171" t="s">
        <v>429</v>
      </c>
      <c r="U113" s="308">
        <f t="shared" si="62"/>
        <v>38</v>
      </c>
      <c r="V113" s="300" t="str">
        <f t="shared" si="51"/>
        <v>Inoportuno</v>
      </c>
      <c r="W113" s="308">
        <f t="shared" si="63"/>
        <v>13</v>
      </c>
      <c r="X113" s="508" t="s">
        <v>334</v>
      </c>
    </row>
    <row r="114" spans="1:24" ht="112.5" customHeight="1" x14ac:dyDescent="0.2">
      <c r="A114" s="291">
        <f t="shared" si="23"/>
        <v>111</v>
      </c>
      <c r="B114" s="295" t="s">
        <v>333</v>
      </c>
      <c r="C114" s="286" t="s">
        <v>462</v>
      </c>
      <c r="D114" s="458"/>
      <c r="E114" s="455"/>
      <c r="F114" s="287" t="s">
        <v>57</v>
      </c>
      <c r="G114" s="31">
        <v>41985</v>
      </c>
      <c r="H114" s="456"/>
      <c r="I114" s="468"/>
      <c r="J114" s="468"/>
      <c r="K114" s="443"/>
      <c r="L114" s="31">
        <v>42023</v>
      </c>
      <c r="M114" s="286" t="s">
        <v>47</v>
      </c>
      <c r="N114" s="286" t="s">
        <v>134</v>
      </c>
      <c r="O114" s="204" t="s">
        <v>467</v>
      </c>
      <c r="P114" s="31">
        <v>42885</v>
      </c>
      <c r="Q114" s="289" t="s">
        <v>717</v>
      </c>
      <c r="R114" s="291" t="s">
        <v>48</v>
      </c>
      <c r="S114" s="31"/>
      <c r="T114" s="291"/>
      <c r="U114" s="308">
        <f t="shared" si="62"/>
        <v>38</v>
      </c>
      <c r="V114" s="300" t="str">
        <f t="shared" si="51"/>
        <v>Inoportuno</v>
      </c>
      <c r="W114" s="308">
        <f t="shared" si="63"/>
        <v>-42269</v>
      </c>
      <c r="X114" s="508" t="s">
        <v>334</v>
      </c>
    </row>
    <row r="115" spans="1:24" ht="256.5" customHeight="1" x14ac:dyDescent="0.2">
      <c r="A115" s="291">
        <f t="shared" si="23"/>
        <v>112</v>
      </c>
      <c r="B115" s="295" t="s">
        <v>333</v>
      </c>
      <c r="C115" s="286" t="s">
        <v>462</v>
      </c>
      <c r="D115" s="459"/>
      <c r="E115" s="456"/>
      <c r="F115" s="287" t="s">
        <v>57</v>
      </c>
      <c r="G115" s="31">
        <v>41985</v>
      </c>
      <c r="H115" s="357" t="s">
        <v>296</v>
      </c>
      <c r="I115" s="469"/>
      <c r="J115" s="469"/>
      <c r="K115" s="439"/>
      <c r="L115" s="31">
        <v>42023</v>
      </c>
      <c r="M115" s="286" t="s">
        <v>47</v>
      </c>
      <c r="N115" s="286" t="s">
        <v>134</v>
      </c>
      <c r="O115" s="204" t="s">
        <v>718</v>
      </c>
      <c r="P115" s="31">
        <v>42794</v>
      </c>
      <c r="Q115" s="289" t="s">
        <v>719</v>
      </c>
      <c r="R115" s="291" t="s">
        <v>48</v>
      </c>
      <c r="S115" s="31"/>
      <c r="T115" s="291"/>
      <c r="U115" s="308">
        <f t="shared" si="62"/>
        <v>38</v>
      </c>
      <c r="V115" s="300" t="str">
        <f t="shared" si="51"/>
        <v>Inoportuno</v>
      </c>
      <c r="W115" s="308">
        <f t="shared" si="63"/>
        <v>-42179</v>
      </c>
      <c r="X115" s="509" t="s">
        <v>334</v>
      </c>
    </row>
    <row r="116" spans="1:24" ht="89.25" customHeight="1" x14ac:dyDescent="0.2">
      <c r="A116" s="291">
        <f t="shared" si="23"/>
        <v>113</v>
      </c>
      <c r="B116" s="295" t="s">
        <v>333</v>
      </c>
      <c r="C116" s="286" t="s">
        <v>462</v>
      </c>
      <c r="D116" s="284" t="s">
        <v>40</v>
      </c>
      <c r="E116" s="295" t="s">
        <v>0</v>
      </c>
      <c r="F116" s="287" t="s">
        <v>57</v>
      </c>
      <c r="G116" s="31">
        <v>41985</v>
      </c>
      <c r="H116" s="357" t="s">
        <v>274</v>
      </c>
      <c r="I116" s="298" t="s">
        <v>75</v>
      </c>
      <c r="J116" s="298" t="s">
        <v>131</v>
      </c>
      <c r="K116" s="142" t="s">
        <v>76</v>
      </c>
      <c r="L116" s="31">
        <v>42023</v>
      </c>
      <c r="M116" s="286" t="s">
        <v>47</v>
      </c>
      <c r="N116" s="286" t="s">
        <v>134</v>
      </c>
      <c r="O116" s="204" t="s">
        <v>468</v>
      </c>
      <c r="P116" s="31">
        <v>42368</v>
      </c>
      <c r="Q116" s="286" t="s">
        <v>720</v>
      </c>
      <c r="R116" s="291" t="s">
        <v>48</v>
      </c>
      <c r="S116" s="31"/>
      <c r="T116" s="291"/>
      <c r="U116" s="308">
        <f t="shared" si="43"/>
        <v>38</v>
      </c>
      <c r="V116" s="300" t="str">
        <f t="shared" si="51"/>
        <v>Inoportuno</v>
      </c>
      <c r="W116" s="308">
        <f t="shared" si="44"/>
        <v>-41759</v>
      </c>
      <c r="X116" s="303" t="s">
        <v>334</v>
      </c>
    </row>
    <row r="117" spans="1:24" ht="132.75" customHeight="1" x14ac:dyDescent="0.2">
      <c r="A117" s="291">
        <f t="shared" si="23"/>
        <v>114</v>
      </c>
      <c r="B117" s="286" t="s">
        <v>2</v>
      </c>
      <c r="C117" s="286" t="s">
        <v>2</v>
      </c>
      <c r="D117" s="293" t="s">
        <v>40</v>
      </c>
      <c r="E117" s="295" t="s">
        <v>0</v>
      </c>
      <c r="F117" s="287" t="s">
        <v>55</v>
      </c>
      <c r="G117" s="31">
        <v>42004</v>
      </c>
      <c r="H117" s="357" t="s">
        <v>275</v>
      </c>
      <c r="I117" s="298" t="s">
        <v>75</v>
      </c>
      <c r="J117" s="298" t="s">
        <v>131</v>
      </c>
      <c r="K117" s="305" t="s">
        <v>76</v>
      </c>
      <c r="L117" s="31">
        <v>42243</v>
      </c>
      <c r="M117" s="286" t="s">
        <v>47</v>
      </c>
      <c r="N117" s="176" t="s">
        <v>351</v>
      </c>
      <c r="O117" s="204" t="s">
        <v>352</v>
      </c>
      <c r="P117" s="31">
        <v>42368</v>
      </c>
      <c r="Q117" s="365" t="s">
        <v>469</v>
      </c>
      <c r="R117" s="291" t="s">
        <v>48</v>
      </c>
      <c r="S117" s="31"/>
      <c r="T117" s="286"/>
      <c r="U117" s="308">
        <f t="shared" ref="U117" si="64">DAYS360(G117,L117,0)+1</f>
        <v>238</v>
      </c>
      <c r="V117" s="300" t="str">
        <f t="shared" ref="V117" si="65">IF(U117&gt;7,"Inoportuno",(IF(U117&lt;0,"No ha formulado PM","Oportuno")))</f>
        <v>Inoportuno</v>
      </c>
      <c r="W117" s="308">
        <f t="shared" ref="W117" si="66">DAYS360(P117,S117,0)+1</f>
        <v>-41759</v>
      </c>
      <c r="X117" s="303" t="s">
        <v>334</v>
      </c>
    </row>
    <row r="118" spans="1:24" ht="198" customHeight="1" x14ac:dyDescent="0.2">
      <c r="A118" s="291">
        <f t="shared" si="23"/>
        <v>115</v>
      </c>
      <c r="B118" s="286" t="s">
        <v>34</v>
      </c>
      <c r="C118" s="286" t="s">
        <v>34</v>
      </c>
      <c r="D118" s="457" t="s">
        <v>40</v>
      </c>
      <c r="E118" s="454" t="s">
        <v>0</v>
      </c>
      <c r="F118" s="287" t="s">
        <v>104</v>
      </c>
      <c r="G118" s="31">
        <v>41997</v>
      </c>
      <c r="H118" s="357" t="s">
        <v>276</v>
      </c>
      <c r="I118" s="467" t="s">
        <v>75</v>
      </c>
      <c r="J118" s="467" t="s">
        <v>131</v>
      </c>
      <c r="K118" s="438" t="s">
        <v>76</v>
      </c>
      <c r="L118" s="31">
        <v>42011</v>
      </c>
      <c r="M118" s="286" t="s">
        <v>101</v>
      </c>
      <c r="N118" s="286" t="s">
        <v>284</v>
      </c>
      <c r="O118" s="204" t="s">
        <v>285</v>
      </c>
      <c r="P118" s="31">
        <v>42398</v>
      </c>
      <c r="Q118" s="286" t="s">
        <v>605</v>
      </c>
      <c r="R118" s="291" t="s">
        <v>52</v>
      </c>
      <c r="S118" s="31">
        <v>42495</v>
      </c>
      <c r="T118" s="291" t="s">
        <v>606</v>
      </c>
      <c r="U118" s="308">
        <f t="shared" ref="U118" si="67">DAYS360(G118,L118,0)+1</f>
        <v>14</v>
      </c>
      <c r="V118" s="300" t="str">
        <f t="shared" ref="V118" si="68">IF(U118&gt;7,"Inoportuno",(IF(U118&lt;0,"No ha formulado PM","Oportuno")))</f>
        <v>Inoportuno</v>
      </c>
      <c r="W118" s="308">
        <f t="shared" ref="W118" si="69">DAYS360(P118,S118,0)+1</f>
        <v>97</v>
      </c>
      <c r="X118" s="506" t="s">
        <v>334</v>
      </c>
    </row>
    <row r="119" spans="1:24" ht="165.75" customHeight="1" x14ac:dyDescent="0.2">
      <c r="A119" s="291">
        <f t="shared" si="23"/>
        <v>116</v>
      </c>
      <c r="B119" s="286" t="s">
        <v>34</v>
      </c>
      <c r="C119" s="286" t="s">
        <v>34</v>
      </c>
      <c r="D119" s="459"/>
      <c r="E119" s="456"/>
      <c r="F119" s="287" t="s">
        <v>104</v>
      </c>
      <c r="G119" s="31">
        <v>41997</v>
      </c>
      <c r="H119" s="357" t="s">
        <v>276</v>
      </c>
      <c r="I119" s="469"/>
      <c r="J119" s="469"/>
      <c r="K119" s="439"/>
      <c r="L119" s="31">
        <v>42011</v>
      </c>
      <c r="M119" s="286" t="s">
        <v>47</v>
      </c>
      <c r="N119" s="286" t="s">
        <v>284</v>
      </c>
      <c r="O119" s="204" t="s">
        <v>301</v>
      </c>
      <c r="P119" s="31">
        <v>42459</v>
      </c>
      <c r="Q119" s="286" t="s">
        <v>470</v>
      </c>
      <c r="R119" s="291" t="s">
        <v>48</v>
      </c>
      <c r="S119" s="31"/>
      <c r="T119" s="291"/>
      <c r="U119" s="308">
        <f t="shared" ref="U119" si="70">DAYS360(G119,L119,0)+1</f>
        <v>14</v>
      </c>
      <c r="V119" s="300" t="str">
        <f t="shared" ref="V119:V139" si="71">IF(U119&gt;7,"Inoportuno",(IF(U119&lt;0,"No ha formulado PM","Oportuno")))</f>
        <v>Inoportuno</v>
      </c>
      <c r="W119" s="308">
        <f t="shared" ref="W119" si="72">DAYS360(P119,S119,0)+1</f>
        <v>-41849</v>
      </c>
      <c r="X119" s="506" t="s">
        <v>334</v>
      </c>
    </row>
    <row r="120" spans="1:24" ht="409.5" x14ac:dyDescent="0.2">
      <c r="A120" s="291">
        <f t="shared" si="23"/>
        <v>117</v>
      </c>
      <c r="B120" s="286" t="s">
        <v>34</v>
      </c>
      <c r="C120" s="286" t="s">
        <v>34</v>
      </c>
      <c r="D120" s="293" t="s">
        <v>40</v>
      </c>
      <c r="E120" s="295" t="s">
        <v>0</v>
      </c>
      <c r="F120" s="287" t="s">
        <v>104</v>
      </c>
      <c r="G120" s="31">
        <v>41997</v>
      </c>
      <c r="H120" s="357" t="s">
        <v>277</v>
      </c>
      <c r="I120" s="298" t="s">
        <v>75</v>
      </c>
      <c r="J120" s="298" t="s">
        <v>131</v>
      </c>
      <c r="K120" s="305" t="s">
        <v>76</v>
      </c>
      <c r="L120" s="31">
        <v>42011</v>
      </c>
      <c r="M120" s="286" t="s">
        <v>47</v>
      </c>
      <c r="N120" s="286" t="s">
        <v>284</v>
      </c>
      <c r="O120" s="204" t="s">
        <v>302</v>
      </c>
      <c r="P120" s="31">
        <v>42277</v>
      </c>
      <c r="Q120" s="286" t="s">
        <v>607</v>
      </c>
      <c r="R120" s="291" t="s">
        <v>48</v>
      </c>
      <c r="S120" s="31"/>
      <c r="T120" s="304"/>
      <c r="U120" s="308">
        <f t="shared" ref="U120" si="73">DAYS360(G120,L120,0)+1</f>
        <v>14</v>
      </c>
      <c r="V120" s="300" t="str">
        <f t="shared" si="71"/>
        <v>Inoportuno</v>
      </c>
      <c r="W120" s="308">
        <f t="shared" ref="W120" si="74">DAYS360(P120,S120,0)+1</f>
        <v>-41669</v>
      </c>
      <c r="X120" s="303" t="s">
        <v>334</v>
      </c>
    </row>
    <row r="121" spans="1:24" ht="183.75" customHeight="1" x14ac:dyDescent="0.2">
      <c r="A121" s="291">
        <v>118</v>
      </c>
      <c r="B121" s="286" t="s">
        <v>21</v>
      </c>
      <c r="C121" s="286" t="s">
        <v>506</v>
      </c>
      <c r="D121" s="457" t="s">
        <v>40</v>
      </c>
      <c r="E121" s="454" t="s">
        <v>0</v>
      </c>
      <c r="F121" s="287" t="s">
        <v>56</v>
      </c>
      <c r="G121" s="31">
        <v>42004</v>
      </c>
      <c r="H121" s="357" t="s">
        <v>509</v>
      </c>
      <c r="I121" s="467" t="s">
        <v>75</v>
      </c>
      <c r="J121" s="467" t="s">
        <v>131</v>
      </c>
      <c r="K121" s="438" t="s">
        <v>76</v>
      </c>
      <c r="L121" s="31">
        <v>42117</v>
      </c>
      <c r="M121" s="286" t="s">
        <v>47</v>
      </c>
      <c r="N121" s="177" t="s">
        <v>321</v>
      </c>
      <c r="O121" s="330" t="s">
        <v>323</v>
      </c>
      <c r="P121" s="179">
        <v>42520</v>
      </c>
      <c r="Q121" s="286" t="s">
        <v>599</v>
      </c>
      <c r="R121" s="291" t="s">
        <v>48</v>
      </c>
      <c r="S121" s="31"/>
      <c r="T121" s="291"/>
      <c r="U121" s="308">
        <f t="shared" ref="U121" si="75">DAYS360(G121,L121,0)+1</f>
        <v>114</v>
      </c>
      <c r="V121" s="494" t="str">
        <f t="shared" si="71"/>
        <v>Inoportuno</v>
      </c>
      <c r="W121" s="308">
        <f t="shared" ref="W121" si="76">DAYS360(P121,S121,0)+1</f>
        <v>-41909</v>
      </c>
      <c r="X121" s="507" t="s">
        <v>334</v>
      </c>
    </row>
    <row r="122" spans="1:24" ht="117" customHeight="1" x14ac:dyDescent="0.2">
      <c r="A122" s="291">
        <f t="shared" ref="A122:A148" si="77">+A121+1</f>
        <v>119</v>
      </c>
      <c r="B122" s="286" t="s">
        <v>21</v>
      </c>
      <c r="C122" s="286" t="s">
        <v>181</v>
      </c>
      <c r="D122" s="458"/>
      <c r="E122" s="455"/>
      <c r="F122" s="287" t="s">
        <v>56</v>
      </c>
      <c r="G122" s="31">
        <v>42004</v>
      </c>
      <c r="H122" s="357" t="s">
        <v>509</v>
      </c>
      <c r="I122" s="468"/>
      <c r="J122" s="468"/>
      <c r="K122" s="443"/>
      <c r="L122" s="31">
        <v>42117</v>
      </c>
      <c r="M122" s="286" t="s">
        <v>47</v>
      </c>
      <c r="N122" s="286" t="s">
        <v>471</v>
      </c>
      <c r="O122" s="330" t="s">
        <v>324</v>
      </c>
      <c r="P122" s="179">
        <v>42520</v>
      </c>
      <c r="Q122" s="286" t="s">
        <v>600</v>
      </c>
      <c r="R122" s="291" t="s">
        <v>48</v>
      </c>
      <c r="S122" s="31"/>
      <c r="T122" s="291"/>
      <c r="U122" s="308">
        <f t="shared" ref="U122:U124" si="78">DAYS360(G122,L122,0)+1</f>
        <v>114</v>
      </c>
      <c r="V122" s="513"/>
      <c r="W122" s="308">
        <f t="shared" ref="W122:W124" si="79">DAYS360(P122,S122,0)+1</f>
        <v>-41909</v>
      </c>
      <c r="X122" s="508" t="s">
        <v>334</v>
      </c>
    </row>
    <row r="123" spans="1:24" ht="170.25" customHeight="1" x14ac:dyDescent="0.2">
      <c r="A123" s="291">
        <f t="shared" si="77"/>
        <v>120</v>
      </c>
      <c r="B123" s="286" t="s">
        <v>21</v>
      </c>
      <c r="C123" s="286" t="s">
        <v>181</v>
      </c>
      <c r="D123" s="458"/>
      <c r="E123" s="455"/>
      <c r="F123" s="287" t="s">
        <v>56</v>
      </c>
      <c r="G123" s="31">
        <v>42004</v>
      </c>
      <c r="H123" s="357" t="s">
        <v>509</v>
      </c>
      <c r="I123" s="468"/>
      <c r="J123" s="468"/>
      <c r="K123" s="443"/>
      <c r="L123" s="31">
        <v>42117</v>
      </c>
      <c r="M123" s="286" t="s">
        <v>47</v>
      </c>
      <c r="N123" s="286" t="s">
        <v>472</v>
      </c>
      <c r="O123" s="330" t="s">
        <v>325</v>
      </c>
      <c r="P123" s="179">
        <v>42520</v>
      </c>
      <c r="Q123" s="286" t="s">
        <v>601</v>
      </c>
      <c r="R123" s="291" t="s">
        <v>48</v>
      </c>
      <c r="S123" s="31"/>
      <c r="T123" s="291"/>
      <c r="U123" s="308">
        <f t="shared" si="78"/>
        <v>114</v>
      </c>
      <c r="V123" s="513"/>
      <c r="W123" s="308">
        <f t="shared" si="79"/>
        <v>-41909</v>
      </c>
      <c r="X123" s="508" t="s">
        <v>334</v>
      </c>
    </row>
    <row r="124" spans="1:24" ht="167.25" customHeight="1" x14ac:dyDescent="0.2">
      <c r="A124" s="291">
        <f t="shared" si="77"/>
        <v>121</v>
      </c>
      <c r="B124" s="286" t="s">
        <v>21</v>
      </c>
      <c r="C124" s="286" t="s">
        <v>181</v>
      </c>
      <c r="D124" s="459"/>
      <c r="E124" s="456"/>
      <c r="F124" s="287" t="s">
        <v>56</v>
      </c>
      <c r="G124" s="31">
        <v>42004</v>
      </c>
      <c r="H124" s="357" t="s">
        <v>509</v>
      </c>
      <c r="I124" s="469"/>
      <c r="J124" s="469"/>
      <c r="K124" s="439"/>
      <c r="L124" s="31">
        <v>42117</v>
      </c>
      <c r="M124" s="286" t="s">
        <v>47</v>
      </c>
      <c r="N124" s="286" t="s">
        <v>322</v>
      </c>
      <c r="O124" s="330" t="s">
        <v>326</v>
      </c>
      <c r="P124" s="179">
        <v>42520</v>
      </c>
      <c r="Q124" s="287" t="s">
        <v>518</v>
      </c>
      <c r="R124" s="291" t="s">
        <v>48</v>
      </c>
      <c r="S124" s="31"/>
      <c r="T124" s="291"/>
      <c r="U124" s="308">
        <f t="shared" si="78"/>
        <v>114</v>
      </c>
      <c r="V124" s="495"/>
      <c r="W124" s="308">
        <f t="shared" si="79"/>
        <v>-41909</v>
      </c>
      <c r="X124" s="509" t="s">
        <v>334</v>
      </c>
    </row>
    <row r="125" spans="1:24" ht="136.5" customHeight="1" x14ac:dyDescent="0.2">
      <c r="A125" s="291">
        <f t="shared" si="77"/>
        <v>122</v>
      </c>
      <c r="B125" s="224" t="s">
        <v>21</v>
      </c>
      <c r="C125" s="224" t="s">
        <v>181</v>
      </c>
      <c r="D125" s="457" t="s">
        <v>40</v>
      </c>
      <c r="E125" s="454" t="s">
        <v>0</v>
      </c>
      <c r="F125" s="287" t="s">
        <v>56</v>
      </c>
      <c r="G125" s="31">
        <v>42004</v>
      </c>
      <c r="H125" s="357" t="s">
        <v>510</v>
      </c>
      <c r="I125" s="467" t="s">
        <v>75</v>
      </c>
      <c r="J125" s="467" t="s">
        <v>132</v>
      </c>
      <c r="K125" s="438" t="s">
        <v>76</v>
      </c>
      <c r="L125" s="31">
        <v>42117</v>
      </c>
      <c r="M125" s="286" t="s">
        <v>47</v>
      </c>
      <c r="N125" s="286" t="s">
        <v>320</v>
      </c>
      <c r="O125" s="330" t="s">
        <v>514</v>
      </c>
      <c r="P125" s="179">
        <v>42369</v>
      </c>
      <c r="Q125" s="286" t="s">
        <v>519</v>
      </c>
      <c r="R125" s="291" t="s">
        <v>52</v>
      </c>
      <c r="S125" s="31">
        <v>42451</v>
      </c>
      <c r="T125" s="286" t="s">
        <v>512</v>
      </c>
      <c r="U125" s="308">
        <f t="shared" ref="U125:U126" si="80">DAYS360(G125,L125,0)+1</f>
        <v>114</v>
      </c>
      <c r="V125" s="513"/>
      <c r="W125" s="308">
        <f t="shared" ref="W125:W126" si="81">DAYS360(P125,S125,0)+1</f>
        <v>83</v>
      </c>
      <c r="X125" s="508" t="s">
        <v>334</v>
      </c>
    </row>
    <row r="126" spans="1:24" ht="135.75" customHeight="1" x14ac:dyDescent="0.2">
      <c r="A126" s="291">
        <f t="shared" si="77"/>
        <v>123</v>
      </c>
      <c r="B126" s="224" t="s">
        <v>21</v>
      </c>
      <c r="C126" s="224" t="s">
        <v>181</v>
      </c>
      <c r="D126" s="459"/>
      <c r="E126" s="456"/>
      <c r="F126" s="287" t="s">
        <v>56</v>
      </c>
      <c r="G126" s="31">
        <v>42004</v>
      </c>
      <c r="H126" s="357" t="s">
        <v>510</v>
      </c>
      <c r="I126" s="469"/>
      <c r="J126" s="469"/>
      <c r="K126" s="439"/>
      <c r="L126" s="31">
        <v>42117</v>
      </c>
      <c r="M126" s="286" t="s">
        <v>47</v>
      </c>
      <c r="N126" s="286" t="s">
        <v>320</v>
      </c>
      <c r="O126" s="330" t="s">
        <v>515</v>
      </c>
      <c r="P126" s="179">
        <v>42369</v>
      </c>
      <c r="Q126" s="286" t="s">
        <v>513</v>
      </c>
      <c r="R126" s="291" t="s">
        <v>52</v>
      </c>
      <c r="S126" s="31">
        <v>42451</v>
      </c>
      <c r="T126" s="286" t="s">
        <v>508</v>
      </c>
      <c r="U126" s="308">
        <f t="shared" si="80"/>
        <v>114</v>
      </c>
      <c r="V126" s="495"/>
      <c r="W126" s="308">
        <f t="shared" si="81"/>
        <v>83</v>
      </c>
      <c r="X126" s="509" t="s">
        <v>334</v>
      </c>
    </row>
    <row r="127" spans="1:24" ht="174.75" customHeight="1" x14ac:dyDescent="0.2">
      <c r="A127" s="291">
        <v>124</v>
      </c>
      <c r="B127" s="286" t="s">
        <v>62</v>
      </c>
      <c r="C127" s="286" t="s">
        <v>177</v>
      </c>
      <c r="D127" s="485" t="s">
        <v>177</v>
      </c>
      <c r="E127" s="454" t="s">
        <v>0</v>
      </c>
      <c r="F127" s="287" t="s">
        <v>55</v>
      </c>
      <c r="G127" s="31">
        <v>42095</v>
      </c>
      <c r="H127" s="357" t="s">
        <v>303</v>
      </c>
      <c r="I127" s="467" t="s">
        <v>75</v>
      </c>
      <c r="J127" s="467" t="s">
        <v>132</v>
      </c>
      <c r="K127" s="438" t="s">
        <v>76</v>
      </c>
      <c r="L127" s="31">
        <v>42095</v>
      </c>
      <c r="M127" s="286" t="s">
        <v>47</v>
      </c>
      <c r="N127" s="175" t="s">
        <v>304</v>
      </c>
      <c r="O127" s="204" t="s">
        <v>473</v>
      </c>
      <c r="P127" s="31">
        <v>42338</v>
      </c>
      <c r="Q127" s="286" t="s">
        <v>581</v>
      </c>
      <c r="R127" s="291" t="s">
        <v>52</v>
      </c>
      <c r="S127" s="31">
        <v>42394</v>
      </c>
      <c r="T127" s="286" t="s">
        <v>582</v>
      </c>
      <c r="U127" s="308">
        <f t="shared" ref="U127:U129" si="82">DAYS360(G127,L127,0)+1</f>
        <v>1</v>
      </c>
      <c r="V127" s="513"/>
      <c r="W127" s="308">
        <f t="shared" ref="W127:W226" si="83">DAYS360(P127,S127,0)+1</f>
        <v>56</v>
      </c>
      <c r="X127" s="511" t="s">
        <v>334</v>
      </c>
    </row>
    <row r="128" spans="1:24" ht="82.5" customHeight="1" x14ac:dyDescent="0.2">
      <c r="A128" s="291">
        <f t="shared" si="77"/>
        <v>125</v>
      </c>
      <c r="B128" s="286" t="s">
        <v>62</v>
      </c>
      <c r="C128" s="286" t="s">
        <v>177</v>
      </c>
      <c r="D128" s="486"/>
      <c r="E128" s="455"/>
      <c r="F128" s="287" t="s">
        <v>55</v>
      </c>
      <c r="G128" s="31">
        <v>42095</v>
      </c>
      <c r="H128" s="357" t="s">
        <v>303</v>
      </c>
      <c r="I128" s="468"/>
      <c r="J128" s="468"/>
      <c r="K128" s="443"/>
      <c r="L128" s="31">
        <v>42095</v>
      </c>
      <c r="M128" s="286" t="s">
        <v>47</v>
      </c>
      <c r="N128" s="175" t="s">
        <v>474</v>
      </c>
      <c r="O128" s="204" t="s">
        <v>475</v>
      </c>
      <c r="P128" s="31">
        <v>42308</v>
      </c>
      <c r="Q128" s="286" t="s">
        <v>583</v>
      </c>
      <c r="R128" s="291" t="s">
        <v>52</v>
      </c>
      <c r="S128" s="31">
        <v>42394</v>
      </c>
      <c r="T128" s="286" t="s">
        <v>579</v>
      </c>
      <c r="U128" s="308">
        <f t="shared" si="82"/>
        <v>1</v>
      </c>
      <c r="V128" s="513"/>
      <c r="W128" s="308">
        <f t="shared" si="83"/>
        <v>86</v>
      </c>
      <c r="X128" s="511" t="s">
        <v>334</v>
      </c>
    </row>
    <row r="129" spans="1:27" ht="110.25" customHeight="1" x14ac:dyDescent="0.2">
      <c r="A129" s="291">
        <f t="shared" si="77"/>
        <v>126</v>
      </c>
      <c r="B129" s="286" t="s">
        <v>62</v>
      </c>
      <c r="C129" s="286" t="s">
        <v>177</v>
      </c>
      <c r="D129" s="487"/>
      <c r="E129" s="456"/>
      <c r="F129" s="287" t="s">
        <v>55</v>
      </c>
      <c r="G129" s="31">
        <v>42095</v>
      </c>
      <c r="H129" s="357" t="s">
        <v>303</v>
      </c>
      <c r="I129" s="469"/>
      <c r="J129" s="469"/>
      <c r="K129" s="439"/>
      <c r="L129" s="31">
        <v>42095</v>
      </c>
      <c r="M129" s="286" t="s">
        <v>47</v>
      </c>
      <c r="N129" s="175" t="s">
        <v>56</v>
      </c>
      <c r="O129" s="204" t="s">
        <v>305</v>
      </c>
      <c r="P129" s="31">
        <v>42185</v>
      </c>
      <c r="Q129" s="286" t="s">
        <v>584</v>
      </c>
      <c r="R129" s="291" t="s">
        <v>52</v>
      </c>
      <c r="S129" s="31">
        <v>42467</v>
      </c>
      <c r="T129" s="286" t="s">
        <v>579</v>
      </c>
      <c r="U129" s="308">
        <f t="shared" si="82"/>
        <v>1</v>
      </c>
      <c r="V129" s="495"/>
      <c r="W129" s="308">
        <f t="shared" si="83"/>
        <v>278</v>
      </c>
      <c r="X129" s="512" t="s">
        <v>334</v>
      </c>
    </row>
    <row r="130" spans="1:27" ht="100.5" customHeight="1" x14ac:dyDescent="0.2">
      <c r="A130" s="291">
        <f t="shared" si="77"/>
        <v>127</v>
      </c>
      <c r="B130" s="286" t="s">
        <v>62</v>
      </c>
      <c r="C130" s="286" t="s">
        <v>177</v>
      </c>
      <c r="D130" s="262" t="s">
        <v>177</v>
      </c>
      <c r="E130" s="295" t="s">
        <v>0</v>
      </c>
      <c r="F130" s="287" t="s">
        <v>55</v>
      </c>
      <c r="G130" s="31">
        <v>42095</v>
      </c>
      <c r="H130" s="357" t="s">
        <v>306</v>
      </c>
      <c r="I130" s="298" t="s">
        <v>75</v>
      </c>
      <c r="J130" s="298" t="s">
        <v>132</v>
      </c>
      <c r="K130" s="142" t="s">
        <v>76</v>
      </c>
      <c r="L130" s="31">
        <v>42095</v>
      </c>
      <c r="M130" s="286" t="s">
        <v>101</v>
      </c>
      <c r="N130" s="175" t="s">
        <v>56</v>
      </c>
      <c r="O130" s="204" t="s">
        <v>307</v>
      </c>
      <c r="P130" s="31">
        <v>42185</v>
      </c>
      <c r="Q130" s="286" t="s">
        <v>585</v>
      </c>
      <c r="R130" s="291" t="s">
        <v>52</v>
      </c>
      <c r="S130" s="31">
        <v>42467</v>
      </c>
      <c r="T130" s="286" t="s">
        <v>586</v>
      </c>
      <c r="U130" s="308">
        <f t="shared" ref="U130:U131" si="84">DAYS360(G130,L130,0)+1</f>
        <v>1</v>
      </c>
      <c r="V130" s="300" t="str">
        <f t="shared" ref="V130:V131" si="85">IF(U130&gt;7,"Inoportuno",(IF(U130&lt;0,"No ha formulado PM","Oportuno")))</f>
        <v>Oportuno</v>
      </c>
      <c r="W130" s="308">
        <f t="shared" si="83"/>
        <v>278</v>
      </c>
      <c r="X130" s="182" t="s">
        <v>334</v>
      </c>
    </row>
    <row r="131" spans="1:27" ht="114" customHeight="1" x14ac:dyDescent="0.2">
      <c r="A131" s="291">
        <f t="shared" si="77"/>
        <v>128</v>
      </c>
      <c r="B131" s="286" t="s">
        <v>62</v>
      </c>
      <c r="C131" s="286" t="s">
        <v>177</v>
      </c>
      <c r="D131" s="262" t="s">
        <v>177</v>
      </c>
      <c r="E131" s="295" t="s">
        <v>0</v>
      </c>
      <c r="F131" s="287" t="s">
        <v>55</v>
      </c>
      <c r="G131" s="31">
        <v>42095</v>
      </c>
      <c r="H131" s="357" t="s">
        <v>309</v>
      </c>
      <c r="I131" s="298" t="s">
        <v>75</v>
      </c>
      <c r="J131" s="298" t="s">
        <v>132</v>
      </c>
      <c r="K131" s="142" t="s">
        <v>76</v>
      </c>
      <c r="L131" s="31">
        <v>42095</v>
      </c>
      <c r="M131" s="286" t="s">
        <v>47</v>
      </c>
      <c r="N131" s="175" t="s">
        <v>56</v>
      </c>
      <c r="O131" s="204" t="s">
        <v>308</v>
      </c>
      <c r="P131" s="31">
        <v>42185</v>
      </c>
      <c r="Q131" s="286" t="s">
        <v>587</v>
      </c>
      <c r="R131" s="291" t="s">
        <v>52</v>
      </c>
      <c r="S131" s="31">
        <v>42467</v>
      </c>
      <c r="T131" s="286" t="s">
        <v>586</v>
      </c>
      <c r="U131" s="308">
        <f t="shared" si="84"/>
        <v>1</v>
      </c>
      <c r="V131" s="300" t="str">
        <f t="shared" si="85"/>
        <v>Oportuno</v>
      </c>
      <c r="W131" s="308">
        <f t="shared" si="83"/>
        <v>278</v>
      </c>
      <c r="X131" s="182" t="s">
        <v>334</v>
      </c>
    </row>
    <row r="132" spans="1:27" ht="312.75" customHeight="1" x14ac:dyDescent="0.2">
      <c r="A132" s="291">
        <f t="shared" si="77"/>
        <v>129</v>
      </c>
      <c r="B132" s="286" t="s">
        <v>46</v>
      </c>
      <c r="C132" s="286" t="s">
        <v>312</v>
      </c>
      <c r="D132" s="262" t="s">
        <v>40</v>
      </c>
      <c r="E132" s="295" t="s">
        <v>0</v>
      </c>
      <c r="F132" s="287" t="s">
        <v>56</v>
      </c>
      <c r="G132" s="31">
        <v>42116</v>
      </c>
      <c r="H132" s="353" t="s">
        <v>313</v>
      </c>
      <c r="I132" s="298" t="s">
        <v>75</v>
      </c>
      <c r="J132" s="298" t="s">
        <v>131</v>
      </c>
      <c r="K132" s="142" t="s">
        <v>76</v>
      </c>
      <c r="L132" s="31">
        <v>42228</v>
      </c>
      <c r="M132" s="286" t="s">
        <v>47</v>
      </c>
      <c r="N132" s="207">
        <v>42369</v>
      </c>
      <c r="O132" s="204" t="s">
        <v>384</v>
      </c>
      <c r="P132" s="31">
        <v>42369</v>
      </c>
      <c r="Q132" s="289" t="s">
        <v>654</v>
      </c>
      <c r="R132" s="291" t="s">
        <v>48</v>
      </c>
      <c r="S132" s="31"/>
      <c r="T132" s="291"/>
      <c r="U132" s="308">
        <f t="shared" ref="U132:U134" si="86">DAYS360(G132,L132,0)+1</f>
        <v>111</v>
      </c>
      <c r="V132" s="300" t="str">
        <f t="shared" ref="V132:V134" si="87">IF(U132&gt;7,"Inoportuno",(IF(U132&lt;0,"No ha formulado PM","Oportuno")))</f>
        <v>Inoportuno</v>
      </c>
      <c r="W132" s="308">
        <f t="shared" ref="W132:W134" si="88">DAYS360(P132,S132,0)+1</f>
        <v>-41759</v>
      </c>
      <c r="X132" s="182" t="s">
        <v>334</v>
      </c>
    </row>
    <row r="133" spans="1:27" ht="238.5" customHeight="1" x14ac:dyDescent="0.2">
      <c r="A133" s="291">
        <f t="shared" si="77"/>
        <v>130</v>
      </c>
      <c r="B133" s="286" t="s">
        <v>46</v>
      </c>
      <c r="C133" s="286" t="s">
        <v>312</v>
      </c>
      <c r="D133" s="262" t="s">
        <v>40</v>
      </c>
      <c r="E133" s="295" t="s">
        <v>0</v>
      </c>
      <c r="F133" s="287" t="s">
        <v>56</v>
      </c>
      <c r="G133" s="31">
        <v>42116</v>
      </c>
      <c r="H133" s="353" t="s">
        <v>314</v>
      </c>
      <c r="I133" s="298" t="s">
        <v>75</v>
      </c>
      <c r="J133" s="298" t="s">
        <v>131</v>
      </c>
      <c r="K133" s="142" t="s">
        <v>76</v>
      </c>
      <c r="L133" s="31">
        <v>42228</v>
      </c>
      <c r="M133" s="286" t="s">
        <v>47</v>
      </c>
      <c r="N133" s="176" t="s">
        <v>346</v>
      </c>
      <c r="O133" s="204" t="s">
        <v>345</v>
      </c>
      <c r="P133" s="31">
        <v>42277</v>
      </c>
      <c r="Q133" s="289" t="s">
        <v>655</v>
      </c>
      <c r="R133" s="291" t="s">
        <v>48</v>
      </c>
      <c r="S133" s="31"/>
      <c r="T133" s="291"/>
      <c r="U133" s="308">
        <f t="shared" si="86"/>
        <v>111</v>
      </c>
      <c r="V133" s="300" t="str">
        <f t="shared" si="87"/>
        <v>Inoportuno</v>
      </c>
      <c r="W133" s="308">
        <f t="shared" si="88"/>
        <v>-41669</v>
      </c>
      <c r="X133" s="182" t="s">
        <v>334</v>
      </c>
    </row>
    <row r="134" spans="1:27" ht="281.25" customHeight="1" x14ac:dyDescent="0.2">
      <c r="A134" s="291">
        <f t="shared" si="77"/>
        <v>131</v>
      </c>
      <c r="B134" s="286" t="s">
        <v>46</v>
      </c>
      <c r="C134" s="286" t="s">
        <v>312</v>
      </c>
      <c r="D134" s="262" t="s">
        <v>40</v>
      </c>
      <c r="E134" s="295" t="s">
        <v>0</v>
      </c>
      <c r="F134" s="287" t="s">
        <v>56</v>
      </c>
      <c r="G134" s="31">
        <v>42116</v>
      </c>
      <c r="H134" s="353" t="s">
        <v>315</v>
      </c>
      <c r="I134" s="298" t="s">
        <v>75</v>
      </c>
      <c r="J134" s="298" t="s">
        <v>131</v>
      </c>
      <c r="K134" s="142" t="s">
        <v>76</v>
      </c>
      <c r="L134" s="31">
        <v>42228</v>
      </c>
      <c r="M134" s="286" t="s">
        <v>47</v>
      </c>
      <c r="N134" s="176" t="s">
        <v>350</v>
      </c>
      <c r="O134" s="204" t="s">
        <v>347</v>
      </c>
      <c r="P134" s="31">
        <v>42460</v>
      </c>
      <c r="Q134" s="289" t="s">
        <v>656</v>
      </c>
      <c r="R134" s="291" t="s">
        <v>48</v>
      </c>
      <c r="S134" s="31"/>
      <c r="T134" s="291"/>
      <c r="U134" s="308">
        <f t="shared" si="86"/>
        <v>111</v>
      </c>
      <c r="V134" s="300" t="str">
        <f t="shared" si="87"/>
        <v>Inoportuno</v>
      </c>
      <c r="W134" s="308">
        <f t="shared" si="88"/>
        <v>-41849</v>
      </c>
      <c r="X134" s="182" t="s">
        <v>334</v>
      </c>
    </row>
    <row r="135" spans="1:27" ht="66.75" customHeight="1" x14ac:dyDescent="0.2">
      <c r="A135" s="291">
        <f t="shared" si="77"/>
        <v>132</v>
      </c>
      <c r="B135" s="295" t="s">
        <v>331</v>
      </c>
      <c r="C135" s="286" t="s">
        <v>395</v>
      </c>
      <c r="D135" s="262" t="s">
        <v>40</v>
      </c>
      <c r="E135" s="295" t="s">
        <v>0</v>
      </c>
      <c r="F135" s="287" t="s">
        <v>49</v>
      </c>
      <c r="G135" s="31">
        <v>42130</v>
      </c>
      <c r="H135" s="357" t="s">
        <v>316</v>
      </c>
      <c r="I135" s="298" t="s">
        <v>75</v>
      </c>
      <c r="J135" s="298" t="s">
        <v>131</v>
      </c>
      <c r="K135" s="142" t="s">
        <v>76</v>
      </c>
      <c r="L135" s="31">
        <v>42508</v>
      </c>
      <c r="M135" s="286" t="s">
        <v>101</v>
      </c>
      <c r="N135" s="286" t="s">
        <v>134</v>
      </c>
      <c r="O135" s="204" t="s">
        <v>559</v>
      </c>
      <c r="P135" s="31">
        <v>42531</v>
      </c>
      <c r="Q135" s="286"/>
      <c r="R135" s="291" t="s">
        <v>48</v>
      </c>
      <c r="S135" s="31"/>
      <c r="T135" s="291"/>
      <c r="U135" s="308">
        <f t="shared" ref="U135:U226" si="89">DAYS360(G135,L135,0)+1</f>
        <v>373</v>
      </c>
      <c r="V135" s="300" t="str">
        <f t="shared" si="71"/>
        <v>Inoportuno</v>
      </c>
      <c r="W135" s="308">
        <f t="shared" si="83"/>
        <v>-41919</v>
      </c>
      <c r="X135" s="182" t="s">
        <v>334</v>
      </c>
    </row>
    <row r="136" spans="1:27" ht="100.5" customHeight="1" x14ac:dyDescent="0.2">
      <c r="A136" s="291">
        <f t="shared" si="77"/>
        <v>133</v>
      </c>
      <c r="B136" s="295" t="s">
        <v>331</v>
      </c>
      <c r="C136" s="286" t="s">
        <v>395</v>
      </c>
      <c r="D136" s="262" t="s">
        <v>40</v>
      </c>
      <c r="E136" s="295" t="s">
        <v>0</v>
      </c>
      <c r="F136" s="287" t="s">
        <v>49</v>
      </c>
      <c r="G136" s="31">
        <v>42130</v>
      </c>
      <c r="H136" s="286" t="s">
        <v>377</v>
      </c>
      <c r="I136" s="298" t="s">
        <v>75</v>
      </c>
      <c r="J136" s="298" t="s">
        <v>131</v>
      </c>
      <c r="K136" s="142" t="s">
        <v>76</v>
      </c>
      <c r="L136" s="31">
        <v>42508</v>
      </c>
      <c r="M136" s="286" t="s">
        <v>101</v>
      </c>
      <c r="N136" s="225" t="s">
        <v>560</v>
      </c>
      <c r="O136" s="366" t="s">
        <v>561</v>
      </c>
      <c r="P136" s="31">
        <v>42531</v>
      </c>
      <c r="Q136" s="286"/>
      <c r="R136" s="291" t="s">
        <v>48</v>
      </c>
      <c r="S136" s="31"/>
      <c r="T136" s="291"/>
      <c r="U136" s="308">
        <f t="shared" si="89"/>
        <v>373</v>
      </c>
      <c r="V136" s="300" t="str">
        <f t="shared" si="71"/>
        <v>Inoportuno</v>
      </c>
      <c r="W136" s="308">
        <f t="shared" si="83"/>
        <v>-41919</v>
      </c>
      <c r="X136" s="182" t="s">
        <v>334</v>
      </c>
    </row>
    <row r="137" spans="1:27" ht="96" customHeight="1" x14ac:dyDescent="0.2">
      <c r="A137" s="291">
        <f t="shared" si="77"/>
        <v>134</v>
      </c>
      <c r="B137" s="295" t="s">
        <v>331</v>
      </c>
      <c r="C137" s="286" t="s">
        <v>395</v>
      </c>
      <c r="D137" s="262" t="s">
        <v>40</v>
      </c>
      <c r="E137" s="295" t="s">
        <v>0</v>
      </c>
      <c r="F137" s="287" t="s">
        <v>49</v>
      </c>
      <c r="G137" s="31">
        <v>42130</v>
      </c>
      <c r="H137" s="286" t="s">
        <v>317</v>
      </c>
      <c r="I137" s="298" t="s">
        <v>75</v>
      </c>
      <c r="J137" s="298" t="s">
        <v>132</v>
      </c>
      <c r="K137" s="142" t="s">
        <v>76</v>
      </c>
      <c r="L137" s="31">
        <v>42130</v>
      </c>
      <c r="M137" s="286" t="s">
        <v>101</v>
      </c>
      <c r="N137" s="286" t="s">
        <v>516</v>
      </c>
      <c r="O137" s="204" t="s">
        <v>517</v>
      </c>
      <c r="P137" s="31">
        <v>42130</v>
      </c>
      <c r="Q137" s="204" t="s">
        <v>517</v>
      </c>
      <c r="R137" s="291" t="s">
        <v>52</v>
      </c>
      <c r="S137" s="31">
        <v>41765</v>
      </c>
      <c r="T137" s="204" t="s">
        <v>517</v>
      </c>
      <c r="U137" s="308">
        <f t="shared" si="89"/>
        <v>1</v>
      </c>
      <c r="V137" s="300" t="str">
        <f t="shared" si="71"/>
        <v>Oportuno</v>
      </c>
      <c r="W137" s="308">
        <f t="shared" si="83"/>
        <v>-359</v>
      </c>
      <c r="X137" s="182" t="s">
        <v>334</v>
      </c>
    </row>
    <row r="138" spans="1:27" ht="72" customHeight="1" x14ac:dyDescent="0.2">
      <c r="A138" s="291">
        <f t="shared" si="77"/>
        <v>135</v>
      </c>
      <c r="B138" s="295" t="s">
        <v>331</v>
      </c>
      <c r="C138" s="286" t="s">
        <v>395</v>
      </c>
      <c r="D138" s="262" t="s">
        <v>40</v>
      </c>
      <c r="E138" s="295" t="s">
        <v>0</v>
      </c>
      <c r="F138" s="287" t="s">
        <v>49</v>
      </c>
      <c r="G138" s="31">
        <v>42130</v>
      </c>
      <c r="H138" s="286" t="s">
        <v>318</v>
      </c>
      <c r="I138" s="298" t="s">
        <v>75</v>
      </c>
      <c r="J138" s="298" t="s">
        <v>132</v>
      </c>
      <c r="K138" s="142" t="s">
        <v>76</v>
      </c>
      <c r="L138" s="31">
        <v>42130</v>
      </c>
      <c r="M138" s="286" t="s">
        <v>101</v>
      </c>
      <c r="N138" s="286" t="s">
        <v>516</v>
      </c>
      <c r="O138" s="204" t="s">
        <v>517</v>
      </c>
      <c r="P138" s="31">
        <v>42130</v>
      </c>
      <c r="Q138" s="204" t="s">
        <v>517</v>
      </c>
      <c r="R138" s="291" t="s">
        <v>52</v>
      </c>
      <c r="S138" s="31">
        <v>41765</v>
      </c>
      <c r="T138" s="204" t="s">
        <v>517</v>
      </c>
      <c r="U138" s="308">
        <f t="shared" si="89"/>
        <v>1</v>
      </c>
      <c r="V138" s="300" t="str">
        <f t="shared" si="71"/>
        <v>Oportuno</v>
      </c>
      <c r="W138" s="308">
        <f t="shared" si="83"/>
        <v>-359</v>
      </c>
      <c r="X138" s="182" t="s">
        <v>334</v>
      </c>
    </row>
    <row r="139" spans="1:27" ht="69" customHeight="1" x14ac:dyDescent="0.2">
      <c r="A139" s="291">
        <f t="shared" si="77"/>
        <v>136</v>
      </c>
      <c r="B139" s="295" t="s">
        <v>331</v>
      </c>
      <c r="C139" s="286" t="s">
        <v>395</v>
      </c>
      <c r="D139" s="262" t="s">
        <v>40</v>
      </c>
      <c r="E139" s="295" t="s">
        <v>0</v>
      </c>
      <c r="F139" s="287" t="s">
        <v>49</v>
      </c>
      <c r="G139" s="31">
        <v>42130</v>
      </c>
      <c r="H139" s="286" t="s">
        <v>378</v>
      </c>
      <c r="I139" s="298" t="s">
        <v>75</v>
      </c>
      <c r="J139" s="298" t="s">
        <v>131</v>
      </c>
      <c r="K139" s="142" t="s">
        <v>76</v>
      </c>
      <c r="L139" s="31">
        <v>42508</v>
      </c>
      <c r="M139" s="286" t="s">
        <v>101</v>
      </c>
      <c r="N139" s="286" t="s">
        <v>134</v>
      </c>
      <c r="O139" s="366" t="s">
        <v>562</v>
      </c>
      <c r="P139" s="31">
        <v>42531</v>
      </c>
      <c r="Q139" s="286"/>
      <c r="R139" s="291" t="s">
        <v>48</v>
      </c>
      <c r="S139" s="31"/>
      <c r="T139" s="291"/>
      <c r="U139" s="308">
        <f t="shared" si="89"/>
        <v>373</v>
      </c>
      <c r="V139" s="300" t="str">
        <f t="shared" si="71"/>
        <v>Inoportuno</v>
      </c>
      <c r="W139" s="308">
        <f t="shared" si="83"/>
        <v>-41919</v>
      </c>
      <c r="X139" s="182" t="s">
        <v>334</v>
      </c>
    </row>
    <row r="140" spans="1:27" ht="102" customHeight="1" x14ac:dyDescent="0.2">
      <c r="A140" s="291">
        <v>137</v>
      </c>
      <c r="B140" s="286" t="s">
        <v>2</v>
      </c>
      <c r="C140" s="286" t="s">
        <v>2</v>
      </c>
      <c r="D140" s="293" t="s">
        <v>40</v>
      </c>
      <c r="E140" s="295" t="s">
        <v>0</v>
      </c>
      <c r="F140" s="357" t="s">
        <v>55</v>
      </c>
      <c r="G140" s="31">
        <v>42234</v>
      </c>
      <c r="H140" s="357" t="s">
        <v>353</v>
      </c>
      <c r="I140" s="298" t="s">
        <v>75</v>
      </c>
      <c r="J140" s="298" t="s">
        <v>131</v>
      </c>
      <c r="K140" s="305" t="s">
        <v>76</v>
      </c>
      <c r="L140" s="31">
        <v>42243</v>
      </c>
      <c r="M140" s="286" t="s">
        <v>47</v>
      </c>
      <c r="N140" s="176" t="s">
        <v>351</v>
      </c>
      <c r="O140" s="204" t="s">
        <v>355</v>
      </c>
      <c r="P140" s="178">
        <v>42248</v>
      </c>
      <c r="Q140" s="286" t="s">
        <v>476</v>
      </c>
      <c r="R140" s="291" t="s">
        <v>48</v>
      </c>
      <c r="S140" s="31"/>
      <c r="T140" s="291"/>
      <c r="U140" s="308"/>
      <c r="V140" s="300"/>
      <c r="W140" s="308">
        <f t="shared" ref="W140" si="90">DAYS360(P140,S140,0)+1</f>
        <v>-41640</v>
      </c>
      <c r="X140" s="303" t="s">
        <v>334</v>
      </c>
    </row>
    <row r="141" spans="1:27" ht="117.75" customHeight="1" x14ac:dyDescent="0.2">
      <c r="A141" s="291">
        <f t="shared" si="77"/>
        <v>138</v>
      </c>
      <c r="B141" s="286" t="s">
        <v>2</v>
      </c>
      <c r="C141" s="286" t="s">
        <v>2</v>
      </c>
      <c r="D141" s="293" t="s">
        <v>40</v>
      </c>
      <c r="E141" s="295" t="s">
        <v>0</v>
      </c>
      <c r="F141" s="357" t="s">
        <v>55</v>
      </c>
      <c r="G141" s="31">
        <v>42234</v>
      </c>
      <c r="H141" s="357" t="s">
        <v>354</v>
      </c>
      <c r="I141" s="298" t="s">
        <v>75</v>
      </c>
      <c r="J141" s="298" t="s">
        <v>131</v>
      </c>
      <c r="K141" s="305" t="s">
        <v>76</v>
      </c>
      <c r="L141" s="31">
        <v>42243</v>
      </c>
      <c r="M141" s="286" t="s">
        <v>47</v>
      </c>
      <c r="N141" s="176" t="s">
        <v>351</v>
      </c>
      <c r="O141" s="204" t="s">
        <v>356</v>
      </c>
      <c r="P141" s="178">
        <v>42369</v>
      </c>
      <c r="Q141" s="365" t="s">
        <v>376</v>
      </c>
      <c r="R141" s="291" t="s">
        <v>48</v>
      </c>
      <c r="S141" s="31"/>
      <c r="T141" s="291"/>
      <c r="U141" s="308"/>
      <c r="V141" s="300"/>
      <c r="W141" s="308">
        <f t="shared" ref="W141:W142" si="91">DAYS360(P141,S141,0)+1</f>
        <v>-41759</v>
      </c>
      <c r="X141" s="303" t="s">
        <v>334</v>
      </c>
    </row>
    <row r="142" spans="1:27" ht="157.5" customHeight="1" x14ac:dyDescent="0.2">
      <c r="A142" s="291">
        <f t="shared" si="77"/>
        <v>139</v>
      </c>
      <c r="B142" s="286" t="s">
        <v>2</v>
      </c>
      <c r="C142" s="286" t="s">
        <v>2</v>
      </c>
      <c r="D142" s="457" t="s">
        <v>40</v>
      </c>
      <c r="E142" s="454" t="s">
        <v>0</v>
      </c>
      <c r="F142" s="357" t="s">
        <v>55</v>
      </c>
      <c r="G142" s="31">
        <v>42234</v>
      </c>
      <c r="H142" s="357" t="s">
        <v>357</v>
      </c>
      <c r="I142" s="467" t="s">
        <v>75</v>
      </c>
      <c r="J142" s="467" t="s">
        <v>131</v>
      </c>
      <c r="K142" s="438" t="s">
        <v>76</v>
      </c>
      <c r="L142" s="31">
        <v>42243</v>
      </c>
      <c r="M142" s="286" t="s">
        <v>101</v>
      </c>
      <c r="N142" s="176" t="s">
        <v>351</v>
      </c>
      <c r="O142" s="204" t="s">
        <v>358</v>
      </c>
      <c r="P142" s="178">
        <v>42369</v>
      </c>
      <c r="Q142" s="286" t="s">
        <v>477</v>
      </c>
      <c r="R142" s="291" t="s">
        <v>48</v>
      </c>
      <c r="S142" s="31"/>
      <c r="T142" s="291"/>
      <c r="U142" s="503">
        <f t="shared" ref="U142:U144" si="92">DAYS360(G142,L142,0)+1</f>
        <v>10</v>
      </c>
      <c r="V142" s="494" t="str">
        <f t="shared" ref="V142:V144" si="93">IF(U142&gt;15,"Inoportuno",(IF(U142&lt;0,"No ha formulado PM","Oportuno")))</f>
        <v>Oportuno</v>
      </c>
      <c r="W142" s="308">
        <f t="shared" si="91"/>
        <v>-41759</v>
      </c>
      <c r="X142" s="303" t="s">
        <v>334</v>
      </c>
    </row>
    <row r="143" spans="1:27" ht="117.75" customHeight="1" x14ac:dyDescent="0.2">
      <c r="A143" s="291">
        <f t="shared" si="77"/>
        <v>140</v>
      </c>
      <c r="B143" s="286" t="s">
        <v>2</v>
      </c>
      <c r="C143" s="286" t="s">
        <v>2</v>
      </c>
      <c r="D143" s="459"/>
      <c r="E143" s="456"/>
      <c r="F143" s="357" t="s">
        <v>55</v>
      </c>
      <c r="G143" s="31">
        <v>42234</v>
      </c>
      <c r="H143" s="357" t="s">
        <v>357</v>
      </c>
      <c r="I143" s="469"/>
      <c r="J143" s="469"/>
      <c r="K143" s="439"/>
      <c r="L143" s="31">
        <v>42243</v>
      </c>
      <c r="M143" s="286" t="s">
        <v>47</v>
      </c>
      <c r="N143" s="176" t="s">
        <v>351</v>
      </c>
      <c r="O143" s="204" t="s">
        <v>359</v>
      </c>
      <c r="P143" s="178">
        <v>42369</v>
      </c>
      <c r="Q143" s="286"/>
      <c r="R143" s="291" t="s">
        <v>48</v>
      </c>
      <c r="S143" s="31"/>
      <c r="T143" s="291"/>
      <c r="U143" s="504"/>
      <c r="V143" s="495"/>
      <c r="W143" s="308">
        <f t="shared" ref="W143" si="94">DAYS360(P143,S143,0)+1</f>
        <v>-41759</v>
      </c>
      <c r="X143" s="303" t="s">
        <v>334</v>
      </c>
    </row>
    <row r="144" spans="1:27" s="187" customFormat="1" ht="64.5" customHeight="1" x14ac:dyDescent="0.2">
      <c r="A144" s="291">
        <f t="shared" si="77"/>
        <v>141</v>
      </c>
      <c r="B144" s="304" t="s">
        <v>59</v>
      </c>
      <c r="C144" s="304" t="s">
        <v>478</v>
      </c>
      <c r="D144" s="262" t="s">
        <v>40</v>
      </c>
      <c r="E144" s="3" t="s">
        <v>0</v>
      </c>
      <c r="F144" s="357" t="s">
        <v>55</v>
      </c>
      <c r="G144" s="179">
        <v>42277</v>
      </c>
      <c r="H144" s="304" t="s">
        <v>364</v>
      </c>
      <c r="I144" s="304" t="s">
        <v>75</v>
      </c>
      <c r="J144" s="184" t="s">
        <v>131</v>
      </c>
      <c r="K144" s="185" t="s">
        <v>76</v>
      </c>
      <c r="L144" s="179">
        <v>42291</v>
      </c>
      <c r="M144" s="304" t="s">
        <v>101</v>
      </c>
      <c r="N144" s="304" t="s">
        <v>366</v>
      </c>
      <c r="O144" s="204" t="s">
        <v>479</v>
      </c>
      <c r="P144" s="179">
        <v>42460</v>
      </c>
      <c r="Q144" s="304"/>
      <c r="R144" s="183" t="s">
        <v>48</v>
      </c>
      <c r="S144" s="179"/>
      <c r="T144" s="183"/>
      <c r="U144" s="336">
        <f t="shared" si="92"/>
        <v>15</v>
      </c>
      <c r="V144" s="186" t="str">
        <f t="shared" si="93"/>
        <v>Oportuno</v>
      </c>
      <c r="W144" s="336">
        <f t="shared" ref="W144" si="95">DAYS360(P144,S144,0)+1</f>
        <v>-41849</v>
      </c>
      <c r="X144" s="303" t="s">
        <v>334</v>
      </c>
      <c r="Y144" s="137"/>
      <c r="Z144" s="367"/>
      <c r="AA144" s="367"/>
    </row>
    <row r="145" spans="1:24" ht="66.75" customHeight="1" x14ac:dyDescent="0.2">
      <c r="A145" s="291">
        <v>142</v>
      </c>
      <c r="B145" s="286" t="s">
        <v>263</v>
      </c>
      <c r="C145" s="286" t="s">
        <v>367</v>
      </c>
      <c r="D145" s="284" t="s">
        <v>43</v>
      </c>
      <c r="E145" s="295" t="s">
        <v>0</v>
      </c>
      <c r="F145" s="287" t="s">
        <v>53</v>
      </c>
      <c r="G145" s="31">
        <v>42323</v>
      </c>
      <c r="H145" s="176" t="s">
        <v>368</v>
      </c>
      <c r="I145" s="287" t="s">
        <v>75</v>
      </c>
      <c r="J145" s="288" t="s">
        <v>131</v>
      </c>
      <c r="K145" s="142" t="s">
        <v>76</v>
      </c>
      <c r="L145" s="31">
        <v>42331</v>
      </c>
      <c r="M145" s="286" t="s">
        <v>47</v>
      </c>
      <c r="N145" s="204" t="s">
        <v>370</v>
      </c>
      <c r="O145" s="176" t="s">
        <v>371</v>
      </c>
      <c r="P145" s="203" t="s">
        <v>372</v>
      </c>
      <c r="Q145" s="286" t="s">
        <v>676</v>
      </c>
      <c r="R145" s="291" t="s">
        <v>48</v>
      </c>
      <c r="S145" s="31"/>
      <c r="T145" s="291"/>
      <c r="U145" s="308">
        <f t="shared" ref="U145" si="96">DAYS360(G145,L145,0)+1</f>
        <v>9</v>
      </c>
      <c r="V145" s="300" t="str">
        <f t="shared" ref="V145" si="97">IF(U145&gt;15,"Inoportuno",(IF(U145&lt;0,"No ha formulado PM","Oportuno")))</f>
        <v>Oportuno</v>
      </c>
      <c r="W145" s="308" t="e">
        <f t="shared" ref="W145" si="98">DAYS360(P145,S145,0)+1</f>
        <v>#VALUE!</v>
      </c>
      <c r="X145" s="299"/>
    </row>
    <row r="146" spans="1:24" ht="63.75" customHeight="1" x14ac:dyDescent="0.2">
      <c r="A146" s="291">
        <f t="shared" si="77"/>
        <v>143</v>
      </c>
      <c r="B146" s="286" t="s">
        <v>263</v>
      </c>
      <c r="C146" s="286" t="s">
        <v>367</v>
      </c>
      <c r="D146" s="284" t="s">
        <v>43</v>
      </c>
      <c r="E146" s="295" t="s">
        <v>0</v>
      </c>
      <c r="F146" s="287" t="s">
        <v>53</v>
      </c>
      <c r="G146" s="31">
        <v>42323</v>
      </c>
      <c r="H146" s="176" t="s">
        <v>369</v>
      </c>
      <c r="I146" s="287" t="s">
        <v>75</v>
      </c>
      <c r="J146" s="288" t="s">
        <v>131</v>
      </c>
      <c r="K146" s="142" t="s">
        <v>76</v>
      </c>
      <c r="L146" s="31">
        <v>42331</v>
      </c>
      <c r="M146" s="286" t="s">
        <v>47</v>
      </c>
      <c r="N146" s="204" t="s">
        <v>148</v>
      </c>
      <c r="O146" s="176" t="s">
        <v>373</v>
      </c>
      <c r="P146" s="31">
        <v>42369</v>
      </c>
      <c r="Q146" s="286" t="s">
        <v>677</v>
      </c>
      <c r="R146" s="291" t="s">
        <v>48</v>
      </c>
      <c r="S146" s="31"/>
      <c r="T146" s="291"/>
      <c r="U146" s="308">
        <f t="shared" ref="U146:U180" si="99">DAYS360(G146,L146,0)+1</f>
        <v>9</v>
      </c>
      <c r="V146" s="300" t="str">
        <f t="shared" ref="V146:V180" si="100">IF(U146&gt;15,"Inoportuno",(IF(U146&lt;0,"No ha formulado PM","Oportuno")))</f>
        <v>Oportuno</v>
      </c>
      <c r="W146" s="308">
        <f t="shared" ref="W146:W180" si="101">DAYS360(P146,S146,0)+1</f>
        <v>-41759</v>
      </c>
      <c r="X146" s="299"/>
    </row>
    <row r="147" spans="1:24" ht="189" customHeight="1" x14ac:dyDescent="0.2">
      <c r="A147" s="291">
        <v>144</v>
      </c>
      <c r="B147" s="286" t="s">
        <v>58</v>
      </c>
      <c r="C147" s="286" t="s">
        <v>374</v>
      </c>
      <c r="D147" s="457" t="s">
        <v>40</v>
      </c>
      <c r="E147" s="454" t="s">
        <v>0</v>
      </c>
      <c r="F147" s="287" t="s">
        <v>57</v>
      </c>
      <c r="G147" s="31">
        <v>42341</v>
      </c>
      <c r="H147" s="176" t="s">
        <v>480</v>
      </c>
      <c r="I147" s="464" t="s">
        <v>75</v>
      </c>
      <c r="J147" s="467" t="s">
        <v>131</v>
      </c>
      <c r="K147" s="438" t="s">
        <v>76</v>
      </c>
      <c r="L147" s="31">
        <v>42348</v>
      </c>
      <c r="M147" s="286" t="s">
        <v>101</v>
      </c>
      <c r="N147" s="204" t="s">
        <v>409</v>
      </c>
      <c r="O147" s="204" t="s">
        <v>481</v>
      </c>
      <c r="P147" s="31">
        <v>42475</v>
      </c>
      <c r="Q147" s="286"/>
      <c r="R147" s="291" t="s">
        <v>48</v>
      </c>
      <c r="S147" s="31"/>
      <c r="T147" s="291"/>
      <c r="U147" s="308">
        <f t="shared" si="99"/>
        <v>8</v>
      </c>
      <c r="V147" s="300" t="str">
        <f t="shared" ref="V147:V154" si="102">IF(U147&gt;7,"Inoportuno",(IF(U147&lt;0,"No ha formulado PM","Oportuno")))</f>
        <v>Inoportuno</v>
      </c>
      <c r="W147" s="308">
        <f t="shared" si="101"/>
        <v>-41864</v>
      </c>
      <c r="X147" s="299"/>
    </row>
    <row r="148" spans="1:24" ht="189" customHeight="1" x14ac:dyDescent="0.2">
      <c r="A148" s="291">
        <f t="shared" si="77"/>
        <v>145</v>
      </c>
      <c r="B148" s="286" t="s">
        <v>58</v>
      </c>
      <c r="C148" s="286" t="s">
        <v>374</v>
      </c>
      <c r="D148" s="459"/>
      <c r="E148" s="456"/>
      <c r="F148" s="287" t="s">
        <v>57</v>
      </c>
      <c r="G148" s="31">
        <v>42341</v>
      </c>
      <c r="H148" s="176" t="s">
        <v>480</v>
      </c>
      <c r="I148" s="466"/>
      <c r="J148" s="469"/>
      <c r="K148" s="439"/>
      <c r="L148" s="31">
        <v>42348</v>
      </c>
      <c r="M148" s="286" t="s">
        <v>47</v>
      </c>
      <c r="N148" s="204" t="s">
        <v>409</v>
      </c>
      <c r="O148" s="204" t="s">
        <v>411</v>
      </c>
      <c r="P148" s="31">
        <v>42109</v>
      </c>
      <c r="Q148" s="286"/>
      <c r="R148" s="291" t="s">
        <v>48</v>
      </c>
      <c r="S148" s="31"/>
      <c r="T148" s="291"/>
      <c r="U148" s="308">
        <f t="shared" si="99"/>
        <v>8</v>
      </c>
      <c r="V148" s="300" t="str">
        <f t="shared" si="102"/>
        <v>Inoportuno</v>
      </c>
      <c r="W148" s="308">
        <f t="shared" si="101"/>
        <v>-41504</v>
      </c>
      <c r="X148" s="299"/>
    </row>
    <row r="149" spans="1:24" ht="99" customHeight="1" x14ac:dyDescent="0.2">
      <c r="A149" s="291">
        <v>146</v>
      </c>
      <c r="B149" s="286" t="s">
        <v>58</v>
      </c>
      <c r="C149" s="286" t="s">
        <v>374</v>
      </c>
      <c r="D149" s="457" t="s">
        <v>40</v>
      </c>
      <c r="E149" s="454" t="s">
        <v>0</v>
      </c>
      <c r="F149" s="287" t="s">
        <v>57</v>
      </c>
      <c r="G149" s="31">
        <v>42341</v>
      </c>
      <c r="H149" s="176" t="s">
        <v>375</v>
      </c>
      <c r="I149" s="464" t="s">
        <v>75</v>
      </c>
      <c r="J149" s="467" t="s">
        <v>131</v>
      </c>
      <c r="K149" s="438" t="s">
        <v>76</v>
      </c>
      <c r="L149" s="31">
        <v>42348</v>
      </c>
      <c r="M149" s="286" t="s">
        <v>101</v>
      </c>
      <c r="N149" s="204" t="s">
        <v>409</v>
      </c>
      <c r="O149" s="176" t="s">
        <v>436</v>
      </c>
      <c r="P149" s="31">
        <v>42460</v>
      </c>
      <c r="Q149" s="286"/>
      <c r="R149" s="291" t="s">
        <v>48</v>
      </c>
      <c r="S149" s="31"/>
      <c r="T149" s="291"/>
      <c r="U149" s="308">
        <f t="shared" si="99"/>
        <v>8</v>
      </c>
      <c r="V149" s="300" t="str">
        <f t="shared" si="102"/>
        <v>Inoportuno</v>
      </c>
      <c r="W149" s="308">
        <f t="shared" si="101"/>
        <v>-41849</v>
      </c>
      <c r="X149" s="299"/>
    </row>
    <row r="150" spans="1:24" ht="94.5" customHeight="1" x14ac:dyDescent="0.2">
      <c r="A150" s="291">
        <f t="shared" ref="A150:A181" si="103">+A149+1</f>
        <v>147</v>
      </c>
      <c r="B150" s="286" t="s">
        <v>58</v>
      </c>
      <c r="C150" s="286" t="s">
        <v>374</v>
      </c>
      <c r="D150" s="458"/>
      <c r="E150" s="455"/>
      <c r="F150" s="287" t="s">
        <v>57</v>
      </c>
      <c r="G150" s="31">
        <v>42341</v>
      </c>
      <c r="H150" s="176" t="s">
        <v>375</v>
      </c>
      <c r="I150" s="465"/>
      <c r="J150" s="468"/>
      <c r="K150" s="443"/>
      <c r="L150" s="31">
        <v>42348</v>
      </c>
      <c r="M150" s="286" t="s">
        <v>101</v>
      </c>
      <c r="N150" s="204" t="s">
        <v>409</v>
      </c>
      <c r="O150" s="204" t="s">
        <v>482</v>
      </c>
      <c r="P150" s="31">
        <v>42460</v>
      </c>
      <c r="Q150" s="286"/>
      <c r="R150" s="291" t="s">
        <v>48</v>
      </c>
      <c r="S150" s="31"/>
      <c r="T150" s="291"/>
      <c r="U150" s="308">
        <f t="shared" si="99"/>
        <v>8</v>
      </c>
      <c r="V150" s="300" t="str">
        <f t="shared" si="102"/>
        <v>Inoportuno</v>
      </c>
      <c r="W150" s="308">
        <f t="shared" si="101"/>
        <v>-41849</v>
      </c>
      <c r="X150" s="299"/>
    </row>
    <row r="151" spans="1:24" ht="87.75" customHeight="1" x14ac:dyDescent="0.2">
      <c r="A151" s="291">
        <f t="shared" si="103"/>
        <v>148</v>
      </c>
      <c r="B151" s="286" t="s">
        <v>58</v>
      </c>
      <c r="C151" s="286" t="s">
        <v>374</v>
      </c>
      <c r="D151" s="458"/>
      <c r="E151" s="455"/>
      <c r="F151" s="287" t="s">
        <v>57</v>
      </c>
      <c r="G151" s="31">
        <v>42341</v>
      </c>
      <c r="H151" s="176" t="s">
        <v>375</v>
      </c>
      <c r="I151" s="465"/>
      <c r="J151" s="468"/>
      <c r="K151" s="443"/>
      <c r="L151" s="31">
        <v>42348</v>
      </c>
      <c r="M151" s="286" t="s">
        <v>47</v>
      </c>
      <c r="N151" s="204" t="s">
        <v>409</v>
      </c>
      <c r="O151" s="204" t="s">
        <v>483</v>
      </c>
      <c r="P151" s="31">
        <v>42460</v>
      </c>
      <c r="Q151" s="286"/>
      <c r="R151" s="291" t="s">
        <v>48</v>
      </c>
      <c r="S151" s="31"/>
      <c r="T151" s="291"/>
      <c r="U151" s="308">
        <f t="shared" si="99"/>
        <v>8</v>
      </c>
      <c r="V151" s="300" t="str">
        <f t="shared" si="102"/>
        <v>Inoportuno</v>
      </c>
      <c r="W151" s="308">
        <f t="shared" si="101"/>
        <v>-41849</v>
      </c>
      <c r="X151" s="299"/>
    </row>
    <row r="152" spans="1:24" ht="87.75" customHeight="1" x14ac:dyDescent="0.2">
      <c r="A152" s="291">
        <f t="shared" si="103"/>
        <v>149</v>
      </c>
      <c r="B152" s="286" t="s">
        <v>58</v>
      </c>
      <c r="C152" s="286" t="s">
        <v>374</v>
      </c>
      <c r="D152" s="458"/>
      <c r="E152" s="455"/>
      <c r="F152" s="287" t="s">
        <v>57</v>
      </c>
      <c r="G152" s="31">
        <v>42341</v>
      </c>
      <c r="H152" s="176" t="s">
        <v>375</v>
      </c>
      <c r="I152" s="465"/>
      <c r="J152" s="468"/>
      <c r="K152" s="443"/>
      <c r="L152" s="31">
        <v>42348</v>
      </c>
      <c r="M152" s="286" t="s">
        <v>47</v>
      </c>
      <c r="N152" s="204" t="s">
        <v>409</v>
      </c>
      <c r="O152" s="204" t="s">
        <v>410</v>
      </c>
      <c r="P152" s="31">
        <v>42460</v>
      </c>
      <c r="Q152" s="286"/>
      <c r="R152" s="291" t="s">
        <v>48</v>
      </c>
      <c r="S152" s="31"/>
      <c r="T152" s="291"/>
      <c r="U152" s="308">
        <f t="shared" si="99"/>
        <v>8</v>
      </c>
      <c r="V152" s="300" t="str">
        <f t="shared" si="102"/>
        <v>Inoportuno</v>
      </c>
      <c r="W152" s="308">
        <f t="shared" si="101"/>
        <v>-41849</v>
      </c>
      <c r="X152" s="299"/>
    </row>
    <row r="153" spans="1:24" ht="87.75" customHeight="1" x14ac:dyDescent="0.2">
      <c r="A153" s="291">
        <f t="shared" si="103"/>
        <v>150</v>
      </c>
      <c r="B153" s="286" t="s">
        <v>58</v>
      </c>
      <c r="C153" s="286" t="s">
        <v>374</v>
      </c>
      <c r="D153" s="458"/>
      <c r="E153" s="455"/>
      <c r="F153" s="287" t="s">
        <v>57</v>
      </c>
      <c r="G153" s="31">
        <v>42341</v>
      </c>
      <c r="H153" s="176" t="s">
        <v>375</v>
      </c>
      <c r="I153" s="465"/>
      <c r="J153" s="468"/>
      <c r="K153" s="443"/>
      <c r="L153" s="31">
        <v>42348</v>
      </c>
      <c r="M153" s="286" t="s">
        <v>47</v>
      </c>
      <c r="N153" s="204" t="s">
        <v>409</v>
      </c>
      <c r="O153" s="204" t="s">
        <v>422</v>
      </c>
      <c r="P153" s="31">
        <v>42400</v>
      </c>
      <c r="Q153" s="286" t="s">
        <v>484</v>
      </c>
      <c r="R153" s="291" t="s">
        <v>48</v>
      </c>
      <c r="S153" s="31"/>
      <c r="T153" s="291"/>
      <c r="U153" s="308">
        <f t="shared" si="99"/>
        <v>8</v>
      </c>
      <c r="V153" s="300" t="str">
        <f t="shared" si="102"/>
        <v>Inoportuno</v>
      </c>
      <c r="W153" s="308">
        <f t="shared" si="101"/>
        <v>-41789</v>
      </c>
      <c r="X153" s="299"/>
    </row>
    <row r="154" spans="1:24" ht="87.75" customHeight="1" x14ac:dyDescent="0.2">
      <c r="A154" s="291">
        <f t="shared" si="103"/>
        <v>151</v>
      </c>
      <c r="B154" s="286" t="s">
        <v>58</v>
      </c>
      <c r="C154" s="286" t="s">
        <v>374</v>
      </c>
      <c r="D154" s="459"/>
      <c r="E154" s="456"/>
      <c r="F154" s="287" t="s">
        <v>57</v>
      </c>
      <c r="G154" s="31">
        <v>42341</v>
      </c>
      <c r="H154" s="176" t="s">
        <v>375</v>
      </c>
      <c r="I154" s="466"/>
      <c r="J154" s="469"/>
      <c r="K154" s="439"/>
      <c r="L154" s="31">
        <v>42348</v>
      </c>
      <c r="M154" s="286" t="s">
        <v>47</v>
      </c>
      <c r="N154" s="204" t="s">
        <v>409</v>
      </c>
      <c r="O154" s="204" t="s">
        <v>485</v>
      </c>
      <c r="P154" s="31">
        <v>42460</v>
      </c>
      <c r="Q154" s="286"/>
      <c r="R154" s="291" t="s">
        <v>48</v>
      </c>
      <c r="S154" s="31"/>
      <c r="T154" s="291"/>
      <c r="U154" s="308">
        <f t="shared" si="99"/>
        <v>8</v>
      </c>
      <c r="V154" s="300" t="str">
        <f t="shared" si="102"/>
        <v>Inoportuno</v>
      </c>
      <c r="W154" s="308">
        <f t="shared" si="101"/>
        <v>-41849</v>
      </c>
      <c r="X154" s="299"/>
    </row>
    <row r="155" spans="1:24" ht="87.75" customHeight="1" x14ac:dyDescent="0.2">
      <c r="A155" s="291">
        <f t="shared" si="103"/>
        <v>152</v>
      </c>
      <c r="B155" s="286" t="s">
        <v>9</v>
      </c>
      <c r="C155" s="286" t="s">
        <v>392</v>
      </c>
      <c r="D155" s="284" t="s">
        <v>40</v>
      </c>
      <c r="E155" s="295" t="s">
        <v>0</v>
      </c>
      <c r="F155" s="287" t="s">
        <v>53</v>
      </c>
      <c r="G155" s="31">
        <v>42349</v>
      </c>
      <c r="H155" s="176" t="s">
        <v>391</v>
      </c>
      <c r="I155" s="294" t="s">
        <v>75</v>
      </c>
      <c r="J155" s="288" t="s">
        <v>131</v>
      </c>
      <c r="K155" s="142" t="s">
        <v>76</v>
      </c>
      <c r="L155" s="31">
        <v>42443</v>
      </c>
      <c r="M155" s="286" t="s">
        <v>47</v>
      </c>
      <c r="N155" s="204" t="s">
        <v>737</v>
      </c>
      <c r="O155" s="204" t="s">
        <v>736</v>
      </c>
      <c r="P155" s="31">
        <v>42673</v>
      </c>
      <c r="Q155" s="286"/>
      <c r="R155" s="291" t="s">
        <v>48</v>
      </c>
      <c r="S155" s="31"/>
      <c r="T155" s="291"/>
      <c r="U155" s="308">
        <f t="shared" ref="U155" si="104">DAYS360(G155,L155,0)+1</f>
        <v>94</v>
      </c>
      <c r="V155" s="300" t="str">
        <f t="shared" ref="V155" si="105">IF(U155&gt;15,"Inoportuno",(IF(U155&lt;0,"No ha formulado PM","Oportuno")))</f>
        <v>Inoportuno</v>
      </c>
      <c r="W155" s="308">
        <f t="shared" ref="W155" si="106">DAYS360(P155,S155,0)+1</f>
        <v>-42059</v>
      </c>
      <c r="X155" s="299"/>
    </row>
    <row r="156" spans="1:24" ht="87.75" customHeight="1" x14ac:dyDescent="0.2">
      <c r="A156" s="291">
        <f t="shared" si="103"/>
        <v>153</v>
      </c>
      <c r="B156" s="286" t="s">
        <v>9</v>
      </c>
      <c r="C156" s="286" t="s">
        <v>392</v>
      </c>
      <c r="D156" s="284" t="s">
        <v>40</v>
      </c>
      <c r="E156" s="295" t="s">
        <v>0</v>
      </c>
      <c r="F156" s="287" t="s">
        <v>53</v>
      </c>
      <c r="G156" s="31">
        <v>42349</v>
      </c>
      <c r="H156" s="176" t="s">
        <v>396</v>
      </c>
      <c r="I156" s="287" t="s">
        <v>75</v>
      </c>
      <c r="J156" s="288" t="s">
        <v>131</v>
      </c>
      <c r="K156" s="142" t="s">
        <v>76</v>
      </c>
      <c r="L156" s="31">
        <v>42443</v>
      </c>
      <c r="M156" s="286" t="s">
        <v>47</v>
      </c>
      <c r="N156" s="204" t="s">
        <v>737</v>
      </c>
      <c r="O156" s="204" t="s">
        <v>738</v>
      </c>
      <c r="P156" s="31">
        <v>42673</v>
      </c>
      <c r="Q156" s="286"/>
      <c r="R156" s="291" t="s">
        <v>48</v>
      </c>
      <c r="S156" s="31"/>
      <c r="T156" s="291"/>
      <c r="U156" s="308">
        <f t="shared" ref="U156:U168" si="107">DAYS360(G156,L156,0)+1</f>
        <v>94</v>
      </c>
      <c r="V156" s="300" t="str">
        <f t="shared" ref="V156:V168" si="108">IF(U156&gt;15,"Inoportuno",(IF(U156&lt;0,"No ha formulado PM","Oportuno")))</f>
        <v>Inoportuno</v>
      </c>
      <c r="W156" s="308">
        <f t="shared" ref="W156:W168" si="109">DAYS360(P156,S156,0)+1</f>
        <v>-42059</v>
      </c>
      <c r="X156" s="299"/>
    </row>
    <row r="157" spans="1:24" ht="87.75" customHeight="1" x14ac:dyDescent="0.2">
      <c r="A157" s="291">
        <f t="shared" si="103"/>
        <v>154</v>
      </c>
      <c r="B157" s="286" t="s">
        <v>9</v>
      </c>
      <c r="C157" s="286" t="s">
        <v>392</v>
      </c>
      <c r="D157" s="284" t="s">
        <v>40</v>
      </c>
      <c r="E157" s="295" t="s">
        <v>0</v>
      </c>
      <c r="F157" s="287" t="s">
        <v>53</v>
      </c>
      <c r="G157" s="31">
        <v>42349</v>
      </c>
      <c r="H157" s="176" t="s">
        <v>397</v>
      </c>
      <c r="I157" s="287" t="s">
        <v>75</v>
      </c>
      <c r="J157" s="288" t="s">
        <v>131</v>
      </c>
      <c r="K157" s="142" t="s">
        <v>76</v>
      </c>
      <c r="L157" s="31">
        <v>42443</v>
      </c>
      <c r="M157" s="286" t="s">
        <v>47</v>
      </c>
      <c r="N157" s="204" t="s">
        <v>751</v>
      </c>
      <c r="O157" s="204" t="s">
        <v>739</v>
      </c>
      <c r="P157" s="31">
        <v>42673</v>
      </c>
      <c r="Q157" s="286"/>
      <c r="R157" s="291" t="s">
        <v>48</v>
      </c>
      <c r="S157" s="31"/>
      <c r="T157" s="291"/>
      <c r="U157" s="308">
        <f t="shared" si="107"/>
        <v>94</v>
      </c>
      <c r="V157" s="300" t="str">
        <f t="shared" si="108"/>
        <v>Inoportuno</v>
      </c>
      <c r="W157" s="308">
        <f t="shared" si="109"/>
        <v>-42059</v>
      </c>
      <c r="X157" s="299"/>
    </row>
    <row r="158" spans="1:24" ht="87.75" customHeight="1" x14ac:dyDescent="0.2">
      <c r="A158" s="291">
        <f t="shared" si="103"/>
        <v>155</v>
      </c>
      <c r="B158" s="286" t="s">
        <v>9</v>
      </c>
      <c r="C158" s="286" t="s">
        <v>392</v>
      </c>
      <c r="D158" s="284" t="s">
        <v>40</v>
      </c>
      <c r="E158" s="295" t="s">
        <v>0</v>
      </c>
      <c r="F158" s="287" t="s">
        <v>53</v>
      </c>
      <c r="G158" s="31">
        <v>42349</v>
      </c>
      <c r="H158" s="176" t="s">
        <v>398</v>
      </c>
      <c r="I158" s="287" t="s">
        <v>75</v>
      </c>
      <c r="J158" s="288" t="s">
        <v>131</v>
      </c>
      <c r="K158" s="142" t="s">
        <v>76</v>
      </c>
      <c r="L158" s="31">
        <v>42443</v>
      </c>
      <c r="M158" s="286" t="s">
        <v>47</v>
      </c>
      <c r="N158" s="204" t="s">
        <v>737</v>
      </c>
      <c r="O158" s="204" t="s">
        <v>740</v>
      </c>
      <c r="P158" s="31">
        <v>42673</v>
      </c>
      <c r="Q158" s="286"/>
      <c r="R158" s="291" t="s">
        <v>48</v>
      </c>
      <c r="S158" s="31"/>
      <c r="T158" s="291"/>
      <c r="U158" s="308">
        <f t="shared" si="107"/>
        <v>94</v>
      </c>
      <c r="V158" s="300" t="str">
        <f t="shared" si="108"/>
        <v>Inoportuno</v>
      </c>
      <c r="W158" s="308">
        <f t="shared" si="109"/>
        <v>-42059</v>
      </c>
      <c r="X158" s="299"/>
    </row>
    <row r="159" spans="1:24" ht="87.75" customHeight="1" x14ac:dyDescent="0.2">
      <c r="A159" s="438">
        <v>156</v>
      </c>
      <c r="B159" s="395" t="s">
        <v>9</v>
      </c>
      <c r="C159" s="395" t="s">
        <v>392</v>
      </c>
      <c r="D159" s="394" t="s">
        <v>40</v>
      </c>
      <c r="E159" s="402" t="s">
        <v>0</v>
      </c>
      <c r="F159" s="396" t="s">
        <v>53</v>
      </c>
      <c r="G159" s="31">
        <v>42349</v>
      </c>
      <c r="H159" s="499" t="s">
        <v>400</v>
      </c>
      <c r="I159" s="396" t="s">
        <v>75</v>
      </c>
      <c r="J159" s="397" t="s">
        <v>131</v>
      </c>
      <c r="K159" s="142" t="s">
        <v>76</v>
      </c>
      <c r="L159" s="31">
        <v>42443</v>
      </c>
      <c r="M159" s="395" t="s">
        <v>101</v>
      </c>
      <c r="N159" s="204" t="s">
        <v>737</v>
      </c>
      <c r="O159" s="204" t="s">
        <v>742</v>
      </c>
      <c r="P159" s="31">
        <v>42500</v>
      </c>
      <c r="Q159" s="395"/>
      <c r="R159" s="398" t="s">
        <v>48</v>
      </c>
      <c r="S159" s="31"/>
      <c r="T159" s="398"/>
      <c r="U159" s="399"/>
      <c r="V159" s="400"/>
      <c r="W159" s="399"/>
      <c r="X159" s="401"/>
    </row>
    <row r="160" spans="1:24" ht="87.75" customHeight="1" x14ac:dyDescent="0.2">
      <c r="A160" s="439"/>
      <c r="B160" s="286" t="s">
        <v>9</v>
      </c>
      <c r="C160" s="286" t="s">
        <v>392</v>
      </c>
      <c r="D160" s="284" t="s">
        <v>40</v>
      </c>
      <c r="E160" s="295" t="s">
        <v>0</v>
      </c>
      <c r="F160" s="287" t="s">
        <v>53</v>
      </c>
      <c r="G160" s="31">
        <v>42349</v>
      </c>
      <c r="H160" s="500"/>
      <c r="I160" s="287" t="s">
        <v>75</v>
      </c>
      <c r="J160" s="288" t="s">
        <v>131</v>
      </c>
      <c r="K160" s="142" t="s">
        <v>76</v>
      </c>
      <c r="L160" s="31">
        <v>42443</v>
      </c>
      <c r="M160" s="286" t="s">
        <v>47</v>
      </c>
      <c r="N160" s="204" t="s">
        <v>737</v>
      </c>
      <c r="O160" s="204" t="s">
        <v>741</v>
      </c>
      <c r="P160" s="31">
        <v>42500</v>
      </c>
      <c r="Q160" s="286"/>
      <c r="R160" s="291" t="s">
        <v>48</v>
      </c>
      <c r="S160" s="31"/>
      <c r="T160" s="291"/>
      <c r="U160" s="308">
        <f t="shared" si="107"/>
        <v>94</v>
      </c>
      <c r="V160" s="300" t="str">
        <f t="shared" si="108"/>
        <v>Inoportuno</v>
      </c>
      <c r="W160" s="308">
        <f t="shared" si="109"/>
        <v>-41889</v>
      </c>
      <c r="X160" s="299"/>
    </row>
    <row r="161" spans="1:24" ht="87.75" customHeight="1" x14ac:dyDescent="0.2">
      <c r="A161" s="438">
        <f>+A159+1</f>
        <v>157</v>
      </c>
      <c r="B161" s="395" t="s">
        <v>9</v>
      </c>
      <c r="C161" s="395" t="s">
        <v>392</v>
      </c>
      <c r="D161" s="394" t="s">
        <v>40</v>
      </c>
      <c r="E161" s="402" t="s">
        <v>0</v>
      </c>
      <c r="F161" s="396" t="s">
        <v>53</v>
      </c>
      <c r="G161" s="31">
        <v>42349</v>
      </c>
      <c r="H161" s="499" t="s">
        <v>401</v>
      </c>
      <c r="I161" s="396" t="s">
        <v>75</v>
      </c>
      <c r="J161" s="397" t="s">
        <v>131</v>
      </c>
      <c r="K161" s="142" t="s">
        <v>76</v>
      </c>
      <c r="L161" s="31">
        <v>42443</v>
      </c>
      <c r="M161" s="395" t="s">
        <v>101</v>
      </c>
      <c r="N161" s="204" t="s">
        <v>752</v>
      </c>
      <c r="O161" s="204" t="s">
        <v>743</v>
      </c>
      <c r="P161" s="31">
        <v>42658</v>
      </c>
      <c r="Q161" s="395"/>
      <c r="R161" s="398" t="s">
        <v>48</v>
      </c>
      <c r="S161" s="31"/>
      <c r="T161" s="398"/>
      <c r="U161" s="399">
        <f t="shared" si="107"/>
        <v>94</v>
      </c>
      <c r="V161" s="400" t="str">
        <f t="shared" si="108"/>
        <v>Inoportuno</v>
      </c>
      <c r="W161" s="399">
        <f t="shared" si="109"/>
        <v>-42044</v>
      </c>
      <c r="X161" s="401"/>
    </row>
    <row r="162" spans="1:24" ht="87.75" customHeight="1" x14ac:dyDescent="0.2">
      <c r="A162" s="439"/>
      <c r="B162" s="286" t="s">
        <v>9</v>
      </c>
      <c r="C162" s="286" t="s">
        <v>392</v>
      </c>
      <c r="D162" s="284" t="s">
        <v>40</v>
      </c>
      <c r="E162" s="295" t="s">
        <v>0</v>
      </c>
      <c r="F162" s="287" t="s">
        <v>53</v>
      </c>
      <c r="G162" s="31">
        <v>42349</v>
      </c>
      <c r="H162" s="500"/>
      <c r="I162" s="287" t="s">
        <v>75</v>
      </c>
      <c r="J162" s="288" t="s">
        <v>131</v>
      </c>
      <c r="K162" s="142" t="s">
        <v>76</v>
      </c>
      <c r="L162" s="31">
        <v>42443</v>
      </c>
      <c r="M162" s="286" t="s">
        <v>51</v>
      </c>
      <c r="N162" s="204" t="s">
        <v>752</v>
      </c>
      <c r="O162" s="204" t="s">
        <v>744</v>
      </c>
      <c r="P162" s="31">
        <v>42658</v>
      </c>
      <c r="Q162" s="286"/>
      <c r="R162" s="291" t="s">
        <v>48</v>
      </c>
      <c r="S162" s="31"/>
      <c r="T162" s="291"/>
      <c r="U162" s="308">
        <f t="shared" si="107"/>
        <v>94</v>
      </c>
      <c r="V162" s="300" t="str">
        <f t="shared" si="108"/>
        <v>Inoportuno</v>
      </c>
      <c r="W162" s="308">
        <f t="shared" si="109"/>
        <v>-42044</v>
      </c>
      <c r="X162" s="299"/>
    </row>
    <row r="163" spans="1:24" ht="87.75" customHeight="1" x14ac:dyDescent="0.2">
      <c r="A163" s="438">
        <f>+A161+1</f>
        <v>158</v>
      </c>
      <c r="B163" s="395" t="s">
        <v>9</v>
      </c>
      <c r="C163" s="395" t="s">
        <v>392</v>
      </c>
      <c r="D163" s="394" t="s">
        <v>40</v>
      </c>
      <c r="E163" s="402" t="s">
        <v>0</v>
      </c>
      <c r="F163" s="396" t="s">
        <v>53</v>
      </c>
      <c r="G163" s="31">
        <v>42349</v>
      </c>
      <c r="H163" s="499" t="s">
        <v>402</v>
      </c>
      <c r="I163" s="396" t="s">
        <v>75</v>
      </c>
      <c r="J163" s="397" t="s">
        <v>131</v>
      </c>
      <c r="K163" s="142" t="s">
        <v>76</v>
      </c>
      <c r="L163" s="31">
        <v>42443</v>
      </c>
      <c r="M163" s="395" t="s">
        <v>47</v>
      </c>
      <c r="N163" s="204" t="s">
        <v>737</v>
      </c>
      <c r="O163" s="204" t="s">
        <v>745</v>
      </c>
      <c r="P163" s="31">
        <v>42658</v>
      </c>
      <c r="Q163" s="395"/>
      <c r="R163" s="398" t="s">
        <v>48</v>
      </c>
      <c r="S163" s="31"/>
      <c r="T163" s="398"/>
      <c r="U163" s="399"/>
      <c r="V163" s="400"/>
      <c r="W163" s="399">
        <f t="shared" si="109"/>
        <v>-42044</v>
      </c>
      <c r="X163" s="401"/>
    </row>
    <row r="164" spans="1:24" ht="87.75" customHeight="1" x14ac:dyDescent="0.2">
      <c r="A164" s="439"/>
      <c r="B164" s="286" t="s">
        <v>9</v>
      </c>
      <c r="C164" s="286" t="s">
        <v>392</v>
      </c>
      <c r="D164" s="284" t="s">
        <v>40</v>
      </c>
      <c r="E164" s="295" t="s">
        <v>0</v>
      </c>
      <c r="F164" s="287" t="s">
        <v>53</v>
      </c>
      <c r="G164" s="31">
        <v>42349</v>
      </c>
      <c r="H164" s="500"/>
      <c r="I164" s="287" t="s">
        <v>75</v>
      </c>
      <c r="J164" s="288" t="s">
        <v>131</v>
      </c>
      <c r="K164" s="142" t="s">
        <v>76</v>
      </c>
      <c r="L164" s="31">
        <v>42443</v>
      </c>
      <c r="M164" s="286" t="s">
        <v>51</v>
      </c>
      <c r="N164" s="204" t="s">
        <v>737</v>
      </c>
      <c r="O164" s="204" t="s">
        <v>746</v>
      </c>
      <c r="P164" s="31">
        <v>42658</v>
      </c>
      <c r="Q164" s="286"/>
      <c r="R164" s="291" t="s">
        <v>48</v>
      </c>
      <c r="S164" s="31"/>
      <c r="T164" s="291"/>
      <c r="U164" s="308">
        <f t="shared" si="107"/>
        <v>94</v>
      </c>
      <c r="V164" s="300" t="str">
        <f t="shared" si="108"/>
        <v>Inoportuno</v>
      </c>
      <c r="W164" s="308">
        <f t="shared" si="109"/>
        <v>-42044</v>
      </c>
      <c r="X164" s="299"/>
    </row>
    <row r="165" spans="1:24" ht="87.75" customHeight="1" x14ac:dyDescent="0.2">
      <c r="A165" s="438">
        <f>+A163+1</f>
        <v>159</v>
      </c>
      <c r="B165" s="395" t="s">
        <v>9</v>
      </c>
      <c r="C165" s="395" t="s">
        <v>392</v>
      </c>
      <c r="D165" s="394" t="s">
        <v>40</v>
      </c>
      <c r="E165" s="402" t="s">
        <v>0</v>
      </c>
      <c r="F165" s="396" t="s">
        <v>53</v>
      </c>
      <c r="G165" s="31">
        <v>42349</v>
      </c>
      <c r="H165" s="499" t="s">
        <v>403</v>
      </c>
      <c r="I165" s="396" t="s">
        <v>75</v>
      </c>
      <c r="J165" s="397" t="s">
        <v>131</v>
      </c>
      <c r="K165" s="142" t="s">
        <v>76</v>
      </c>
      <c r="L165" s="31">
        <v>42443</v>
      </c>
      <c r="M165" s="395" t="s">
        <v>101</v>
      </c>
      <c r="N165" s="204" t="s">
        <v>752</v>
      </c>
      <c r="O165" s="204" t="s">
        <v>747</v>
      </c>
      <c r="P165" s="31">
        <v>42500</v>
      </c>
      <c r="Q165" s="395"/>
      <c r="R165" s="398" t="s">
        <v>48</v>
      </c>
      <c r="S165" s="31"/>
      <c r="T165" s="398"/>
      <c r="U165" s="399"/>
      <c r="V165" s="400"/>
      <c r="W165" s="399">
        <f t="shared" si="109"/>
        <v>-41889</v>
      </c>
      <c r="X165" s="401"/>
    </row>
    <row r="166" spans="1:24" ht="87.75" customHeight="1" x14ac:dyDescent="0.2">
      <c r="A166" s="439"/>
      <c r="B166" s="286" t="s">
        <v>9</v>
      </c>
      <c r="C166" s="286" t="s">
        <v>392</v>
      </c>
      <c r="D166" s="284" t="s">
        <v>40</v>
      </c>
      <c r="E166" s="295" t="s">
        <v>0</v>
      </c>
      <c r="F166" s="287" t="s">
        <v>53</v>
      </c>
      <c r="G166" s="31">
        <v>42349</v>
      </c>
      <c r="H166" s="500"/>
      <c r="I166" s="287" t="s">
        <v>75</v>
      </c>
      <c r="J166" s="288" t="s">
        <v>131</v>
      </c>
      <c r="K166" s="142" t="s">
        <v>76</v>
      </c>
      <c r="L166" s="31">
        <v>42443</v>
      </c>
      <c r="M166" s="286" t="s">
        <v>51</v>
      </c>
      <c r="N166" s="204" t="s">
        <v>752</v>
      </c>
      <c r="O166" s="204" t="s">
        <v>748</v>
      </c>
      <c r="P166" s="31">
        <v>42500</v>
      </c>
      <c r="Q166" s="286"/>
      <c r="R166" s="291" t="s">
        <v>48</v>
      </c>
      <c r="S166" s="31"/>
      <c r="T166" s="291"/>
      <c r="U166" s="308">
        <f t="shared" si="107"/>
        <v>94</v>
      </c>
      <c r="V166" s="300" t="str">
        <f t="shared" si="108"/>
        <v>Inoportuno</v>
      </c>
      <c r="W166" s="308">
        <f t="shared" si="109"/>
        <v>-41889</v>
      </c>
      <c r="X166" s="299"/>
    </row>
    <row r="167" spans="1:24" ht="87.75" customHeight="1" x14ac:dyDescent="0.2">
      <c r="A167" s="438">
        <f>+A165+1</f>
        <v>160</v>
      </c>
      <c r="B167" s="395" t="s">
        <v>9</v>
      </c>
      <c r="C167" s="395" t="s">
        <v>392</v>
      </c>
      <c r="D167" s="394" t="s">
        <v>40</v>
      </c>
      <c r="E167" s="402" t="s">
        <v>0</v>
      </c>
      <c r="F167" s="396" t="s">
        <v>53</v>
      </c>
      <c r="G167" s="31">
        <v>42288</v>
      </c>
      <c r="H167" s="499" t="s">
        <v>404</v>
      </c>
      <c r="I167" s="396" t="s">
        <v>75</v>
      </c>
      <c r="J167" s="397" t="s">
        <v>131</v>
      </c>
      <c r="K167" s="142" t="s">
        <v>76</v>
      </c>
      <c r="L167" s="31">
        <v>42443</v>
      </c>
      <c r="M167" s="395" t="s">
        <v>101</v>
      </c>
      <c r="N167" s="204" t="s">
        <v>752</v>
      </c>
      <c r="O167" s="204" t="s">
        <v>749</v>
      </c>
      <c r="P167" s="31">
        <v>42500</v>
      </c>
      <c r="Q167" s="395"/>
      <c r="R167" s="398" t="s">
        <v>48</v>
      </c>
      <c r="S167" s="31"/>
      <c r="T167" s="398"/>
      <c r="U167" s="399"/>
      <c r="V167" s="400"/>
      <c r="W167" s="399"/>
      <c r="X167" s="401"/>
    </row>
    <row r="168" spans="1:24" ht="87.75" customHeight="1" x14ac:dyDescent="0.2">
      <c r="A168" s="439"/>
      <c r="B168" s="286" t="s">
        <v>9</v>
      </c>
      <c r="C168" s="286" t="s">
        <v>392</v>
      </c>
      <c r="D168" s="284" t="s">
        <v>40</v>
      </c>
      <c r="E168" s="295" t="s">
        <v>0</v>
      </c>
      <c r="F168" s="287" t="s">
        <v>53</v>
      </c>
      <c r="G168" s="31">
        <v>42349</v>
      </c>
      <c r="H168" s="500"/>
      <c r="I168" s="287" t="s">
        <v>75</v>
      </c>
      <c r="J168" s="288" t="s">
        <v>131</v>
      </c>
      <c r="K168" s="142" t="s">
        <v>76</v>
      </c>
      <c r="L168" s="31">
        <v>42443</v>
      </c>
      <c r="M168" s="286" t="s">
        <v>51</v>
      </c>
      <c r="N168" s="204" t="s">
        <v>752</v>
      </c>
      <c r="O168" s="204" t="s">
        <v>750</v>
      </c>
      <c r="P168" s="31">
        <v>42500</v>
      </c>
      <c r="Q168" s="286"/>
      <c r="R168" s="291" t="s">
        <v>48</v>
      </c>
      <c r="S168" s="31"/>
      <c r="T168" s="291"/>
      <c r="U168" s="308">
        <f t="shared" si="107"/>
        <v>94</v>
      </c>
      <c r="V168" s="300" t="str">
        <f t="shared" si="108"/>
        <v>Inoportuno</v>
      </c>
      <c r="W168" s="308">
        <f t="shared" si="109"/>
        <v>-41889</v>
      </c>
      <c r="X168" s="299"/>
    </row>
    <row r="169" spans="1:24" ht="87.75" customHeight="1" x14ac:dyDescent="0.2">
      <c r="A169" s="291">
        <v>161</v>
      </c>
      <c r="B169" s="286" t="s">
        <v>2</v>
      </c>
      <c r="C169" s="286" t="s">
        <v>406</v>
      </c>
      <c r="D169" s="284" t="s">
        <v>40</v>
      </c>
      <c r="E169" s="295" t="s">
        <v>0</v>
      </c>
      <c r="F169" s="287" t="s">
        <v>55</v>
      </c>
      <c r="G169" s="31">
        <v>42353</v>
      </c>
      <c r="H169" s="176" t="s">
        <v>407</v>
      </c>
      <c r="I169" s="287" t="s">
        <v>75</v>
      </c>
      <c r="J169" s="288" t="s">
        <v>131</v>
      </c>
      <c r="K169" s="142" t="s">
        <v>76</v>
      </c>
      <c r="L169" s="31">
        <v>42404</v>
      </c>
      <c r="M169" s="286" t="s">
        <v>47</v>
      </c>
      <c r="N169" s="176" t="s">
        <v>351</v>
      </c>
      <c r="O169" s="204" t="s">
        <v>486</v>
      </c>
      <c r="P169" s="31">
        <v>42459</v>
      </c>
      <c r="Q169" s="286"/>
      <c r="R169" s="291" t="s">
        <v>48</v>
      </c>
      <c r="S169" s="31"/>
      <c r="T169" s="291"/>
      <c r="U169" s="308">
        <f t="shared" ref="U169" si="110">DAYS360(G169,L169,0)+1</f>
        <v>50</v>
      </c>
      <c r="V169" s="300" t="str">
        <f t="shared" ref="V169" si="111">IF(U169&gt;15,"Inoportuno",(IF(U169&lt;0,"No ha formulado PM","Oportuno")))</f>
        <v>Inoportuno</v>
      </c>
      <c r="W169" s="308">
        <f t="shared" ref="W169" si="112">DAYS360(P169,S169,0)+1</f>
        <v>-41849</v>
      </c>
      <c r="X169" s="299"/>
    </row>
    <row r="170" spans="1:24" ht="87.75" customHeight="1" x14ac:dyDescent="0.2">
      <c r="A170" s="291">
        <v>162</v>
      </c>
      <c r="B170" s="286" t="s">
        <v>21</v>
      </c>
      <c r="C170" s="286" t="s">
        <v>393</v>
      </c>
      <c r="D170" s="284" t="s">
        <v>40</v>
      </c>
      <c r="E170" s="295" t="s">
        <v>0</v>
      </c>
      <c r="F170" s="287" t="s">
        <v>56</v>
      </c>
      <c r="G170" s="31">
        <v>42361</v>
      </c>
      <c r="H170" s="176" t="s">
        <v>487</v>
      </c>
      <c r="I170" s="287" t="s">
        <v>75</v>
      </c>
      <c r="J170" s="288" t="s">
        <v>131</v>
      </c>
      <c r="K170" s="142" t="s">
        <v>76</v>
      </c>
      <c r="L170" s="31">
        <v>42368</v>
      </c>
      <c r="M170" s="286" t="s">
        <v>47</v>
      </c>
      <c r="N170" s="204" t="s">
        <v>412</v>
      </c>
      <c r="O170" s="330" t="s">
        <v>488</v>
      </c>
      <c r="P170" s="179">
        <v>42520</v>
      </c>
      <c r="Q170" s="286" t="s">
        <v>520</v>
      </c>
      <c r="R170" s="291" t="s">
        <v>48</v>
      </c>
      <c r="S170" s="31"/>
      <c r="T170" s="291"/>
      <c r="U170" s="308">
        <f t="shared" ref="U170:U171" si="113">DAYS360(G170,L170,0)+1</f>
        <v>8</v>
      </c>
      <c r="V170" s="300" t="str">
        <f t="shared" ref="V170:V171" si="114">IF(U170&gt;15,"Inoportuno",(IF(U170&lt;0,"No ha formulado PM","Oportuno")))</f>
        <v>Oportuno</v>
      </c>
      <c r="W170" s="308">
        <f t="shared" ref="W170:W171" si="115">DAYS360(P170,S170,0)+1</f>
        <v>-41909</v>
      </c>
      <c r="X170" s="299"/>
    </row>
    <row r="171" spans="1:24" ht="143.25" customHeight="1" x14ac:dyDescent="0.2">
      <c r="A171" s="291">
        <f t="shared" si="103"/>
        <v>163</v>
      </c>
      <c r="B171" s="286" t="s">
        <v>21</v>
      </c>
      <c r="C171" s="286" t="s">
        <v>393</v>
      </c>
      <c r="D171" s="284" t="s">
        <v>40</v>
      </c>
      <c r="E171" s="295" t="s">
        <v>0</v>
      </c>
      <c r="F171" s="287" t="s">
        <v>56</v>
      </c>
      <c r="G171" s="31">
        <v>42361</v>
      </c>
      <c r="H171" s="176" t="s">
        <v>489</v>
      </c>
      <c r="I171" s="287" t="s">
        <v>75</v>
      </c>
      <c r="J171" s="288" t="s">
        <v>131</v>
      </c>
      <c r="K171" s="142" t="s">
        <v>76</v>
      </c>
      <c r="L171" s="31">
        <v>42368</v>
      </c>
      <c r="M171" s="286" t="s">
        <v>47</v>
      </c>
      <c r="N171" s="204" t="s">
        <v>413</v>
      </c>
      <c r="O171" s="330" t="s">
        <v>490</v>
      </c>
      <c r="P171" s="179">
        <v>42520</v>
      </c>
      <c r="Q171" s="286" t="s">
        <v>521</v>
      </c>
      <c r="R171" s="291" t="s">
        <v>48</v>
      </c>
      <c r="S171" s="31"/>
      <c r="T171" s="291"/>
      <c r="U171" s="308">
        <f t="shared" si="113"/>
        <v>8</v>
      </c>
      <c r="V171" s="300" t="str">
        <f t="shared" si="114"/>
        <v>Oportuno</v>
      </c>
      <c r="W171" s="308">
        <f t="shared" si="115"/>
        <v>-41909</v>
      </c>
      <c r="X171" s="299"/>
    </row>
    <row r="172" spans="1:24" ht="79.5" customHeight="1" x14ac:dyDescent="0.2">
      <c r="A172" s="438">
        <v>164</v>
      </c>
      <c r="B172" s="404" t="s">
        <v>46</v>
      </c>
      <c r="C172" s="404" t="s">
        <v>385</v>
      </c>
      <c r="D172" s="403" t="s">
        <v>40</v>
      </c>
      <c r="E172" s="404" t="s">
        <v>195</v>
      </c>
      <c r="F172" s="405" t="s">
        <v>56</v>
      </c>
      <c r="G172" s="31">
        <v>42361</v>
      </c>
      <c r="H172" s="454" t="s">
        <v>386</v>
      </c>
      <c r="I172" s="405" t="s">
        <v>75</v>
      </c>
      <c r="J172" s="405" t="s">
        <v>131</v>
      </c>
      <c r="K172" s="410" t="s">
        <v>76</v>
      </c>
      <c r="L172" s="31">
        <v>42677</v>
      </c>
      <c r="M172" s="404" t="s">
        <v>101</v>
      </c>
      <c r="N172" s="368" t="s">
        <v>757</v>
      </c>
      <c r="O172" s="415" t="s">
        <v>756</v>
      </c>
      <c r="P172" s="168">
        <v>42946</v>
      </c>
      <c r="Q172" s="404"/>
      <c r="R172" s="407" t="s">
        <v>48</v>
      </c>
      <c r="S172" s="31"/>
      <c r="T172" s="407"/>
      <c r="U172" s="414"/>
      <c r="V172" s="413"/>
      <c r="W172" s="414"/>
      <c r="X172" s="412"/>
    </row>
    <row r="173" spans="1:24" ht="79.5" customHeight="1" x14ac:dyDescent="0.2">
      <c r="A173" s="443"/>
      <c r="B173" s="404" t="s">
        <v>46</v>
      </c>
      <c r="C173" s="404" t="s">
        <v>385</v>
      </c>
      <c r="D173" s="403" t="s">
        <v>40</v>
      </c>
      <c r="E173" s="404" t="s">
        <v>195</v>
      </c>
      <c r="F173" s="405" t="s">
        <v>56</v>
      </c>
      <c r="G173" s="31">
        <v>42361</v>
      </c>
      <c r="H173" s="455"/>
      <c r="I173" s="405" t="s">
        <v>75</v>
      </c>
      <c r="J173" s="408" t="s">
        <v>131</v>
      </c>
      <c r="K173" s="410" t="s">
        <v>76</v>
      </c>
      <c r="L173" s="31">
        <v>42677</v>
      </c>
      <c r="M173" s="404" t="s">
        <v>47</v>
      </c>
      <c r="N173" s="368" t="s">
        <v>757</v>
      </c>
      <c r="O173" s="368" t="s">
        <v>758</v>
      </c>
      <c r="P173" s="168">
        <v>42946</v>
      </c>
      <c r="Q173" s="404"/>
      <c r="R173" s="407" t="s">
        <v>48</v>
      </c>
      <c r="S173" s="31"/>
      <c r="T173" s="407"/>
      <c r="U173" s="414"/>
      <c r="V173" s="413"/>
      <c r="W173" s="414"/>
      <c r="X173" s="412"/>
    </row>
    <row r="174" spans="1:24" ht="58.5" customHeight="1" x14ac:dyDescent="0.2">
      <c r="A174" s="439"/>
      <c r="B174" s="286" t="s">
        <v>46</v>
      </c>
      <c r="C174" s="286" t="s">
        <v>385</v>
      </c>
      <c r="D174" s="284" t="s">
        <v>40</v>
      </c>
      <c r="E174" s="295" t="s">
        <v>195</v>
      </c>
      <c r="F174" s="287" t="s">
        <v>56</v>
      </c>
      <c r="G174" s="31">
        <v>42361</v>
      </c>
      <c r="H174" s="456"/>
      <c r="I174" s="287" t="s">
        <v>75</v>
      </c>
      <c r="J174" s="288" t="s">
        <v>131</v>
      </c>
      <c r="K174" s="142" t="s">
        <v>76</v>
      </c>
      <c r="L174" s="31">
        <v>42677</v>
      </c>
      <c r="M174" s="286" t="s">
        <v>101</v>
      </c>
      <c r="N174" s="368" t="s">
        <v>757</v>
      </c>
      <c r="O174" s="368" t="s">
        <v>759</v>
      </c>
      <c r="P174" s="168">
        <v>42946</v>
      </c>
      <c r="Q174" s="286"/>
      <c r="R174" s="291" t="s">
        <v>48</v>
      </c>
      <c r="S174" s="31"/>
      <c r="T174" s="291"/>
      <c r="U174" s="308">
        <f t="shared" si="99"/>
        <v>311</v>
      </c>
      <c r="V174" s="300" t="str">
        <f t="shared" si="100"/>
        <v>Inoportuno</v>
      </c>
      <c r="W174" s="308">
        <f t="shared" si="101"/>
        <v>-42329</v>
      </c>
      <c r="X174" s="299"/>
    </row>
    <row r="175" spans="1:24" ht="58.5" customHeight="1" x14ac:dyDescent="0.2">
      <c r="A175" s="291">
        <v>165</v>
      </c>
      <c r="B175" s="286" t="s">
        <v>46</v>
      </c>
      <c r="C175" s="286" t="s">
        <v>385</v>
      </c>
      <c r="D175" s="284" t="s">
        <v>40</v>
      </c>
      <c r="E175" s="295" t="s">
        <v>195</v>
      </c>
      <c r="F175" s="287" t="s">
        <v>56</v>
      </c>
      <c r="G175" s="31">
        <v>42361</v>
      </c>
      <c r="H175" s="286" t="s">
        <v>387</v>
      </c>
      <c r="I175" s="287" t="s">
        <v>75</v>
      </c>
      <c r="J175" s="288" t="s">
        <v>131</v>
      </c>
      <c r="K175" s="142" t="s">
        <v>76</v>
      </c>
      <c r="L175" s="31">
        <v>42677</v>
      </c>
      <c r="M175" s="286" t="s">
        <v>101</v>
      </c>
      <c r="N175" s="405" t="s">
        <v>761</v>
      </c>
      <c r="O175" s="368" t="s">
        <v>760</v>
      </c>
      <c r="P175" s="31">
        <v>43008</v>
      </c>
      <c r="Q175" s="286"/>
      <c r="R175" s="291" t="s">
        <v>48</v>
      </c>
      <c r="S175" s="31"/>
      <c r="T175" s="291"/>
      <c r="U175" s="308">
        <f t="shared" si="99"/>
        <v>311</v>
      </c>
      <c r="V175" s="300" t="str">
        <f t="shared" si="100"/>
        <v>Inoportuno</v>
      </c>
      <c r="W175" s="308">
        <f t="shared" si="101"/>
        <v>-42389</v>
      </c>
      <c r="X175" s="299"/>
    </row>
    <row r="176" spans="1:24" ht="58.5" customHeight="1" x14ac:dyDescent="0.2">
      <c r="A176" s="291">
        <v>166</v>
      </c>
      <c r="B176" s="286" t="s">
        <v>46</v>
      </c>
      <c r="C176" s="286" t="s">
        <v>385</v>
      </c>
      <c r="D176" s="284" t="s">
        <v>40</v>
      </c>
      <c r="E176" s="295" t="s">
        <v>195</v>
      </c>
      <c r="F176" s="287" t="s">
        <v>56</v>
      </c>
      <c r="G176" s="31">
        <v>42361</v>
      </c>
      <c r="H176" s="286" t="s">
        <v>388</v>
      </c>
      <c r="I176" s="287" t="s">
        <v>75</v>
      </c>
      <c r="J176" s="288" t="s">
        <v>131</v>
      </c>
      <c r="K176" s="142" t="s">
        <v>76</v>
      </c>
      <c r="L176" s="31">
        <v>42677</v>
      </c>
      <c r="M176" s="286" t="s">
        <v>101</v>
      </c>
      <c r="N176" s="405" t="s">
        <v>757</v>
      </c>
      <c r="O176" s="204" t="s">
        <v>762</v>
      </c>
      <c r="P176" s="31">
        <v>42735</v>
      </c>
      <c r="Q176" s="286"/>
      <c r="R176" s="291" t="s">
        <v>48</v>
      </c>
      <c r="S176" s="31"/>
      <c r="T176" s="291"/>
      <c r="U176" s="308">
        <f t="shared" si="99"/>
        <v>311</v>
      </c>
      <c r="V176" s="300" t="str">
        <f t="shared" si="100"/>
        <v>Inoportuno</v>
      </c>
      <c r="W176" s="308">
        <f t="shared" si="101"/>
        <v>-42119</v>
      </c>
      <c r="X176" s="299"/>
    </row>
    <row r="177" spans="1:24" ht="58.5" customHeight="1" x14ac:dyDescent="0.2">
      <c r="A177" s="291">
        <f t="shared" si="103"/>
        <v>167</v>
      </c>
      <c r="B177" s="286" t="s">
        <v>62</v>
      </c>
      <c r="C177" s="286" t="s">
        <v>491</v>
      </c>
      <c r="D177" s="457" t="s">
        <v>40</v>
      </c>
      <c r="E177" s="454" t="s">
        <v>0</v>
      </c>
      <c r="F177" s="287" t="s">
        <v>190</v>
      </c>
      <c r="G177" s="31">
        <v>42366</v>
      </c>
      <c r="H177" s="286" t="s">
        <v>389</v>
      </c>
      <c r="I177" s="464" t="s">
        <v>75</v>
      </c>
      <c r="J177" s="467" t="s">
        <v>131</v>
      </c>
      <c r="K177" s="438" t="s">
        <v>76</v>
      </c>
      <c r="L177" s="31">
        <v>42530</v>
      </c>
      <c r="M177" s="286" t="s">
        <v>47</v>
      </c>
      <c r="N177" s="286" t="s">
        <v>589</v>
      </c>
      <c r="O177" s="204" t="s">
        <v>575</v>
      </c>
      <c r="P177" s="31">
        <v>42545</v>
      </c>
      <c r="Q177" s="286"/>
      <c r="R177" s="291" t="s">
        <v>48</v>
      </c>
      <c r="S177" s="31"/>
      <c r="T177" s="291"/>
      <c r="U177" s="308">
        <f t="shared" si="99"/>
        <v>162</v>
      </c>
      <c r="V177" s="300" t="str">
        <f t="shared" si="100"/>
        <v>Inoportuno</v>
      </c>
      <c r="W177" s="308">
        <f t="shared" si="101"/>
        <v>-41933</v>
      </c>
      <c r="X177" s="299"/>
    </row>
    <row r="178" spans="1:24" ht="58.5" customHeight="1" x14ac:dyDescent="0.2">
      <c r="A178" s="291">
        <f t="shared" si="103"/>
        <v>168</v>
      </c>
      <c r="B178" s="286" t="s">
        <v>62</v>
      </c>
      <c r="C178" s="286"/>
      <c r="D178" s="458"/>
      <c r="E178" s="455"/>
      <c r="F178" s="287" t="s">
        <v>190</v>
      </c>
      <c r="G178" s="31">
        <v>42366</v>
      </c>
      <c r="H178" s="286" t="s">
        <v>389</v>
      </c>
      <c r="I178" s="465"/>
      <c r="J178" s="468"/>
      <c r="K178" s="443"/>
      <c r="L178" s="31">
        <v>42530</v>
      </c>
      <c r="M178" s="286" t="s">
        <v>47</v>
      </c>
      <c r="N178" s="286" t="s">
        <v>590</v>
      </c>
      <c r="O178" s="204" t="s">
        <v>576</v>
      </c>
      <c r="P178" s="31">
        <v>42794</v>
      </c>
      <c r="Q178" s="286"/>
      <c r="R178" s="291" t="s">
        <v>48</v>
      </c>
      <c r="S178" s="31"/>
      <c r="T178" s="291"/>
      <c r="U178" s="308">
        <f t="shared" ref="U178:U179" si="116">DAYS360(G178,L178,0)+1</f>
        <v>162</v>
      </c>
      <c r="V178" s="300" t="str">
        <f t="shared" ref="V178:V179" si="117">IF(U178&gt;15,"Inoportuno",(IF(U178&lt;0,"No ha formulado PM","Oportuno")))</f>
        <v>Inoportuno</v>
      </c>
      <c r="W178" s="308">
        <f t="shared" ref="W178:W179" si="118">DAYS360(P178,S178,0)+1</f>
        <v>-42179</v>
      </c>
      <c r="X178" s="299"/>
    </row>
    <row r="179" spans="1:24" ht="58.5" customHeight="1" x14ac:dyDescent="0.2">
      <c r="A179" s="291">
        <f t="shared" si="103"/>
        <v>169</v>
      </c>
      <c r="B179" s="286" t="s">
        <v>62</v>
      </c>
      <c r="C179" s="286"/>
      <c r="D179" s="459"/>
      <c r="E179" s="456"/>
      <c r="F179" s="287" t="s">
        <v>190</v>
      </c>
      <c r="G179" s="31">
        <v>42366</v>
      </c>
      <c r="H179" s="286" t="s">
        <v>389</v>
      </c>
      <c r="I179" s="466"/>
      <c r="J179" s="469"/>
      <c r="K179" s="439"/>
      <c r="L179" s="31">
        <v>42530</v>
      </c>
      <c r="M179" s="286" t="s">
        <v>47</v>
      </c>
      <c r="N179" s="286" t="s">
        <v>590</v>
      </c>
      <c r="O179" s="204" t="s">
        <v>577</v>
      </c>
      <c r="P179" s="31">
        <v>42794</v>
      </c>
      <c r="Q179" s="286"/>
      <c r="R179" s="291" t="s">
        <v>48</v>
      </c>
      <c r="S179" s="31"/>
      <c r="T179" s="291"/>
      <c r="U179" s="308">
        <f t="shared" si="116"/>
        <v>162</v>
      </c>
      <c r="V179" s="300" t="str">
        <f t="shared" si="117"/>
        <v>Inoportuno</v>
      </c>
      <c r="W179" s="308">
        <f t="shared" si="118"/>
        <v>-42179</v>
      </c>
      <c r="X179" s="299"/>
    </row>
    <row r="180" spans="1:24" ht="57.75" customHeight="1" x14ac:dyDescent="0.2">
      <c r="A180" s="291">
        <v>170</v>
      </c>
      <c r="B180" s="286" t="s">
        <v>62</v>
      </c>
      <c r="C180" s="286" t="s">
        <v>491</v>
      </c>
      <c r="D180" s="284" t="s">
        <v>40</v>
      </c>
      <c r="E180" s="295" t="s">
        <v>0</v>
      </c>
      <c r="F180" s="287" t="s">
        <v>190</v>
      </c>
      <c r="G180" s="31">
        <v>42366</v>
      </c>
      <c r="H180" s="286" t="s">
        <v>390</v>
      </c>
      <c r="I180" s="287" t="s">
        <v>75</v>
      </c>
      <c r="J180" s="288" t="s">
        <v>131</v>
      </c>
      <c r="K180" s="142" t="s">
        <v>76</v>
      </c>
      <c r="L180" s="31">
        <v>42530</v>
      </c>
      <c r="M180" s="286" t="s">
        <v>47</v>
      </c>
      <c r="N180" s="286" t="s">
        <v>590</v>
      </c>
      <c r="O180" s="204" t="s">
        <v>588</v>
      </c>
      <c r="P180" s="31">
        <v>42734</v>
      </c>
      <c r="Q180" s="286"/>
      <c r="R180" s="291" t="s">
        <v>48</v>
      </c>
      <c r="S180" s="31"/>
      <c r="T180" s="291"/>
      <c r="U180" s="308">
        <f t="shared" si="99"/>
        <v>162</v>
      </c>
      <c r="V180" s="300" t="str">
        <f t="shared" si="100"/>
        <v>Inoportuno</v>
      </c>
      <c r="W180" s="308">
        <f t="shared" si="101"/>
        <v>-42119</v>
      </c>
      <c r="X180" s="299"/>
    </row>
    <row r="181" spans="1:24" ht="58.5" customHeight="1" x14ac:dyDescent="0.2">
      <c r="A181" s="291">
        <f t="shared" si="103"/>
        <v>171</v>
      </c>
      <c r="B181" s="286" t="s">
        <v>58</v>
      </c>
      <c r="C181" s="286" t="s">
        <v>374</v>
      </c>
      <c r="D181" s="284" t="s">
        <v>40</v>
      </c>
      <c r="E181" s="295" t="s">
        <v>0</v>
      </c>
      <c r="F181" s="287" t="s">
        <v>57</v>
      </c>
      <c r="G181" s="31">
        <v>42367</v>
      </c>
      <c r="H181" s="286" t="s">
        <v>414</v>
      </c>
      <c r="I181" s="287" t="s">
        <v>75</v>
      </c>
      <c r="J181" s="298" t="s">
        <v>131</v>
      </c>
      <c r="K181" s="142" t="s">
        <v>76</v>
      </c>
      <c r="L181" s="31">
        <v>42382</v>
      </c>
      <c r="M181" s="286" t="s">
        <v>101</v>
      </c>
      <c r="N181" s="204" t="s">
        <v>409</v>
      </c>
      <c r="O181" s="204" t="s">
        <v>492</v>
      </c>
      <c r="P181" s="31">
        <v>42745</v>
      </c>
      <c r="Q181" s="286"/>
      <c r="R181" s="291" t="s">
        <v>48</v>
      </c>
      <c r="S181" s="31"/>
      <c r="T181" s="291"/>
      <c r="U181" s="308">
        <f t="shared" ref="U181" si="119">DAYS360(G181,L181,0)+1</f>
        <v>15</v>
      </c>
      <c r="V181" s="300" t="str">
        <f t="shared" ref="V181" si="120">IF(U181&gt;15,"Inoportuno",(IF(U181&lt;0,"No ha formulado PM","Oportuno")))</f>
        <v>Oportuno</v>
      </c>
      <c r="W181" s="308">
        <f t="shared" ref="W181" si="121">DAYS360(P181,S181,0)+1</f>
        <v>-42129</v>
      </c>
      <c r="X181" s="299"/>
    </row>
    <row r="182" spans="1:24" ht="66" customHeight="1" x14ac:dyDescent="0.2">
      <c r="A182" s="291">
        <v>172</v>
      </c>
      <c r="B182" s="286" t="s">
        <v>60</v>
      </c>
      <c r="C182" s="286" t="s">
        <v>418</v>
      </c>
      <c r="D182" s="284" t="s">
        <v>40</v>
      </c>
      <c r="E182" s="295" t="s">
        <v>0</v>
      </c>
      <c r="F182" s="287" t="s">
        <v>49</v>
      </c>
      <c r="G182" s="31">
        <v>42368</v>
      </c>
      <c r="H182" s="286" t="s">
        <v>419</v>
      </c>
      <c r="I182" s="287" t="s">
        <v>75</v>
      </c>
      <c r="J182" s="288" t="s">
        <v>131</v>
      </c>
      <c r="K182" s="142" t="s">
        <v>76</v>
      </c>
      <c r="L182" s="31">
        <v>42381</v>
      </c>
      <c r="M182" s="286" t="s">
        <v>47</v>
      </c>
      <c r="N182" s="286" t="s">
        <v>420</v>
      </c>
      <c r="O182" s="286" t="s">
        <v>421</v>
      </c>
      <c r="P182" s="31">
        <v>42735</v>
      </c>
      <c r="Q182" s="286"/>
      <c r="R182" s="291" t="s">
        <v>48</v>
      </c>
      <c r="S182" s="31"/>
      <c r="T182" s="291"/>
      <c r="U182" s="308">
        <f t="shared" ref="U182:U187" si="122">DAYS360(G182,L182,0)+1</f>
        <v>13</v>
      </c>
      <c r="V182" s="300" t="str">
        <f t="shared" ref="V182:V187" si="123">IF(U182&gt;15,"Inoportuno",(IF(U182&lt;0,"No ha formulado PM","Oportuno")))</f>
        <v>Oportuno</v>
      </c>
      <c r="W182" s="308">
        <f t="shared" ref="W182:W187" si="124">DAYS360(P182,S182,0)+1</f>
        <v>-42119</v>
      </c>
      <c r="X182" s="299"/>
    </row>
    <row r="183" spans="1:24" ht="227.25" customHeight="1" x14ac:dyDescent="0.2">
      <c r="A183" s="291">
        <v>173</v>
      </c>
      <c r="B183" s="286" t="s">
        <v>60</v>
      </c>
      <c r="C183" s="286" t="s">
        <v>423</v>
      </c>
      <c r="D183" s="284" t="s">
        <v>40</v>
      </c>
      <c r="E183" s="295" t="s">
        <v>0</v>
      </c>
      <c r="F183" s="287" t="s">
        <v>57</v>
      </c>
      <c r="G183" s="31">
        <v>42368</v>
      </c>
      <c r="H183" s="286" t="s">
        <v>424</v>
      </c>
      <c r="I183" s="287" t="s">
        <v>75</v>
      </c>
      <c r="J183" s="288" t="s">
        <v>131</v>
      </c>
      <c r="K183" s="142" t="s">
        <v>76</v>
      </c>
      <c r="L183" s="31">
        <v>42396</v>
      </c>
      <c r="M183" s="286" t="s">
        <v>47</v>
      </c>
      <c r="N183" s="369" t="s">
        <v>495</v>
      </c>
      <c r="O183" s="370" t="s">
        <v>496</v>
      </c>
      <c r="P183" s="31">
        <v>42734</v>
      </c>
      <c r="Q183" s="286"/>
      <c r="R183" s="291" t="s">
        <v>48</v>
      </c>
      <c r="S183" s="31"/>
      <c r="T183" s="291"/>
      <c r="U183" s="308">
        <f t="shared" si="122"/>
        <v>28</v>
      </c>
      <c r="V183" s="300" t="str">
        <f t="shared" si="123"/>
        <v>Inoportuno</v>
      </c>
      <c r="W183" s="308">
        <f t="shared" si="124"/>
        <v>-42119</v>
      </c>
      <c r="X183" s="299"/>
    </row>
    <row r="184" spans="1:24" ht="126" customHeight="1" x14ac:dyDescent="0.2">
      <c r="A184" s="291">
        <v>174</v>
      </c>
      <c r="B184" s="286" t="s">
        <v>60</v>
      </c>
      <c r="C184" s="286" t="s">
        <v>423</v>
      </c>
      <c r="D184" s="458"/>
      <c r="E184" s="455"/>
      <c r="F184" s="287" t="s">
        <v>57</v>
      </c>
      <c r="G184" s="31">
        <v>42368</v>
      </c>
      <c r="H184" s="286" t="s">
        <v>425</v>
      </c>
      <c r="I184" s="465"/>
      <c r="J184" s="468"/>
      <c r="K184" s="443"/>
      <c r="L184" s="31">
        <v>42396</v>
      </c>
      <c r="M184" s="286" t="s">
        <v>47</v>
      </c>
      <c r="N184" s="369" t="s">
        <v>499</v>
      </c>
      <c r="O184" s="369" t="s">
        <v>497</v>
      </c>
      <c r="P184" s="31">
        <v>42734</v>
      </c>
      <c r="Q184" s="286"/>
      <c r="R184" s="291" t="s">
        <v>48</v>
      </c>
      <c r="S184" s="31"/>
      <c r="T184" s="291"/>
      <c r="U184" s="308">
        <f t="shared" si="122"/>
        <v>28</v>
      </c>
      <c r="V184" s="300" t="str">
        <f t="shared" si="123"/>
        <v>Inoportuno</v>
      </c>
      <c r="W184" s="308">
        <f t="shared" si="124"/>
        <v>-42119</v>
      </c>
      <c r="X184" s="299"/>
    </row>
    <row r="185" spans="1:24" ht="126" customHeight="1" x14ac:dyDescent="0.2">
      <c r="A185" s="291">
        <f t="shared" ref="A185:A195" si="125">+A184+1</f>
        <v>175</v>
      </c>
      <c r="B185" s="286" t="s">
        <v>60</v>
      </c>
      <c r="C185" s="286" t="s">
        <v>423</v>
      </c>
      <c r="D185" s="459"/>
      <c r="E185" s="456"/>
      <c r="F185" s="287" t="s">
        <v>57</v>
      </c>
      <c r="G185" s="31">
        <v>42368</v>
      </c>
      <c r="H185" s="286" t="s">
        <v>425</v>
      </c>
      <c r="I185" s="466"/>
      <c r="J185" s="469"/>
      <c r="K185" s="439"/>
      <c r="L185" s="31">
        <v>42396</v>
      </c>
      <c r="M185" s="286" t="s">
        <v>101</v>
      </c>
      <c r="N185" s="369" t="s">
        <v>499</v>
      </c>
      <c r="O185" s="369" t="s">
        <v>498</v>
      </c>
      <c r="P185" s="31">
        <v>42734</v>
      </c>
      <c r="Q185" s="286"/>
      <c r="R185" s="291" t="s">
        <v>48</v>
      </c>
      <c r="S185" s="31"/>
      <c r="T185" s="291"/>
      <c r="U185" s="308">
        <f t="shared" si="122"/>
        <v>28</v>
      </c>
      <c r="V185" s="300" t="str">
        <f t="shared" si="123"/>
        <v>Inoportuno</v>
      </c>
      <c r="W185" s="308">
        <f t="shared" si="124"/>
        <v>-42119</v>
      </c>
      <c r="X185" s="299"/>
    </row>
    <row r="186" spans="1:24" ht="86.25" customHeight="1" x14ac:dyDescent="0.2">
      <c r="A186" s="291">
        <v>176</v>
      </c>
      <c r="B186" s="286" t="s">
        <v>60</v>
      </c>
      <c r="C186" s="286" t="s">
        <v>423</v>
      </c>
      <c r="D186" s="457" t="s">
        <v>40</v>
      </c>
      <c r="E186" s="454" t="s">
        <v>0</v>
      </c>
      <c r="F186" s="287" t="s">
        <v>57</v>
      </c>
      <c r="G186" s="31">
        <v>42368</v>
      </c>
      <c r="H186" s="286" t="s">
        <v>426</v>
      </c>
      <c r="I186" s="464" t="s">
        <v>75</v>
      </c>
      <c r="J186" s="467" t="s">
        <v>131</v>
      </c>
      <c r="K186" s="438" t="s">
        <v>76</v>
      </c>
      <c r="L186" s="31">
        <v>42396</v>
      </c>
      <c r="M186" s="286" t="s">
        <v>47</v>
      </c>
      <c r="N186" s="369" t="s">
        <v>501</v>
      </c>
      <c r="O186" s="369" t="s">
        <v>502</v>
      </c>
      <c r="P186" s="31">
        <v>42551</v>
      </c>
      <c r="Q186" s="286"/>
      <c r="R186" s="291" t="s">
        <v>48</v>
      </c>
      <c r="S186" s="31"/>
      <c r="T186" s="291"/>
      <c r="U186" s="308">
        <f t="shared" si="122"/>
        <v>28</v>
      </c>
      <c r="V186" s="300" t="str">
        <f t="shared" si="123"/>
        <v>Inoportuno</v>
      </c>
      <c r="W186" s="308">
        <f t="shared" si="124"/>
        <v>-41939</v>
      </c>
      <c r="X186" s="299"/>
    </row>
    <row r="187" spans="1:24" ht="86.25" customHeight="1" x14ac:dyDescent="0.2">
      <c r="A187" s="291">
        <f t="shared" si="125"/>
        <v>177</v>
      </c>
      <c r="B187" s="286" t="s">
        <v>60</v>
      </c>
      <c r="C187" s="286" t="s">
        <v>423</v>
      </c>
      <c r="D187" s="459"/>
      <c r="E187" s="456"/>
      <c r="F187" s="287" t="s">
        <v>57</v>
      </c>
      <c r="G187" s="31">
        <v>42368</v>
      </c>
      <c r="H187" s="286" t="s">
        <v>426</v>
      </c>
      <c r="I187" s="466"/>
      <c r="J187" s="469"/>
      <c r="K187" s="439"/>
      <c r="L187" s="31">
        <v>42396</v>
      </c>
      <c r="M187" s="286" t="s">
        <v>47</v>
      </c>
      <c r="N187" s="369" t="s">
        <v>500</v>
      </c>
      <c r="O187" s="369" t="s">
        <v>503</v>
      </c>
      <c r="P187" s="31">
        <v>42551</v>
      </c>
      <c r="Q187" s="286"/>
      <c r="R187" s="291" t="s">
        <v>48</v>
      </c>
      <c r="S187" s="31"/>
      <c r="T187" s="291"/>
      <c r="U187" s="308">
        <f t="shared" si="122"/>
        <v>28</v>
      </c>
      <c r="V187" s="300" t="str">
        <f t="shared" si="123"/>
        <v>Inoportuno</v>
      </c>
      <c r="W187" s="308">
        <f t="shared" si="124"/>
        <v>-41939</v>
      </c>
      <c r="X187" s="299"/>
    </row>
    <row r="188" spans="1:24" ht="68.25" customHeight="1" x14ac:dyDescent="0.2">
      <c r="A188" s="291">
        <v>178</v>
      </c>
      <c r="B188" s="286" t="s">
        <v>263</v>
      </c>
      <c r="C188" s="404" t="s">
        <v>423</v>
      </c>
      <c r="D188" s="457" t="s">
        <v>43</v>
      </c>
      <c r="E188" s="454" t="s">
        <v>0</v>
      </c>
      <c r="F188" s="287" t="s">
        <v>493</v>
      </c>
      <c r="G188" s="31">
        <v>42480</v>
      </c>
      <c r="H188" s="286" t="s">
        <v>523</v>
      </c>
      <c r="I188" s="464" t="s">
        <v>75</v>
      </c>
      <c r="J188" s="467" t="s">
        <v>131</v>
      </c>
      <c r="K188" s="438" t="s">
        <v>76</v>
      </c>
      <c r="L188" s="31">
        <v>42495</v>
      </c>
      <c r="M188" s="286" t="s">
        <v>101</v>
      </c>
      <c r="N188" s="286" t="s">
        <v>524</v>
      </c>
      <c r="O188" s="286" t="s">
        <v>525</v>
      </c>
      <c r="P188" s="179">
        <v>42495</v>
      </c>
      <c r="Q188" s="286" t="s">
        <v>678</v>
      </c>
      <c r="R188" s="291" t="s">
        <v>52</v>
      </c>
      <c r="S188" s="31">
        <v>42535</v>
      </c>
      <c r="T188" s="291"/>
      <c r="U188" s="308">
        <f t="shared" ref="U188" si="126">DAYS360(G188,L188,0)+1</f>
        <v>16</v>
      </c>
      <c r="V188" s="300" t="str">
        <f t="shared" ref="V188" si="127">IF(U188&gt;15,"Inoportuno",(IF(U188&lt;0,"No ha formulado PM","Oportuno")))</f>
        <v>Inoportuno</v>
      </c>
      <c r="W188" s="308">
        <f t="shared" ref="W188" si="128">DAYS360(P188,S188,0)+1</f>
        <v>40</v>
      </c>
      <c r="X188" s="299"/>
    </row>
    <row r="189" spans="1:24" ht="68.25" customHeight="1" x14ac:dyDescent="0.2">
      <c r="A189" s="291">
        <f t="shared" si="125"/>
        <v>179</v>
      </c>
      <c r="B189" s="286" t="s">
        <v>263</v>
      </c>
      <c r="C189" s="286"/>
      <c r="D189" s="459"/>
      <c r="E189" s="456"/>
      <c r="F189" s="287" t="s">
        <v>493</v>
      </c>
      <c r="G189" s="31">
        <v>42480</v>
      </c>
      <c r="H189" s="286" t="s">
        <v>523</v>
      </c>
      <c r="I189" s="466"/>
      <c r="J189" s="469"/>
      <c r="K189" s="439"/>
      <c r="L189" s="31">
        <v>42495</v>
      </c>
      <c r="M189" s="286" t="s">
        <v>47</v>
      </c>
      <c r="N189" s="286" t="s">
        <v>524</v>
      </c>
      <c r="O189" s="286" t="s">
        <v>563</v>
      </c>
      <c r="P189" s="31">
        <v>42735</v>
      </c>
      <c r="Q189" s="286" t="s">
        <v>679</v>
      </c>
      <c r="R189" s="291" t="s">
        <v>48</v>
      </c>
      <c r="S189" s="31"/>
      <c r="T189" s="291"/>
      <c r="U189" s="308">
        <f t="shared" ref="U189" si="129">DAYS360(G189,L189,0)+1</f>
        <v>16</v>
      </c>
      <c r="V189" s="300" t="str">
        <f t="shared" ref="V189" si="130">IF(U189&gt;15,"Inoportuno",(IF(U189&lt;0,"No ha formulado PM","Oportuno")))</f>
        <v>Inoportuno</v>
      </c>
      <c r="W189" s="308">
        <f t="shared" ref="W189" si="131">DAYS360(P189,S189,0)+1</f>
        <v>-42119</v>
      </c>
      <c r="X189" s="299"/>
    </row>
    <row r="190" spans="1:24" ht="141.75" customHeight="1" x14ac:dyDescent="0.2">
      <c r="A190" s="291">
        <v>180</v>
      </c>
      <c r="B190" s="286" t="s">
        <v>263</v>
      </c>
      <c r="C190" s="404" t="s">
        <v>423</v>
      </c>
      <c r="D190" s="457" t="s">
        <v>43</v>
      </c>
      <c r="E190" s="454" t="s">
        <v>0</v>
      </c>
      <c r="F190" s="287" t="s">
        <v>493</v>
      </c>
      <c r="G190" s="31">
        <v>42480</v>
      </c>
      <c r="H190" s="286" t="s">
        <v>527</v>
      </c>
      <c r="I190" s="464" t="s">
        <v>75</v>
      </c>
      <c r="J190" s="467" t="s">
        <v>131</v>
      </c>
      <c r="K190" s="438" t="s">
        <v>76</v>
      </c>
      <c r="L190" s="31">
        <v>42495</v>
      </c>
      <c r="M190" s="286" t="s">
        <v>101</v>
      </c>
      <c r="N190" s="286" t="s">
        <v>526</v>
      </c>
      <c r="O190" s="286" t="s">
        <v>530</v>
      </c>
      <c r="P190" s="31">
        <v>42495</v>
      </c>
      <c r="Q190" s="289" t="s">
        <v>680</v>
      </c>
      <c r="R190" s="291" t="s">
        <v>48</v>
      </c>
      <c r="S190" s="31"/>
      <c r="T190" s="291"/>
      <c r="U190" s="308">
        <f t="shared" ref="U190:U194" si="132">DAYS360(G190,L190,0)+1</f>
        <v>16</v>
      </c>
      <c r="V190" s="300" t="str">
        <f t="shared" ref="V190:V194" si="133">IF(U190&gt;15,"Inoportuno",(IF(U190&lt;0,"No ha formulado PM","Oportuno")))</f>
        <v>Inoportuno</v>
      </c>
      <c r="W190" s="308">
        <f t="shared" ref="W190:W194" si="134">DAYS360(P190,S190,0)+1</f>
        <v>-41884</v>
      </c>
      <c r="X190" s="299"/>
    </row>
    <row r="191" spans="1:24" ht="68.25" customHeight="1" x14ac:dyDescent="0.2">
      <c r="A191" s="291">
        <f>+A190+1</f>
        <v>181</v>
      </c>
      <c r="B191" s="286" t="s">
        <v>263</v>
      </c>
      <c r="C191" s="286"/>
      <c r="D191" s="459"/>
      <c r="E191" s="456"/>
      <c r="F191" s="287" t="s">
        <v>493</v>
      </c>
      <c r="G191" s="31">
        <v>42480</v>
      </c>
      <c r="H191" s="286" t="s">
        <v>527</v>
      </c>
      <c r="I191" s="466"/>
      <c r="J191" s="469"/>
      <c r="K191" s="439"/>
      <c r="L191" s="31">
        <v>42495</v>
      </c>
      <c r="M191" s="286" t="s">
        <v>47</v>
      </c>
      <c r="N191" s="286" t="s">
        <v>526</v>
      </c>
      <c r="O191" s="286" t="s">
        <v>564</v>
      </c>
      <c r="P191" s="31">
        <v>42490</v>
      </c>
      <c r="Q191" s="289" t="s">
        <v>681</v>
      </c>
      <c r="R191" s="291" t="s">
        <v>48</v>
      </c>
      <c r="S191" s="31"/>
      <c r="T191" s="291"/>
      <c r="U191" s="308">
        <f t="shared" ref="U191" si="135">DAYS360(G191,L191,0)+1</f>
        <v>16</v>
      </c>
      <c r="V191" s="300" t="str">
        <f t="shared" ref="V191" si="136">IF(U191&gt;15,"Inoportuno",(IF(U191&lt;0,"No ha formulado PM","Oportuno")))</f>
        <v>Inoportuno</v>
      </c>
      <c r="W191" s="308">
        <f t="shared" ref="W191" si="137">DAYS360(P191,S191,0)+1</f>
        <v>-41879</v>
      </c>
      <c r="X191" s="299"/>
    </row>
    <row r="192" spans="1:24" ht="68.25" customHeight="1" x14ac:dyDescent="0.2">
      <c r="A192" s="291">
        <f>+A191+1</f>
        <v>182</v>
      </c>
      <c r="B192" s="286" t="s">
        <v>263</v>
      </c>
      <c r="C192" s="404" t="s">
        <v>423</v>
      </c>
      <c r="D192" s="457" t="s">
        <v>43</v>
      </c>
      <c r="E192" s="454" t="s">
        <v>0</v>
      </c>
      <c r="F192" s="287" t="s">
        <v>493</v>
      </c>
      <c r="G192" s="31">
        <v>42480</v>
      </c>
      <c r="H192" s="286" t="s">
        <v>528</v>
      </c>
      <c r="I192" s="464" t="s">
        <v>75</v>
      </c>
      <c r="J192" s="467" t="s">
        <v>131</v>
      </c>
      <c r="K192" s="438" t="s">
        <v>76</v>
      </c>
      <c r="L192" s="31">
        <v>42495</v>
      </c>
      <c r="M192" s="286" t="s">
        <v>101</v>
      </c>
      <c r="N192" s="286" t="s">
        <v>526</v>
      </c>
      <c r="O192" s="286" t="s">
        <v>565</v>
      </c>
      <c r="P192" s="31">
        <v>42520</v>
      </c>
      <c r="Q192" s="289" t="s">
        <v>682</v>
      </c>
      <c r="R192" s="291" t="s">
        <v>52</v>
      </c>
      <c r="S192" s="31">
        <v>42535</v>
      </c>
      <c r="T192" s="291"/>
      <c r="U192" s="308">
        <f t="shared" si="132"/>
        <v>16</v>
      </c>
      <c r="V192" s="300" t="str">
        <f t="shared" si="133"/>
        <v>Inoportuno</v>
      </c>
      <c r="W192" s="308">
        <f t="shared" si="134"/>
        <v>15</v>
      </c>
      <c r="X192" s="299"/>
    </row>
    <row r="193" spans="1:24" ht="68.25" customHeight="1" x14ac:dyDescent="0.2">
      <c r="A193" s="291">
        <f t="shared" si="125"/>
        <v>183</v>
      </c>
      <c r="B193" s="286" t="s">
        <v>263</v>
      </c>
      <c r="C193" s="286"/>
      <c r="D193" s="459"/>
      <c r="E193" s="456"/>
      <c r="F193" s="287" t="s">
        <v>493</v>
      </c>
      <c r="G193" s="31">
        <v>42480</v>
      </c>
      <c r="H193" s="286" t="s">
        <v>528</v>
      </c>
      <c r="I193" s="466"/>
      <c r="J193" s="469"/>
      <c r="K193" s="439"/>
      <c r="L193" s="31">
        <v>42495</v>
      </c>
      <c r="M193" s="286" t="s">
        <v>47</v>
      </c>
      <c r="N193" s="286" t="s">
        <v>526</v>
      </c>
      <c r="O193" s="286" t="s">
        <v>566</v>
      </c>
      <c r="P193" s="31">
        <v>42735</v>
      </c>
      <c r="Q193" s="286" t="s">
        <v>683</v>
      </c>
      <c r="R193" s="291" t="s">
        <v>48</v>
      </c>
      <c r="S193" s="31"/>
      <c r="T193" s="291"/>
      <c r="U193" s="308">
        <f t="shared" ref="U193" si="138">DAYS360(G193,L193,0)+1</f>
        <v>16</v>
      </c>
      <c r="V193" s="300" t="str">
        <f t="shared" ref="V193" si="139">IF(U193&gt;15,"Inoportuno",(IF(U193&lt;0,"No ha formulado PM","Oportuno")))</f>
        <v>Inoportuno</v>
      </c>
      <c r="W193" s="308">
        <f t="shared" ref="W193" si="140">DAYS360(P193,S193,0)+1</f>
        <v>-42119</v>
      </c>
      <c r="X193" s="299"/>
    </row>
    <row r="194" spans="1:24" ht="68.25" customHeight="1" x14ac:dyDescent="0.2">
      <c r="A194" s="291">
        <f>+A193+1</f>
        <v>184</v>
      </c>
      <c r="B194" s="286" t="s">
        <v>263</v>
      </c>
      <c r="C194" s="404" t="s">
        <v>423</v>
      </c>
      <c r="D194" s="457" t="s">
        <v>43</v>
      </c>
      <c r="E194" s="454" t="s">
        <v>0</v>
      </c>
      <c r="F194" s="287" t="s">
        <v>493</v>
      </c>
      <c r="G194" s="31">
        <v>42480</v>
      </c>
      <c r="H194" s="286" t="s">
        <v>529</v>
      </c>
      <c r="I194" s="464" t="s">
        <v>75</v>
      </c>
      <c r="J194" s="467" t="s">
        <v>131</v>
      </c>
      <c r="K194" s="438" t="s">
        <v>76</v>
      </c>
      <c r="L194" s="31">
        <v>42495</v>
      </c>
      <c r="M194" s="286" t="s">
        <v>101</v>
      </c>
      <c r="N194" s="164" t="s">
        <v>526</v>
      </c>
      <c r="O194" s="286" t="s">
        <v>567</v>
      </c>
      <c r="P194" s="31">
        <v>42495</v>
      </c>
      <c r="Q194" s="286" t="s">
        <v>684</v>
      </c>
      <c r="R194" s="291" t="s">
        <v>52</v>
      </c>
      <c r="S194" s="31">
        <v>42535</v>
      </c>
      <c r="T194" s="291"/>
      <c r="U194" s="308">
        <f t="shared" si="132"/>
        <v>16</v>
      </c>
      <c r="V194" s="300" t="str">
        <f t="shared" si="133"/>
        <v>Inoportuno</v>
      </c>
      <c r="W194" s="308">
        <f t="shared" si="134"/>
        <v>40</v>
      </c>
      <c r="X194" s="299"/>
    </row>
    <row r="195" spans="1:24" ht="68.25" customHeight="1" x14ac:dyDescent="0.2">
      <c r="A195" s="291">
        <f t="shared" si="125"/>
        <v>185</v>
      </c>
      <c r="B195" s="286" t="s">
        <v>263</v>
      </c>
      <c r="C195" s="286"/>
      <c r="D195" s="458"/>
      <c r="E195" s="455"/>
      <c r="F195" s="287" t="s">
        <v>493</v>
      </c>
      <c r="G195" s="31">
        <v>42480</v>
      </c>
      <c r="H195" s="286" t="s">
        <v>529</v>
      </c>
      <c r="I195" s="465"/>
      <c r="J195" s="468"/>
      <c r="K195" s="443"/>
      <c r="L195" s="31">
        <v>42495</v>
      </c>
      <c r="M195" s="286" t="s">
        <v>47</v>
      </c>
      <c r="N195" s="164" t="s">
        <v>526</v>
      </c>
      <c r="O195" s="286" t="s">
        <v>568</v>
      </c>
      <c r="P195" s="31">
        <v>42735</v>
      </c>
      <c r="Q195" s="286" t="s">
        <v>685</v>
      </c>
      <c r="R195" s="291" t="s">
        <v>48</v>
      </c>
      <c r="S195" s="31"/>
      <c r="T195" s="291"/>
      <c r="U195" s="308">
        <f t="shared" ref="U195" si="141">DAYS360(G195,L195,0)+1</f>
        <v>16</v>
      </c>
      <c r="V195" s="300" t="str">
        <f t="shared" ref="V195" si="142">IF(U195&gt;15,"Inoportuno",(IF(U195&lt;0,"No ha formulado PM","Oportuno")))</f>
        <v>Inoportuno</v>
      </c>
      <c r="W195" s="308">
        <f t="shared" ref="W195" si="143">DAYS360(P195,S195,0)+1</f>
        <v>-42119</v>
      </c>
      <c r="X195" s="299"/>
    </row>
    <row r="196" spans="1:24" ht="76.5" customHeight="1" x14ac:dyDescent="0.2">
      <c r="A196" s="291">
        <f>+A195+1</f>
        <v>186</v>
      </c>
      <c r="B196" s="286" t="s">
        <v>263</v>
      </c>
      <c r="C196" s="286"/>
      <c r="D196" s="459"/>
      <c r="E196" s="456"/>
      <c r="F196" s="287" t="s">
        <v>493</v>
      </c>
      <c r="G196" s="31">
        <v>42480</v>
      </c>
      <c r="H196" s="286" t="s">
        <v>529</v>
      </c>
      <c r="I196" s="466"/>
      <c r="J196" s="469"/>
      <c r="K196" s="439"/>
      <c r="L196" s="31">
        <v>42495</v>
      </c>
      <c r="M196" s="286" t="s">
        <v>47</v>
      </c>
      <c r="N196" s="164" t="s">
        <v>526</v>
      </c>
      <c r="O196" s="286" t="s">
        <v>569</v>
      </c>
      <c r="P196" s="31">
        <v>42735</v>
      </c>
      <c r="Q196" s="287" t="s">
        <v>686</v>
      </c>
      <c r="R196" s="291" t="s">
        <v>48</v>
      </c>
      <c r="S196" s="31"/>
      <c r="T196" s="291"/>
      <c r="U196" s="308">
        <f t="shared" ref="U196" si="144">DAYS360(G196,L196,0)+1</f>
        <v>16</v>
      </c>
      <c r="V196" s="300" t="str">
        <f t="shared" ref="V196" si="145">IF(U196&gt;15,"Inoportuno",(IF(U196&lt;0,"No ha formulado PM","Oportuno")))</f>
        <v>Inoportuno</v>
      </c>
      <c r="W196" s="308">
        <f t="shared" ref="W196" si="146">DAYS360(P196,S196,0)+1</f>
        <v>-42119</v>
      </c>
      <c r="X196" s="299"/>
    </row>
    <row r="197" spans="1:24" ht="45" customHeight="1" thickBot="1" x14ac:dyDescent="0.25">
      <c r="A197" s="291">
        <v>187</v>
      </c>
      <c r="B197" s="286" t="s">
        <v>331</v>
      </c>
      <c r="C197" s="404" t="s">
        <v>194</v>
      </c>
      <c r="D197" s="284" t="s">
        <v>43</v>
      </c>
      <c r="E197" s="295" t="s">
        <v>0</v>
      </c>
      <c r="F197" s="287" t="s">
        <v>55</v>
      </c>
      <c r="G197" s="31">
        <v>42480</v>
      </c>
      <c r="H197" s="409" t="s">
        <v>544</v>
      </c>
      <c r="I197" s="287" t="s">
        <v>75</v>
      </c>
      <c r="J197" s="288" t="s">
        <v>131</v>
      </c>
      <c r="K197" s="142" t="s">
        <v>77</v>
      </c>
      <c r="L197" s="31"/>
      <c r="M197" s="286"/>
      <c r="N197" s="286"/>
      <c r="O197" s="286"/>
      <c r="P197" s="31"/>
      <c r="Q197" s="286"/>
      <c r="R197" s="291"/>
      <c r="S197" s="31"/>
      <c r="T197" s="291"/>
      <c r="U197" s="308">
        <f t="shared" ref="U197:U225" si="147">DAYS360(G197,L197,0)+1</f>
        <v>-41869</v>
      </c>
      <c r="V197" s="300" t="str">
        <f t="shared" ref="V197:V225" si="148">IF(U197&gt;15,"Inoportuno",(IF(U197&lt;0,"No ha formulado PM","Oportuno")))</f>
        <v>No ha formulado PM</v>
      </c>
      <c r="W197" s="308">
        <f t="shared" ref="W197:W225" si="149">DAYS360(P197,S197,0)+1</f>
        <v>1</v>
      </c>
      <c r="X197" s="299"/>
    </row>
    <row r="198" spans="1:24" ht="27.75" customHeight="1" x14ac:dyDescent="0.2">
      <c r="A198" s="291">
        <v>188</v>
      </c>
      <c r="B198" s="286" t="s">
        <v>331</v>
      </c>
      <c r="C198" s="404" t="s">
        <v>194</v>
      </c>
      <c r="D198" s="284" t="s">
        <v>43</v>
      </c>
      <c r="E198" s="295" t="s">
        <v>0</v>
      </c>
      <c r="F198" s="287" t="s">
        <v>55</v>
      </c>
      <c r="G198" s="31">
        <v>42480</v>
      </c>
      <c r="H198" s="416" t="s">
        <v>545</v>
      </c>
      <c r="I198" s="287" t="s">
        <v>75</v>
      </c>
      <c r="J198" s="288" t="s">
        <v>131</v>
      </c>
      <c r="K198" s="142" t="s">
        <v>77</v>
      </c>
      <c r="L198" s="31"/>
      <c r="M198" s="286"/>
      <c r="N198" s="286"/>
      <c r="O198" s="286"/>
      <c r="P198" s="31"/>
      <c r="Q198" s="286"/>
      <c r="R198" s="291"/>
      <c r="S198" s="31"/>
      <c r="T198" s="291"/>
      <c r="U198" s="308">
        <f t="shared" si="147"/>
        <v>-41869</v>
      </c>
      <c r="V198" s="300" t="str">
        <f t="shared" si="148"/>
        <v>No ha formulado PM</v>
      </c>
      <c r="W198" s="308">
        <f t="shared" si="149"/>
        <v>1</v>
      </c>
      <c r="X198" s="299"/>
    </row>
    <row r="199" spans="1:24" ht="27.75" customHeight="1" x14ac:dyDescent="0.2">
      <c r="A199" s="291">
        <v>189</v>
      </c>
      <c r="B199" s="286" t="s">
        <v>331</v>
      </c>
      <c r="C199" s="404" t="s">
        <v>194</v>
      </c>
      <c r="D199" s="284" t="s">
        <v>43</v>
      </c>
      <c r="E199" s="295" t="s">
        <v>0</v>
      </c>
      <c r="F199" s="287" t="s">
        <v>55</v>
      </c>
      <c r="G199" s="31">
        <v>42480</v>
      </c>
      <c r="H199" s="286" t="s">
        <v>546</v>
      </c>
      <c r="I199" s="287" t="s">
        <v>75</v>
      </c>
      <c r="J199" s="411" t="s">
        <v>131</v>
      </c>
      <c r="K199" s="142" t="s">
        <v>77</v>
      </c>
      <c r="L199" s="31"/>
      <c r="M199" s="286"/>
      <c r="N199" s="286"/>
      <c r="O199" s="286"/>
      <c r="P199" s="31"/>
      <c r="Q199" s="286"/>
      <c r="R199" s="291"/>
      <c r="S199" s="31"/>
      <c r="T199" s="291"/>
      <c r="U199" s="308">
        <f t="shared" si="147"/>
        <v>-41869</v>
      </c>
      <c r="V199" s="300" t="str">
        <f t="shared" si="148"/>
        <v>No ha formulado PM</v>
      </c>
      <c r="W199" s="308">
        <f t="shared" si="149"/>
        <v>1</v>
      </c>
      <c r="X199" s="299"/>
    </row>
    <row r="200" spans="1:24" ht="54.75" customHeight="1" x14ac:dyDescent="0.2">
      <c r="A200" s="291">
        <v>190</v>
      </c>
      <c r="B200" s="286" t="s">
        <v>34</v>
      </c>
      <c r="C200" s="286" t="s">
        <v>194</v>
      </c>
      <c r="D200" s="284" t="s">
        <v>40</v>
      </c>
      <c r="E200" s="295" t="s">
        <v>0</v>
      </c>
      <c r="F200" s="287" t="s">
        <v>493</v>
      </c>
      <c r="G200" s="31">
        <v>42527</v>
      </c>
      <c r="H200" s="286" t="s">
        <v>608</v>
      </c>
      <c r="I200" s="287" t="s">
        <v>75</v>
      </c>
      <c r="J200" s="288" t="s">
        <v>131</v>
      </c>
      <c r="K200" s="142" t="s">
        <v>76</v>
      </c>
      <c r="L200" s="31">
        <v>42527</v>
      </c>
      <c r="M200" s="286" t="s">
        <v>47</v>
      </c>
      <c r="N200" s="404" t="s">
        <v>754</v>
      </c>
      <c r="O200" s="404" t="s">
        <v>753</v>
      </c>
      <c r="P200" s="31">
        <v>42643</v>
      </c>
      <c r="Q200" s="286"/>
      <c r="R200" s="291" t="s">
        <v>48</v>
      </c>
      <c r="S200" s="31"/>
      <c r="T200" s="291"/>
      <c r="U200" s="308">
        <f t="shared" si="147"/>
        <v>1</v>
      </c>
      <c r="V200" s="300" t="str">
        <f t="shared" si="148"/>
        <v>Oportuno</v>
      </c>
      <c r="W200" s="308">
        <f t="shared" si="149"/>
        <v>-42029</v>
      </c>
      <c r="X200" s="299"/>
    </row>
    <row r="201" spans="1:24" ht="78" customHeight="1" x14ac:dyDescent="0.2">
      <c r="A201" s="291">
        <f t="shared" ref="A201:A225" si="150">+A200+1</f>
        <v>191</v>
      </c>
      <c r="B201" s="286" t="s">
        <v>34</v>
      </c>
      <c r="C201" s="286" t="s">
        <v>194</v>
      </c>
      <c r="D201" s="284" t="s">
        <v>40</v>
      </c>
      <c r="E201" s="295" t="s">
        <v>0</v>
      </c>
      <c r="F201" s="287" t="s">
        <v>493</v>
      </c>
      <c r="G201" s="31">
        <v>42527</v>
      </c>
      <c r="H201" s="286" t="s">
        <v>609</v>
      </c>
      <c r="I201" s="287" t="s">
        <v>75</v>
      </c>
      <c r="J201" s="288" t="s">
        <v>131</v>
      </c>
      <c r="K201" s="142" t="s">
        <v>76</v>
      </c>
      <c r="L201" s="31">
        <v>42527</v>
      </c>
      <c r="M201" s="286" t="s">
        <v>47</v>
      </c>
      <c r="N201" s="404" t="s">
        <v>754</v>
      </c>
      <c r="O201" s="404" t="s">
        <v>755</v>
      </c>
      <c r="P201" s="31">
        <v>42643</v>
      </c>
      <c r="Q201" s="286"/>
      <c r="R201" s="291" t="s">
        <v>48</v>
      </c>
      <c r="S201" s="31"/>
      <c r="T201" s="291"/>
      <c r="U201" s="308">
        <f t="shared" si="147"/>
        <v>1</v>
      </c>
      <c r="V201" s="300" t="str">
        <f t="shared" si="148"/>
        <v>Oportuno</v>
      </c>
      <c r="W201" s="308">
        <f t="shared" si="149"/>
        <v>-42029</v>
      </c>
      <c r="X201" s="299"/>
    </row>
    <row r="202" spans="1:24" ht="127.5" customHeight="1" x14ac:dyDescent="0.2">
      <c r="A202" s="291">
        <v>192</v>
      </c>
      <c r="B202" s="286" t="s">
        <v>21</v>
      </c>
      <c r="C202" s="404" t="s">
        <v>194</v>
      </c>
      <c r="D202" s="284" t="s">
        <v>40</v>
      </c>
      <c r="E202" s="295" t="s">
        <v>195</v>
      </c>
      <c r="F202" s="287" t="s">
        <v>56</v>
      </c>
      <c r="G202" s="31">
        <v>42548</v>
      </c>
      <c r="H202" s="286" t="s">
        <v>602</v>
      </c>
      <c r="I202" s="287" t="s">
        <v>75</v>
      </c>
      <c r="J202" s="288" t="s">
        <v>131</v>
      </c>
      <c r="K202" s="142" t="s">
        <v>76</v>
      </c>
      <c r="L202" s="31">
        <v>42566</v>
      </c>
      <c r="M202" s="286" t="s">
        <v>47</v>
      </c>
      <c r="N202" s="389" t="s">
        <v>692</v>
      </c>
      <c r="O202" s="389" t="s">
        <v>691</v>
      </c>
      <c r="P202" s="31">
        <v>42612</v>
      </c>
      <c r="Q202" s="286"/>
      <c r="R202" s="291" t="s">
        <v>48</v>
      </c>
      <c r="S202" s="31"/>
      <c r="T202" s="291"/>
      <c r="U202" s="308">
        <f t="shared" si="147"/>
        <v>19</v>
      </c>
      <c r="V202" s="300" t="str">
        <f t="shared" si="148"/>
        <v>Inoportuno</v>
      </c>
      <c r="W202" s="308">
        <f t="shared" si="149"/>
        <v>-41999</v>
      </c>
      <c r="X202" s="299"/>
    </row>
    <row r="203" spans="1:24" ht="62.25" customHeight="1" x14ac:dyDescent="0.2">
      <c r="A203" s="291">
        <f t="shared" si="150"/>
        <v>193</v>
      </c>
      <c r="B203" s="286" t="s">
        <v>21</v>
      </c>
      <c r="C203" s="404" t="s">
        <v>194</v>
      </c>
      <c r="D203" s="284" t="s">
        <v>40</v>
      </c>
      <c r="E203" s="295" t="s">
        <v>195</v>
      </c>
      <c r="F203" s="287" t="s">
        <v>56</v>
      </c>
      <c r="G203" s="31">
        <v>42548</v>
      </c>
      <c r="H203" s="286" t="s">
        <v>603</v>
      </c>
      <c r="I203" s="287" t="s">
        <v>75</v>
      </c>
      <c r="J203" s="288" t="s">
        <v>131</v>
      </c>
      <c r="K203" s="142" t="s">
        <v>76</v>
      </c>
      <c r="L203" s="31">
        <v>42566</v>
      </c>
      <c r="M203" s="286" t="s">
        <v>47</v>
      </c>
      <c r="N203" s="389" t="s">
        <v>692</v>
      </c>
      <c r="O203" s="389" t="s">
        <v>693</v>
      </c>
      <c r="P203" s="31">
        <v>42612</v>
      </c>
      <c r="Q203" s="286"/>
      <c r="R203" s="291" t="s">
        <v>48</v>
      </c>
      <c r="S203" s="31"/>
      <c r="T203" s="291"/>
      <c r="U203" s="308">
        <f t="shared" si="147"/>
        <v>19</v>
      </c>
      <c r="V203" s="300" t="str">
        <f t="shared" si="148"/>
        <v>Inoportuno</v>
      </c>
      <c r="W203" s="308">
        <f t="shared" si="149"/>
        <v>-41999</v>
      </c>
      <c r="X203" s="299"/>
    </row>
    <row r="204" spans="1:24" ht="106.5" customHeight="1" x14ac:dyDescent="0.2">
      <c r="A204" s="291">
        <f t="shared" si="150"/>
        <v>194</v>
      </c>
      <c r="B204" s="286" t="s">
        <v>21</v>
      </c>
      <c r="C204" s="404" t="s">
        <v>194</v>
      </c>
      <c r="D204" s="284" t="s">
        <v>40</v>
      </c>
      <c r="E204" s="295" t="s">
        <v>195</v>
      </c>
      <c r="F204" s="287" t="s">
        <v>56</v>
      </c>
      <c r="G204" s="31">
        <v>42548</v>
      </c>
      <c r="H204" s="286" t="s">
        <v>604</v>
      </c>
      <c r="I204" s="287" t="s">
        <v>75</v>
      </c>
      <c r="J204" s="288" t="s">
        <v>131</v>
      </c>
      <c r="K204" s="142" t="s">
        <v>76</v>
      </c>
      <c r="L204" s="31">
        <v>42566</v>
      </c>
      <c r="M204" s="286" t="s">
        <v>47</v>
      </c>
      <c r="N204" s="389" t="s">
        <v>692</v>
      </c>
      <c r="O204" s="389" t="s">
        <v>694</v>
      </c>
      <c r="P204" s="31">
        <v>42581</v>
      </c>
      <c r="Q204" s="286"/>
      <c r="R204" s="291" t="s">
        <v>48</v>
      </c>
      <c r="S204" s="31"/>
      <c r="T204" s="291"/>
      <c r="U204" s="308">
        <f t="shared" si="147"/>
        <v>19</v>
      </c>
      <c r="V204" s="300" t="str">
        <f t="shared" si="148"/>
        <v>Inoportuno</v>
      </c>
      <c r="W204" s="308">
        <f t="shared" si="149"/>
        <v>-41969</v>
      </c>
      <c r="X204" s="299"/>
    </row>
    <row r="205" spans="1:24" ht="74.25" customHeight="1" x14ac:dyDescent="0.2">
      <c r="A205" s="291">
        <v>195</v>
      </c>
      <c r="B205" s="286" t="s">
        <v>33</v>
      </c>
      <c r="C205" s="286" t="s">
        <v>408</v>
      </c>
      <c r="D205" s="284" t="s">
        <v>40</v>
      </c>
      <c r="E205" s="295" t="s">
        <v>0</v>
      </c>
      <c r="F205" s="287" t="s">
        <v>53</v>
      </c>
      <c r="G205" s="31">
        <v>42550</v>
      </c>
      <c r="H205" s="286" t="s">
        <v>659</v>
      </c>
      <c r="I205" s="287" t="s">
        <v>75</v>
      </c>
      <c r="J205" s="288" t="s">
        <v>131</v>
      </c>
      <c r="K205" s="142" t="s">
        <v>76</v>
      </c>
      <c r="L205" s="31">
        <v>42572</v>
      </c>
      <c r="M205" s="286" t="s">
        <v>51</v>
      </c>
      <c r="N205" s="286" t="s">
        <v>690</v>
      </c>
      <c r="O205" s="286" t="s">
        <v>687</v>
      </c>
      <c r="P205" s="31">
        <v>42735</v>
      </c>
      <c r="Q205" s="286"/>
      <c r="R205" s="291" t="s">
        <v>48</v>
      </c>
      <c r="S205" s="31"/>
      <c r="T205" s="291"/>
      <c r="U205" s="308">
        <f t="shared" ref="U205:U207" si="151">DAYS360(G205,L205,0)+1</f>
        <v>23</v>
      </c>
      <c r="V205" s="300" t="str">
        <f t="shared" ref="V205:V207" si="152">IF(U205&gt;15,"Inoportuno",(IF(U205&lt;0,"No ha formulado PM","Oportuno")))</f>
        <v>Inoportuno</v>
      </c>
      <c r="W205" s="308">
        <f t="shared" ref="W205:W207" si="153">DAYS360(P205,S205,0)+1</f>
        <v>-42119</v>
      </c>
      <c r="X205" s="299"/>
    </row>
    <row r="206" spans="1:24" ht="36.75" customHeight="1" x14ac:dyDescent="0.2">
      <c r="A206" s="291">
        <f t="shared" si="150"/>
        <v>196</v>
      </c>
      <c r="B206" s="286" t="s">
        <v>33</v>
      </c>
      <c r="C206" s="286" t="s">
        <v>408</v>
      </c>
      <c r="D206" s="284" t="s">
        <v>40</v>
      </c>
      <c r="E206" s="295" t="s">
        <v>0</v>
      </c>
      <c r="F206" s="287" t="s">
        <v>53</v>
      </c>
      <c r="G206" s="31">
        <v>42550</v>
      </c>
      <c r="H206" s="286" t="s">
        <v>660</v>
      </c>
      <c r="I206" s="287" t="s">
        <v>75</v>
      </c>
      <c r="J206" s="288" t="s">
        <v>131</v>
      </c>
      <c r="K206" s="142" t="s">
        <v>76</v>
      </c>
      <c r="L206" s="31">
        <v>42572</v>
      </c>
      <c r="M206" s="286" t="s">
        <v>51</v>
      </c>
      <c r="N206" s="286" t="s">
        <v>690</v>
      </c>
      <c r="O206" s="286" t="s">
        <v>688</v>
      </c>
      <c r="P206" s="31">
        <v>42735</v>
      </c>
      <c r="Q206" s="286"/>
      <c r="R206" s="291" t="s">
        <v>48</v>
      </c>
      <c r="S206" s="31"/>
      <c r="T206" s="291"/>
      <c r="U206" s="308">
        <f t="shared" si="151"/>
        <v>23</v>
      </c>
      <c r="V206" s="300" t="str">
        <f t="shared" si="152"/>
        <v>Inoportuno</v>
      </c>
      <c r="W206" s="308">
        <f t="shared" si="153"/>
        <v>-42119</v>
      </c>
      <c r="X206" s="299"/>
    </row>
    <row r="207" spans="1:24" ht="66.75" customHeight="1" x14ac:dyDescent="0.2">
      <c r="A207" s="291">
        <v>197</v>
      </c>
      <c r="B207" s="286" t="s">
        <v>33</v>
      </c>
      <c r="C207" s="286" t="s">
        <v>408</v>
      </c>
      <c r="D207" s="284" t="s">
        <v>40</v>
      </c>
      <c r="E207" s="295" t="s">
        <v>0</v>
      </c>
      <c r="F207" s="287" t="s">
        <v>53</v>
      </c>
      <c r="G207" s="31">
        <v>42550</v>
      </c>
      <c r="H207" s="286" t="s">
        <v>399</v>
      </c>
      <c r="I207" s="287" t="s">
        <v>75</v>
      </c>
      <c r="J207" s="288" t="s">
        <v>131</v>
      </c>
      <c r="K207" s="142" t="s">
        <v>76</v>
      </c>
      <c r="L207" s="31">
        <v>42572</v>
      </c>
      <c r="M207" s="286" t="s">
        <v>51</v>
      </c>
      <c r="N207" s="286" t="s">
        <v>690</v>
      </c>
      <c r="O207" s="286" t="s">
        <v>689</v>
      </c>
      <c r="P207" s="31">
        <v>42735</v>
      </c>
      <c r="Q207" s="286"/>
      <c r="R207" s="291" t="s">
        <v>48</v>
      </c>
      <c r="S207" s="31"/>
      <c r="T207" s="291"/>
      <c r="U207" s="308">
        <f t="shared" si="151"/>
        <v>23</v>
      </c>
      <c r="V207" s="300" t="str">
        <f t="shared" si="152"/>
        <v>Inoportuno</v>
      </c>
      <c r="W207" s="308">
        <f t="shared" si="153"/>
        <v>-42119</v>
      </c>
      <c r="X207" s="299"/>
    </row>
    <row r="208" spans="1:24" ht="116.25" customHeight="1" x14ac:dyDescent="0.2">
      <c r="A208" s="291">
        <f t="shared" si="150"/>
        <v>198</v>
      </c>
      <c r="B208" s="286" t="s">
        <v>46</v>
      </c>
      <c r="C208" s="286" t="s">
        <v>735</v>
      </c>
      <c r="D208" s="284" t="s">
        <v>40</v>
      </c>
      <c r="E208" s="295" t="s">
        <v>195</v>
      </c>
      <c r="F208" s="287" t="s">
        <v>56</v>
      </c>
      <c r="G208" s="31">
        <v>42551</v>
      </c>
      <c r="H208" s="286" t="s">
        <v>657</v>
      </c>
      <c r="I208" s="287" t="s">
        <v>75</v>
      </c>
      <c r="J208" s="288" t="s">
        <v>131</v>
      </c>
      <c r="K208" s="142" t="s">
        <v>76</v>
      </c>
      <c r="L208" s="31">
        <v>42677</v>
      </c>
      <c r="M208" s="286" t="s">
        <v>101</v>
      </c>
      <c r="N208" s="404" t="s">
        <v>757</v>
      </c>
      <c r="O208" s="404" t="s">
        <v>763</v>
      </c>
      <c r="P208" s="31">
        <v>42735</v>
      </c>
      <c r="Q208" s="286"/>
      <c r="R208" s="291" t="s">
        <v>48</v>
      </c>
      <c r="S208" s="31"/>
      <c r="T208" s="291"/>
      <c r="U208" s="308">
        <f t="shared" si="147"/>
        <v>124</v>
      </c>
      <c r="V208" s="300" t="str">
        <f t="shared" si="148"/>
        <v>Inoportuno</v>
      </c>
      <c r="W208" s="308">
        <f t="shared" si="149"/>
        <v>-42119</v>
      </c>
      <c r="X208" s="299"/>
    </row>
    <row r="209" spans="1:24" ht="70.5" customHeight="1" x14ac:dyDescent="0.2">
      <c r="A209" s="291">
        <v>199</v>
      </c>
      <c r="B209" s="286" t="s">
        <v>46</v>
      </c>
      <c r="C209" s="286" t="s">
        <v>735</v>
      </c>
      <c r="D209" s="284" t="s">
        <v>40</v>
      </c>
      <c r="E209" s="295" t="s">
        <v>195</v>
      </c>
      <c r="F209" s="287" t="s">
        <v>56</v>
      </c>
      <c r="G209" s="31">
        <v>42551</v>
      </c>
      <c r="H209" s="286" t="s">
        <v>658</v>
      </c>
      <c r="I209" s="287" t="s">
        <v>75</v>
      </c>
      <c r="J209" s="411" t="s">
        <v>131</v>
      </c>
      <c r="K209" s="142" t="s">
        <v>76</v>
      </c>
      <c r="L209" s="31">
        <v>42677</v>
      </c>
      <c r="M209" s="286" t="s">
        <v>101</v>
      </c>
      <c r="N209" s="404" t="s">
        <v>757</v>
      </c>
      <c r="O209" s="404" t="s">
        <v>764</v>
      </c>
      <c r="P209" s="31">
        <v>42735</v>
      </c>
      <c r="Q209" s="286"/>
      <c r="R209" s="291" t="s">
        <v>48</v>
      </c>
      <c r="S209" s="31"/>
      <c r="T209" s="291"/>
      <c r="U209" s="308">
        <f t="shared" ref="U209" si="154">DAYS360(G209,L209,0)+1</f>
        <v>124</v>
      </c>
      <c r="V209" s="300" t="str">
        <f t="shared" ref="V209" si="155">IF(U209&gt;15,"Inoportuno",(IF(U209&lt;0,"No ha formulado PM","Oportuno")))</f>
        <v>Inoportuno</v>
      </c>
      <c r="W209" s="308">
        <f t="shared" ref="W209" si="156">DAYS360(P209,S209,0)+1</f>
        <v>-42119</v>
      </c>
      <c r="X209" s="299"/>
    </row>
    <row r="210" spans="1:24" ht="104.25" customHeight="1" x14ac:dyDescent="0.2">
      <c r="A210" s="291">
        <f t="shared" si="150"/>
        <v>200</v>
      </c>
      <c r="B210" s="286" t="s">
        <v>333</v>
      </c>
      <c r="C210" s="404" t="s">
        <v>194</v>
      </c>
      <c r="D210" s="284" t="s">
        <v>40</v>
      </c>
      <c r="E210" s="295" t="s">
        <v>0</v>
      </c>
      <c r="F210" s="287" t="s">
        <v>494</v>
      </c>
      <c r="G210" s="31">
        <v>42551</v>
      </c>
      <c r="H210" s="286" t="s">
        <v>672</v>
      </c>
      <c r="I210" s="287" t="s">
        <v>75</v>
      </c>
      <c r="J210" s="288" t="s">
        <v>131</v>
      </c>
      <c r="K210" s="142" t="s">
        <v>76</v>
      </c>
      <c r="L210" s="31">
        <v>42551</v>
      </c>
      <c r="M210" s="286" t="s">
        <v>47</v>
      </c>
      <c r="N210" s="286" t="s">
        <v>134</v>
      </c>
      <c r="O210" s="204" t="e">
        <f>- Reporte y control del Diseño y desarrollo</f>
        <v>#NAME?</v>
      </c>
      <c r="P210" s="31">
        <v>42765</v>
      </c>
      <c r="Q210" s="392" t="s">
        <v>721</v>
      </c>
      <c r="R210" s="291" t="s">
        <v>48</v>
      </c>
      <c r="S210" s="31"/>
      <c r="T210" s="291"/>
      <c r="U210" s="308">
        <f t="shared" ref="U210:U211" si="157">DAYS360(G210,L210,0)+1</f>
        <v>1</v>
      </c>
      <c r="V210" s="300" t="str">
        <f t="shared" ref="V210:V211" si="158">IF(U210&gt;15,"Inoportuno",(IF(U210&lt;0,"No ha formulado PM","Oportuno")))</f>
        <v>Oportuno</v>
      </c>
      <c r="W210" s="308">
        <f t="shared" ref="W210:W211" si="159">DAYS360(P210,S210,0)+1</f>
        <v>-42149</v>
      </c>
      <c r="X210" s="299"/>
    </row>
    <row r="211" spans="1:24" ht="52.5" customHeight="1" x14ac:dyDescent="0.2">
      <c r="A211" s="291">
        <f t="shared" si="150"/>
        <v>201</v>
      </c>
      <c r="B211" s="286" t="s">
        <v>333</v>
      </c>
      <c r="C211" s="404" t="s">
        <v>194</v>
      </c>
      <c r="D211" s="284" t="s">
        <v>40</v>
      </c>
      <c r="E211" s="295" t="s">
        <v>0</v>
      </c>
      <c r="F211" s="287" t="s">
        <v>494</v>
      </c>
      <c r="G211" s="31">
        <v>42551</v>
      </c>
      <c r="H211" s="286" t="s">
        <v>673</v>
      </c>
      <c r="I211" s="287" t="s">
        <v>75</v>
      </c>
      <c r="J211" s="288" t="s">
        <v>132</v>
      </c>
      <c r="K211" s="142" t="s">
        <v>76</v>
      </c>
      <c r="L211" s="31">
        <v>42581</v>
      </c>
      <c r="M211" s="286" t="s">
        <v>47</v>
      </c>
      <c r="N211" s="286" t="s">
        <v>134</v>
      </c>
      <c r="O211" s="204" t="e">
        <f>- Actualización del normograma</f>
        <v>#NAME?</v>
      </c>
      <c r="P211" s="31">
        <v>42612</v>
      </c>
      <c r="Q211" s="392" t="s">
        <v>722</v>
      </c>
      <c r="R211" s="291" t="s">
        <v>52</v>
      </c>
      <c r="S211" s="31"/>
      <c r="T211" s="291"/>
      <c r="U211" s="308">
        <f t="shared" si="157"/>
        <v>31</v>
      </c>
      <c r="V211" s="300" t="str">
        <f t="shared" si="158"/>
        <v>Inoportuno</v>
      </c>
      <c r="W211" s="308">
        <f t="shared" si="159"/>
        <v>-41999</v>
      </c>
      <c r="X211" s="299"/>
    </row>
    <row r="212" spans="1:24" ht="68.25" customHeight="1" x14ac:dyDescent="0.2">
      <c r="A212" s="438">
        <v>202</v>
      </c>
      <c r="B212" s="404" t="s">
        <v>9</v>
      </c>
      <c r="C212" s="404" t="s">
        <v>194</v>
      </c>
      <c r="D212" s="403" t="s">
        <v>40</v>
      </c>
      <c r="E212" s="409" t="s">
        <v>0</v>
      </c>
      <c r="F212" s="405" t="s">
        <v>493</v>
      </c>
      <c r="G212" s="31">
        <v>42551</v>
      </c>
      <c r="H212" s="467" t="s">
        <v>675</v>
      </c>
      <c r="I212" s="405" t="s">
        <v>75</v>
      </c>
      <c r="J212" s="406" t="s">
        <v>131</v>
      </c>
      <c r="K212" s="142" t="s">
        <v>76</v>
      </c>
      <c r="L212" s="31">
        <v>42443</v>
      </c>
      <c r="M212" s="404" t="s">
        <v>101</v>
      </c>
      <c r="N212" s="404" t="s">
        <v>737</v>
      </c>
      <c r="O212" s="405" t="s">
        <v>765</v>
      </c>
      <c r="P212" s="31">
        <v>42536</v>
      </c>
      <c r="Q212" s="404"/>
      <c r="R212" s="407" t="s">
        <v>48</v>
      </c>
      <c r="S212" s="31"/>
      <c r="T212" s="407"/>
      <c r="U212" s="414"/>
      <c r="V212" s="413"/>
      <c r="W212" s="414"/>
      <c r="X212" s="412"/>
    </row>
    <row r="213" spans="1:24" ht="64.5" customHeight="1" x14ac:dyDescent="0.2">
      <c r="A213" s="439"/>
      <c r="B213" s="286" t="s">
        <v>9</v>
      </c>
      <c r="C213" s="404" t="s">
        <v>194</v>
      </c>
      <c r="D213" s="284" t="s">
        <v>40</v>
      </c>
      <c r="E213" s="295" t="s">
        <v>0</v>
      </c>
      <c r="F213" s="287" t="s">
        <v>493</v>
      </c>
      <c r="G213" s="31">
        <v>42551</v>
      </c>
      <c r="H213" s="469"/>
      <c r="I213" s="287" t="s">
        <v>75</v>
      </c>
      <c r="J213" s="411" t="s">
        <v>131</v>
      </c>
      <c r="K213" s="142" t="s">
        <v>76</v>
      </c>
      <c r="L213" s="31">
        <v>42443</v>
      </c>
      <c r="M213" s="286" t="s">
        <v>51</v>
      </c>
      <c r="N213" s="404" t="s">
        <v>737</v>
      </c>
      <c r="O213" s="405" t="s">
        <v>766</v>
      </c>
      <c r="P213" s="31">
        <v>42536</v>
      </c>
      <c r="Q213" s="286"/>
      <c r="R213" s="291" t="s">
        <v>48</v>
      </c>
      <c r="S213" s="31"/>
      <c r="T213" s="291"/>
      <c r="U213" s="308">
        <f t="shared" ref="U213" si="160">DAYS360(G213,L213,0)+1</f>
        <v>-105</v>
      </c>
      <c r="V213" s="300" t="str">
        <f t="shared" ref="V213" si="161">IF(U213&gt;15,"Inoportuno",(IF(U213&lt;0,"No ha formulado PM","Oportuno")))</f>
        <v>No ha formulado PM</v>
      </c>
      <c r="W213" s="308">
        <f t="shared" ref="W213" si="162">DAYS360(P213,S213,0)+1</f>
        <v>-41924</v>
      </c>
      <c r="X213" s="299"/>
    </row>
    <row r="214" spans="1:24" ht="204" customHeight="1" x14ac:dyDescent="0.2">
      <c r="A214" s="291">
        <v>203</v>
      </c>
      <c r="B214" s="286" t="s">
        <v>333</v>
      </c>
      <c r="C214" s="286" t="s">
        <v>723</v>
      </c>
      <c r="D214" s="284" t="s">
        <v>40</v>
      </c>
      <c r="E214" s="295" t="s">
        <v>0</v>
      </c>
      <c r="F214" s="287" t="s">
        <v>494</v>
      </c>
      <c r="G214" s="31">
        <v>42663</v>
      </c>
      <c r="H214" s="420" t="s">
        <v>724</v>
      </c>
      <c r="I214" s="287" t="s">
        <v>75</v>
      </c>
      <c r="J214" s="288" t="s">
        <v>131</v>
      </c>
      <c r="K214" s="142" t="s">
        <v>76</v>
      </c>
      <c r="L214" s="31">
        <v>42551</v>
      </c>
      <c r="M214" s="286" t="s">
        <v>47</v>
      </c>
      <c r="N214" s="286" t="s">
        <v>142</v>
      </c>
      <c r="O214" s="286" t="s">
        <v>727</v>
      </c>
      <c r="P214" s="31">
        <v>42765</v>
      </c>
      <c r="Q214" s="286"/>
      <c r="R214" s="291" t="s">
        <v>48</v>
      </c>
      <c r="S214" s="31"/>
      <c r="T214" s="291"/>
      <c r="U214" s="308">
        <f t="shared" ref="U214:U222" si="163">DAYS360(G214,L214,0)+1</f>
        <v>-109</v>
      </c>
      <c r="V214" s="300" t="str">
        <f t="shared" ref="V214:V222" si="164">IF(U214&gt;15,"Inoportuno",(IF(U214&lt;0,"No ha formulado PM","Oportuno")))</f>
        <v>No ha formulado PM</v>
      </c>
      <c r="W214" s="308">
        <f t="shared" ref="W214:W222" si="165">DAYS360(P214,S214,0)+1</f>
        <v>-42149</v>
      </c>
      <c r="X214" s="299"/>
    </row>
    <row r="215" spans="1:24" ht="106.5" customHeight="1" x14ac:dyDescent="0.2">
      <c r="A215" s="291">
        <f t="shared" si="150"/>
        <v>204</v>
      </c>
      <c r="B215" s="286" t="s">
        <v>333</v>
      </c>
      <c r="C215" s="286" t="s">
        <v>723</v>
      </c>
      <c r="D215" s="284" t="s">
        <v>40</v>
      </c>
      <c r="E215" s="295" t="s">
        <v>0</v>
      </c>
      <c r="F215" s="287" t="s">
        <v>494</v>
      </c>
      <c r="G215" s="31">
        <v>42663</v>
      </c>
      <c r="H215" s="28" t="s">
        <v>725</v>
      </c>
      <c r="I215" s="287" t="s">
        <v>75</v>
      </c>
      <c r="J215" s="288" t="s">
        <v>131</v>
      </c>
      <c r="K215" s="142" t="s">
        <v>76</v>
      </c>
      <c r="L215" s="31">
        <v>42644</v>
      </c>
      <c r="M215" s="286" t="s">
        <v>47</v>
      </c>
      <c r="N215" s="286" t="s">
        <v>726</v>
      </c>
      <c r="O215" s="286" t="s">
        <v>728</v>
      </c>
      <c r="P215" s="31">
        <v>42794</v>
      </c>
      <c r="Q215" s="286"/>
      <c r="R215" s="291" t="s">
        <v>48</v>
      </c>
      <c r="S215" s="31"/>
      <c r="T215" s="291"/>
      <c r="U215" s="308">
        <f t="shared" si="163"/>
        <v>-18</v>
      </c>
      <c r="V215" s="300" t="str">
        <f t="shared" si="164"/>
        <v>No ha formulado PM</v>
      </c>
      <c r="W215" s="308">
        <f t="shared" si="165"/>
        <v>-42179</v>
      </c>
      <c r="X215" s="299"/>
    </row>
    <row r="216" spans="1:24" ht="82.5" customHeight="1" x14ac:dyDescent="0.2">
      <c r="A216" s="291">
        <f t="shared" si="150"/>
        <v>205</v>
      </c>
      <c r="B216" s="286" t="s">
        <v>33</v>
      </c>
      <c r="C216" s="286" t="s">
        <v>723</v>
      </c>
      <c r="D216" s="284" t="s">
        <v>40</v>
      </c>
      <c r="E216" s="295" t="s">
        <v>0</v>
      </c>
      <c r="F216" s="287"/>
      <c r="G216" s="31">
        <v>42628</v>
      </c>
      <c r="H216" s="393" t="s">
        <v>729</v>
      </c>
      <c r="I216" s="287" t="s">
        <v>75</v>
      </c>
      <c r="J216" s="288" t="s">
        <v>131</v>
      </c>
      <c r="K216" s="142" t="s">
        <v>76</v>
      </c>
      <c r="L216" s="31">
        <v>42590</v>
      </c>
      <c r="M216" s="286" t="s">
        <v>47</v>
      </c>
      <c r="N216" s="392" t="s">
        <v>330</v>
      </c>
      <c r="O216" s="392" t="s">
        <v>733</v>
      </c>
      <c r="P216" s="31">
        <v>42735</v>
      </c>
      <c r="Q216" s="286"/>
      <c r="R216" s="291" t="s">
        <v>48</v>
      </c>
      <c r="S216" s="31"/>
      <c r="T216" s="291"/>
      <c r="U216" s="308">
        <f t="shared" si="163"/>
        <v>-36</v>
      </c>
      <c r="V216" s="300" t="str">
        <f t="shared" si="164"/>
        <v>No ha formulado PM</v>
      </c>
      <c r="W216" s="308">
        <f t="shared" si="165"/>
        <v>-42119</v>
      </c>
      <c r="X216" s="299"/>
    </row>
    <row r="217" spans="1:24" ht="101.25" x14ac:dyDescent="0.2">
      <c r="A217" s="291">
        <f t="shared" si="150"/>
        <v>206</v>
      </c>
      <c r="B217" s="286" t="s">
        <v>33</v>
      </c>
      <c r="C217" s="392" t="s">
        <v>723</v>
      </c>
      <c r="D217" s="284" t="s">
        <v>40</v>
      </c>
      <c r="E217" s="295" t="s">
        <v>0</v>
      </c>
      <c r="F217" s="287"/>
      <c r="G217" s="31">
        <v>42628</v>
      </c>
      <c r="H217" s="393" t="s">
        <v>730</v>
      </c>
      <c r="I217" s="287" t="s">
        <v>75</v>
      </c>
      <c r="J217" s="288" t="s">
        <v>131</v>
      </c>
      <c r="K217" s="142" t="s">
        <v>76</v>
      </c>
      <c r="L217" s="31">
        <v>42590</v>
      </c>
      <c r="M217" s="286" t="s">
        <v>51</v>
      </c>
      <c r="N217" s="392" t="s">
        <v>330</v>
      </c>
      <c r="O217" s="392" t="s">
        <v>732</v>
      </c>
      <c r="P217" s="31">
        <v>42735</v>
      </c>
      <c r="Q217" s="286"/>
      <c r="R217" s="291" t="s">
        <v>48</v>
      </c>
      <c r="S217" s="31"/>
      <c r="T217" s="291"/>
      <c r="U217" s="308">
        <f t="shared" si="163"/>
        <v>-36</v>
      </c>
      <c r="V217" s="300" t="str">
        <f t="shared" si="164"/>
        <v>No ha formulado PM</v>
      </c>
      <c r="W217" s="308">
        <f t="shared" si="165"/>
        <v>-42119</v>
      </c>
      <c r="X217" s="299"/>
    </row>
    <row r="218" spans="1:24" ht="45" x14ac:dyDescent="0.2">
      <c r="A218" s="291">
        <f t="shared" si="150"/>
        <v>207</v>
      </c>
      <c r="B218" s="286" t="s">
        <v>33</v>
      </c>
      <c r="C218" s="404" t="s">
        <v>194</v>
      </c>
      <c r="D218" s="284" t="s">
        <v>40</v>
      </c>
      <c r="E218" s="295" t="s">
        <v>0</v>
      </c>
      <c r="F218" s="287"/>
      <c r="G218" s="31">
        <v>42628</v>
      </c>
      <c r="H218" s="393" t="s">
        <v>731</v>
      </c>
      <c r="I218" s="287" t="s">
        <v>75</v>
      </c>
      <c r="J218" s="411" t="s">
        <v>131</v>
      </c>
      <c r="K218" s="142" t="s">
        <v>76</v>
      </c>
      <c r="L218" s="31">
        <v>42590</v>
      </c>
      <c r="M218" s="286" t="s">
        <v>51</v>
      </c>
      <c r="N218" s="392" t="s">
        <v>330</v>
      </c>
      <c r="O218" s="392" t="s">
        <v>734</v>
      </c>
      <c r="P218" s="31">
        <v>42622</v>
      </c>
      <c r="Q218" s="286"/>
      <c r="R218" s="291" t="s">
        <v>48</v>
      </c>
      <c r="S218" s="31"/>
      <c r="T218" s="291"/>
      <c r="U218" s="308">
        <f t="shared" si="163"/>
        <v>-36</v>
      </c>
      <c r="V218" s="300" t="str">
        <f t="shared" si="164"/>
        <v>No ha formulado PM</v>
      </c>
      <c r="W218" s="308">
        <f t="shared" si="165"/>
        <v>-42008</v>
      </c>
      <c r="X218" s="299"/>
    </row>
    <row r="219" spans="1:24" x14ac:dyDescent="0.2">
      <c r="A219" s="291">
        <f t="shared" si="150"/>
        <v>208</v>
      </c>
      <c r="B219" s="286"/>
      <c r="C219" s="286"/>
      <c r="D219" s="284"/>
      <c r="E219" s="295"/>
      <c r="F219" s="287"/>
      <c r="G219" s="31">
        <v>42628</v>
      </c>
      <c r="H219" s="286"/>
      <c r="I219" s="287"/>
      <c r="J219" s="288"/>
      <c r="K219" s="142"/>
      <c r="L219" s="31"/>
      <c r="M219" s="286"/>
      <c r="N219" s="286"/>
      <c r="O219" s="286"/>
      <c r="P219" s="31"/>
      <c r="Q219" s="286"/>
      <c r="R219" s="291"/>
      <c r="S219" s="31"/>
      <c r="T219" s="291"/>
      <c r="U219" s="308">
        <f t="shared" si="163"/>
        <v>-42014</v>
      </c>
      <c r="V219" s="300" t="str">
        <f t="shared" si="164"/>
        <v>No ha formulado PM</v>
      </c>
      <c r="W219" s="308">
        <f t="shared" si="165"/>
        <v>1</v>
      </c>
      <c r="X219" s="299"/>
    </row>
    <row r="220" spans="1:24" x14ac:dyDescent="0.2">
      <c r="A220" s="291">
        <f t="shared" si="150"/>
        <v>209</v>
      </c>
      <c r="B220" s="286"/>
      <c r="C220" s="286"/>
      <c r="D220" s="284"/>
      <c r="E220" s="295"/>
      <c r="F220" s="287"/>
      <c r="G220" s="31">
        <v>42628</v>
      </c>
      <c r="H220" s="286"/>
      <c r="I220" s="287"/>
      <c r="J220" s="288"/>
      <c r="K220" s="142"/>
      <c r="L220" s="31"/>
      <c r="M220" s="286"/>
      <c r="N220" s="286"/>
      <c r="O220" s="286"/>
      <c r="P220" s="31"/>
      <c r="Q220" s="286"/>
      <c r="R220" s="291"/>
      <c r="S220" s="31"/>
      <c r="T220" s="291"/>
      <c r="U220" s="308">
        <f t="shared" si="163"/>
        <v>-42014</v>
      </c>
      <c r="V220" s="300" t="str">
        <f t="shared" si="164"/>
        <v>No ha formulado PM</v>
      </c>
      <c r="W220" s="308">
        <f t="shared" si="165"/>
        <v>1</v>
      </c>
      <c r="X220" s="299"/>
    </row>
    <row r="221" spans="1:24" x14ac:dyDescent="0.2">
      <c r="A221" s="291">
        <f t="shared" si="150"/>
        <v>210</v>
      </c>
      <c r="B221" s="286"/>
      <c r="C221" s="286"/>
      <c r="D221" s="284"/>
      <c r="E221" s="295"/>
      <c r="F221" s="287"/>
      <c r="G221" s="31"/>
      <c r="H221" s="286"/>
      <c r="I221" s="287"/>
      <c r="J221" s="288"/>
      <c r="K221" s="142"/>
      <c r="L221" s="31"/>
      <c r="M221" s="286"/>
      <c r="N221" s="286"/>
      <c r="O221" s="286"/>
      <c r="P221" s="31"/>
      <c r="Q221" s="286"/>
      <c r="R221" s="291"/>
      <c r="S221" s="31"/>
      <c r="T221" s="291"/>
      <c r="U221" s="308">
        <f t="shared" si="163"/>
        <v>1</v>
      </c>
      <c r="V221" s="300" t="str">
        <f t="shared" si="164"/>
        <v>Oportuno</v>
      </c>
      <c r="W221" s="308">
        <f t="shared" si="165"/>
        <v>1</v>
      </c>
      <c r="X221" s="299"/>
    </row>
    <row r="222" spans="1:24" x14ac:dyDescent="0.2">
      <c r="A222" s="291">
        <f t="shared" si="150"/>
        <v>211</v>
      </c>
      <c r="B222" s="286"/>
      <c r="C222" s="286"/>
      <c r="D222" s="284"/>
      <c r="E222" s="295"/>
      <c r="F222" s="287"/>
      <c r="G222" s="31"/>
      <c r="H222" s="286"/>
      <c r="I222" s="287"/>
      <c r="J222" s="288"/>
      <c r="K222" s="142"/>
      <c r="L222" s="31"/>
      <c r="M222" s="286"/>
      <c r="N222" s="286"/>
      <c r="O222" s="286"/>
      <c r="P222" s="31"/>
      <c r="Q222" s="286"/>
      <c r="R222" s="291"/>
      <c r="S222" s="31"/>
      <c r="T222" s="291"/>
      <c r="U222" s="308">
        <f t="shared" si="163"/>
        <v>1</v>
      </c>
      <c r="V222" s="300" t="str">
        <f t="shared" si="164"/>
        <v>Oportuno</v>
      </c>
      <c r="W222" s="308">
        <f t="shared" si="165"/>
        <v>1</v>
      </c>
      <c r="X222" s="299"/>
    </row>
    <row r="223" spans="1:24" x14ac:dyDescent="0.2">
      <c r="A223" s="291">
        <f t="shared" si="150"/>
        <v>212</v>
      </c>
      <c r="B223" s="286"/>
      <c r="C223" s="286"/>
      <c r="D223" s="284"/>
      <c r="E223" s="295"/>
      <c r="F223" s="287"/>
      <c r="G223" s="31"/>
      <c r="H223" s="286"/>
      <c r="I223" s="287"/>
      <c r="J223" s="288"/>
      <c r="K223" s="142"/>
      <c r="L223" s="31"/>
      <c r="M223" s="286"/>
      <c r="N223" s="286"/>
      <c r="O223" s="286"/>
      <c r="P223" s="31"/>
      <c r="Q223" s="286"/>
      <c r="R223" s="291"/>
      <c r="S223" s="31"/>
      <c r="T223" s="291"/>
      <c r="U223" s="308">
        <f t="shared" si="147"/>
        <v>1</v>
      </c>
      <c r="V223" s="300" t="str">
        <f t="shared" si="148"/>
        <v>Oportuno</v>
      </c>
      <c r="W223" s="308">
        <f t="shared" si="149"/>
        <v>1</v>
      </c>
      <c r="X223" s="299"/>
    </row>
    <row r="224" spans="1:24" x14ac:dyDescent="0.2">
      <c r="A224" s="291">
        <f t="shared" si="150"/>
        <v>213</v>
      </c>
      <c r="B224" s="286"/>
      <c r="C224" s="286"/>
      <c r="D224" s="284"/>
      <c r="E224" s="295"/>
      <c r="F224" s="287"/>
      <c r="G224" s="31"/>
      <c r="H224" s="286"/>
      <c r="I224" s="287"/>
      <c r="J224" s="288"/>
      <c r="K224" s="142"/>
      <c r="L224" s="31"/>
      <c r="M224" s="286"/>
      <c r="N224" s="286"/>
      <c r="O224" s="286"/>
      <c r="P224" s="31"/>
      <c r="Q224" s="286"/>
      <c r="R224" s="291"/>
      <c r="S224" s="31"/>
      <c r="T224" s="291"/>
      <c r="U224" s="308">
        <f t="shared" si="147"/>
        <v>1</v>
      </c>
      <c r="V224" s="300" t="str">
        <f t="shared" si="148"/>
        <v>Oportuno</v>
      </c>
      <c r="W224" s="308">
        <f t="shared" si="149"/>
        <v>1</v>
      </c>
      <c r="X224" s="299"/>
    </row>
    <row r="225" spans="1:31" x14ac:dyDescent="0.2">
      <c r="A225" s="291">
        <f t="shared" si="150"/>
        <v>214</v>
      </c>
      <c r="B225" s="286"/>
      <c r="C225" s="286"/>
      <c r="D225" s="284"/>
      <c r="E225" s="295"/>
      <c r="F225" s="287"/>
      <c r="G225" s="31"/>
      <c r="H225" s="286"/>
      <c r="I225" s="287"/>
      <c r="J225" s="288"/>
      <c r="K225" s="142"/>
      <c r="L225" s="31"/>
      <c r="M225" s="286"/>
      <c r="N225" s="286"/>
      <c r="O225" s="286"/>
      <c r="P225" s="31"/>
      <c r="Q225" s="286"/>
      <c r="R225" s="291"/>
      <c r="S225" s="31"/>
      <c r="T225" s="291"/>
      <c r="U225" s="308">
        <f t="shared" si="147"/>
        <v>1</v>
      </c>
      <c r="V225" s="300" t="str">
        <f t="shared" si="148"/>
        <v>Oportuno</v>
      </c>
      <c r="W225" s="308">
        <f t="shared" si="149"/>
        <v>1</v>
      </c>
      <c r="X225" s="299"/>
    </row>
    <row r="226" spans="1:31" x14ac:dyDescent="0.2">
      <c r="A226" s="291"/>
      <c r="B226" s="38"/>
      <c r="C226" s="38"/>
      <c r="D226" s="309"/>
      <c r="E226" s="295"/>
      <c r="F226" s="287"/>
      <c r="G226" s="31"/>
      <c r="H226" s="286"/>
      <c r="I226" s="287"/>
      <c r="J226" s="298"/>
      <c r="K226" s="305"/>
      <c r="L226" s="31"/>
      <c r="M226" s="286"/>
      <c r="N226" s="286"/>
      <c r="O226" s="286"/>
      <c r="P226" s="31"/>
      <c r="Q226" s="286"/>
      <c r="R226" s="291"/>
      <c r="S226" s="31"/>
      <c r="T226" s="291"/>
      <c r="U226" s="308">
        <f t="shared" si="89"/>
        <v>1</v>
      </c>
      <c r="V226" s="308"/>
      <c r="W226" s="308">
        <f t="shared" si="83"/>
        <v>1</v>
      </c>
      <c r="X226" s="299"/>
    </row>
    <row r="227" spans="1:31" x14ac:dyDescent="0.2">
      <c r="B227" s="337" t="s">
        <v>78</v>
      </c>
      <c r="W227" s="308">
        <f>DAYS360(P227,S227,0)+1</f>
        <v>1</v>
      </c>
    </row>
    <row r="228" spans="1:31" x14ac:dyDescent="0.2">
      <c r="B228" s="338"/>
      <c r="C228" s="17" t="s">
        <v>192</v>
      </c>
    </row>
    <row r="229" spans="1:31" ht="16.5" thickBot="1" x14ac:dyDescent="0.25">
      <c r="C229" s="491" t="s">
        <v>127</v>
      </c>
      <c r="D229" s="491"/>
      <c r="E229" s="491"/>
      <c r="F229" s="491"/>
      <c r="G229" s="491"/>
      <c r="H229" s="491"/>
      <c r="I229" s="491"/>
      <c r="J229" s="491"/>
      <c r="K229" s="491"/>
      <c r="L229" s="491"/>
      <c r="Q229" s="491"/>
      <c r="R229" s="491"/>
      <c r="S229" s="491"/>
      <c r="T229" s="491"/>
      <c r="U229" s="491"/>
      <c r="V229" s="491"/>
      <c r="W229" s="491"/>
      <c r="Y229" s="17">
        <f>COUNTIF(X4:X141,"X")</f>
        <v>138</v>
      </c>
    </row>
    <row r="230" spans="1:31" ht="15.75" x14ac:dyDescent="0.2">
      <c r="C230" s="427" t="s">
        <v>80</v>
      </c>
      <c r="D230" s="428"/>
      <c r="E230" s="489" t="s">
        <v>3</v>
      </c>
      <c r="F230" s="490"/>
      <c r="G230" s="147"/>
      <c r="H230" s="162" t="s">
        <v>81</v>
      </c>
      <c r="I230" s="198" t="s">
        <v>40</v>
      </c>
      <c r="J230" s="45" t="s">
        <v>41</v>
      </c>
      <c r="K230" s="194" t="s">
        <v>43</v>
      </c>
      <c r="L230" s="46" t="s">
        <v>177</v>
      </c>
      <c r="P230" s="147"/>
      <c r="Q230" s="147"/>
      <c r="R230" s="148"/>
      <c r="S230" s="148"/>
      <c r="T230" s="149"/>
      <c r="U230" s="147"/>
      <c r="V230" s="147"/>
      <c r="W230" s="373"/>
      <c r="X230" s="148"/>
    </row>
    <row r="231" spans="1:31" x14ac:dyDescent="0.2">
      <c r="C231" s="374" t="s">
        <v>75</v>
      </c>
      <c r="D231" s="263">
        <f>COUNTIF($I$4:I227,"No Conformidad")</f>
        <v>145</v>
      </c>
      <c r="E231" s="55" t="s">
        <v>76</v>
      </c>
      <c r="F231" s="206">
        <f>COUNTIF($K$4:K227,"Si")</f>
        <v>141</v>
      </c>
      <c r="G231" s="84"/>
      <c r="H231" s="375" t="s">
        <v>75</v>
      </c>
      <c r="I231" s="199">
        <f>COUNTIFS($I$4:I227,"No Conformidad",$D$4:D227,"Auditoria")</f>
        <v>120</v>
      </c>
      <c r="J231" s="305">
        <f>COUNTIFS($I$4:I227,"No Conformidad",$D$4:D227,"Especial")</f>
        <v>0</v>
      </c>
      <c r="K231" s="195">
        <f>COUNTIFS($I$4:I227,"No Conformidad",$D$4:D227,"Informes")</f>
        <v>21</v>
      </c>
      <c r="L231" s="56">
        <f>COUNTIFS($I$4:J227,"No Conformidad",$D$4:E227,"Autocontrol")</f>
        <v>4</v>
      </c>
      <c r="P231" s="147"/>
      <c r="Q231" s="84"/>
      <c r="R231" s="84"/>
      <c r="S231" s="84"/>
      <c r="T231" s="84"/>
      <c r="U231" s="84"/>
      <c r="V231" s="84"/>
      <c r="X231" s="84"/>
    </row>
    <row r="232" spans="1:31" ht="15" thickBot="1" x14ac:dyDescent="0.25">
      <c r="C232" s="376" t="s">
        <v>50</v>
      </c>
      <c r="D232" s="263">
        <f>COUNTIF($I$4:I227,"Recomendación")</f>
        <v>0</v>
      </c>
      <c r="E232" s="64" t="s">
        <v>77</v>
      </c>
      <c r="F232" s="65">
        <f>COUNTIF($K$4:K227,"No")</f>
        <v>4</v>
      </c>
      <c r="G232" s="84"/>
      <c r="H232" s="377" t="s">
        <v>50</v>
      </c>
      <c r="I232" s="199">
        <f>COUNTIFS($I$4:I227,"Recomendación",$D$4:D227,"Auditoria")</f>
        <v>0</v>
      </c>
      <c r="J232" s="305">
        <f>COUNTIFS($I$4:I227,"Recomendación",$D$4:D227,"Especial")</f>
        <v>0</v>
      </c>
      <c r="K232" s="195">
        <f>COUNTIFS($I$4:I227,"Recomendación",$D$4:D227,"Informes")</f>
        <v>0</v>
      </c>
      <c r="L232" s="56">
        <f>COUNTIFS($I$4:J228,"Recomendación",$D$4:E228,"Autocontrol")</f>
        <v>0</v>
      </c>
      <c r="P232" s="147"/>
      <c r="Q232" s="84"/>
      <c r="R232" s="84"/>
      <c r="S232" s="84"/>
      <c r="T232" s="84"/>
      <c r="U232" s="84"/>
      <c r="V232" s="84"/>
      <c r="X232" s="84"/>
    </row>
    <row r="233" spans="1:31" ht="15.75" thickTop="1" thickBot="1" x14ac:dyDescent="0.25">
      <c r="C233" s="259" t="s">
        <v>365</v>
      </c>
      <c r="D233" s="264">
        <f>COUNTIF($I$4:I227,"Oportunidad de mejora")</f>
        <v>0</v>
      </c>
      <c r="G233" s="147"/>
      <c r="H233" s="339" t="s">
        <v>365</v>
      </c>
      <c r="I233" s="190">
        <f>COUNTIFS($I$4:I228,"Oportunidad de mejora",$D$4:D228,"Auditoria")</f>
        <v>0</v>
      </c>
      <c r="J233" s="63">
        <f>COUNTIFS($I$4:I228,"Oportunidad de mejora",$D$4:D228,"Especial")</f>
        <v>0</v>
      </c>
      <c r="K233" s="196">
        <f>COUNTIFS($I$4:I228,"Oportunidad de mejora",$D$4:D228,"Informes")</f>
        <v>0</v>
      </c>
      <c r="L233" s="65">
        <f>COUNTIFS($I$4:J229,"Oportunidad de mejora",$D$4:E229,"Autocontrol")</f>
        <v>0</v>
      </c>
      <c r="P233" s="84"/>
      <c r="Q233" s="84"/>
      <c r="R233" s="84"/>
      <c r="S233" s="84"/>
      <c r="T233" s="84"/>
      <c r="U233" s="147"/>
      <c r="V233" s="147"/>
      <c r="X233" s="84"/>
    </row>
    <row r="234" spans="1:31" ht="19.5" customHeight="1" thickTop="1" thickBot="1" x14ac:dyDescent="0.25">
      <c r="C234" s="67" t="s">
        <v>83</v>
      </c>
      <c r="D234" s="270">
        <f>SUM(D231:D233)</f>
        <v>145</v>
      </c>
      <c r="E234" s="201" t="s">
        <v>83</v>
      </c>
      <c r="F234" s="202">
        <f>SUM(F231:F232)</f>
        <v>145</v>
      </c>
      <c r="G234" s="17"/>
      <c r="H234" s="148" t="s">
        <v>83</v>
      </c>
      <c r="I234" s="188">
        <f>SUM(I231:I233)</f>
        <v>120</v>
      </c>
      <c r="J234" s="188">
        <f t="shared" ref="J234:L234" si="166">SUM(J231:J233)</f>
        <v>0</v>
      </c>
      <c r="K234" s="197">
        <f t="shared" si="166"/>
        <v>21</v>
      </c>
      <c r="L234" s="200">
        <f t="shared" si="166"/>
        <v>4</v>
      </c>
      <c r="Q234" s="147"/>
      <c r="R234" s="84"/>
      <c r="S234" s="84"/>
      <c r="T234" s="84"/>
      <c r="U234" s="84"/>
      <c r="V234" s="84"/>
      <c r="W234" s="84"/>
      <c r="X234" s="148"/>
    </row>
    <row r="235" spans="1:31" ht="15" thickBot="1" x14ac:dyDescent="0.25">
      <c r="B235" s="17" t="s">
        <v>86</v>
      </c>
      <c r="G235" s="378"/>
      <c r="H235" s="371"/>
      <c r="I235" s="340" t="s">
        <v>85</v>
      </c>
      <c r="J235" s="83">
        <f>SUM(I234:L234)</f>
        <v>145</v>
      </c>
      <c r="K235" s="84"/>
      <c r="L235" s="84"/>
      <c r="M235" s="84"/>
      <c r="N235" s="84"/>
      <c r="P235" s="84"/>
      <c r="Q235" s="150"/>
      <c r="R235" s="148"/>
      <c r="S235" s="148"/>
      <c r="T235" s="149"/>
      <c r="U235" s="84"/>
      <c r="V235" s="84"/>
      <c r="X235" s="84"/>
    </row>
    <row r="236" spans="1:31" ht="15.75" thickBot="1" x14ac:dyDescent="0.25">
      <c r="C236" s="327" t="s">
        <v>88</v>
      </c>
      <c r="D236" s="273">
        <f>C1</f>
        <v>2016</v>
      </c>
      <c r="G236" s="378"/>
      <c r="N236" s="137"/>
      <c r="P236" s="84"/>
      <c r="Q236" s="84"/>
      <c r="R236" s="84"/>
      <c r="S236" s="84"/>
      <c r="T236" s="84"/>
      <c r="U236" s="84"/>
      <c r="V236" s="84"/>
      <c r="X236" s="84"/>
      <c r="Z236" s="216"/>
      <c r="AA236" s="216"/>
      <c r="AB236" s="215"/>
    </row>
    <row r="237" spans="1:31" ht="23.25" customHeight="1" thickBot="1" x14ac:dyDescent="0.25">
      <c r="B237" s="488" t="s">
        <v>0</v>
      </c>
      <c r="C237" s="475" t="s">
        <v>194</v>
      </c>
      <c r="D237" s="476"/>
      <c r="E237" s="488" t="s">
        <v>126</v>
      </c>
      <c r="F237" s="515"/>
      <c r="G237" s="515"/>
      <c r="H237" s="515"/>
      <c r="I237" s="516"/>
      <c r="J237" s="473" t="s">
        <v>83</v>
      </c>
      <c r="L237" s="492" t="s">
        <v>130</v>
      </c>
      <c r="M237" s="493"/>
      <c r="N237" s="496" t="s">
        <v>92</v>
      </c>
      <c r="O237" s="497"/>
      <c r="P237" s="498"/>
      <c r="Q237" s="501" t="s">
        <v>93</v>
      </c>
      <c r="R237" s="502"/>
      <c r="T237" s="379"/>
      <c r="U237" s="84"/>
      <c r="V237" s="84"/>
      <c r="W237" s="84"/>
      <c r="X237" s="84"/>
      <c r="Y237" s="84"/>
      <c r="Z237" s="84"/>
      <c r="AA237" s="84"/>
      <c r="AB237" s="215"/>
    </row>
    <row r="238" spans="1:31" ht="22.5" customHeight="1" thickBot="1" x14ac:dyDescent="0.25">
      <c r="B238" s="422"/>
      <c r="C238" s="158" t="s">
        <v>195</v>
      </c>
      <c r="D238" s="265" t="s">
        <v>0</v>
      </c>
      <c r="E238" s="97" t="s">
        <v>40</v>
      </c>
      <c r="F238" s="97" t="s">
        <v>41</v>
      </c>
      <c r="G238" s="97" t="s">
        <v>43</v>
      </c>
      <c r="H238" s="255"/>
      <c r="I238" s="97" t="s">
        <v>177</v>
      </c>
      <c r="J238" s="474"/>
      <c r="L238" s="211" t="s">
        <v>131</v>
      </c>
      <c r="M238" s="212" t="s">
        <v>132</v>
      </c>
      <c r="N238" s="155" t="s">
        <v>75</v>
      </c>
      <c r="O238" s="156" t="s">
        <v>50</v>
      </c>
      <c r="P238" s="259" t="s">
        <v>365</v>
      </c>
      <c r="Q238" s="100" t="s">
        <v>76</v>
      </c>
      <c r="R238" s="101" t="s">
        <v>77</v>
      </c>
      <c r="U238" s="84"/>
      <c r="V238" s="84"/>
      <c r="W238" s="147"/>
      <c r="X238" s="84"/>
      <c r="Y238" s="84"/>
      <c r="Z238" s="84"/>
      <c r="AA238" s="84"/>
      <c r="AB238" s="258"/>
    </row>
    <row r="239" spans="1:31" ht="31.5" customHeight="1" thickTop="1" x14ac:dyDescent="0.2">
      <c r="B239" s="341" t="s">
        <v>46</v>
      </c>
      <c r="C239" s="291">
        <f>COUNTIFS($E$4:$E226,$C$238,$B$4:$B226,$B239)</f>
        <v>30</v>
      </c>
      <c r="D239" s="266">
        <f>COUNTIFS($E$4:$E226,$D$238,$B$4:$B226,$B239)</f>
        <v>4</v>
      </c>
      <c r="E239" s="291">
        <f>COUNTIFS($D$4:$D226,"Auditoria",$B$4:$B226,$B239)</f>
        <v>25</v>
      </c>
      <c r="F239" s="291">
        <f>COUNTIFS($D$4:$D226,"Especial",$B$4:$B226,$B239)</f>
        <v>0</v>
      </c>
      <c r="G239" s="291">
        <f>COUNTIFS($D$4:$D226,"Informes",$B$4:$B226,$B239)</f>
        <v>9</v>
      </c>
      <c r="H239" s="256"/>
      <c r="I239" s="291">
        <f>COUNTIFS($D$4:$D226,"Autocontrol",$B$4:$B226,$B239)</f>
        <v>0</v>
      </c>
      <c r="J239" s="291">
        <f t="shared" ref="J239:K251" si="167">SUM(E239:I239)</f>
        <v>34</v>
      </c>
      <c r="L239" s="189">
        <f>COUNTIFS($J$4:$J226,"Hallazgo Abierto",$B$4:$B226,$B239)</f>
        <v>29</v>
      </c>
      <c r="M239" s="60">
        <f>COUNTIFS($J$4:$J226,"Hallazgo Cerrado",$B$4:$B226,$B239)</f>
        <v>5</v>
      </c>
      <c r="N239" s="297">
        <f>COUNTIFS($I$4:$I226,"No Conformidad",$B$4:$B226,$B239)</f>
        <v>34</v>
      </c>
      <c r="O239" s="291">
        <f>COUNTIFS($I$4:$I226,"Recomendación",$B$4:$B226,$B239)</f>
        <v>0</v>
      </c>
      <c r="P239" s="291">
        <f>COUNTIFS($I$4:$I226,"Oportunidad de mejora",$B$4:$B226,$B239)</f>
        <v>0</v>
      </c>
      <c r="Q239" s="291">
        <f>COUNTIFS($K$4:K226,"Si",$B$4:B226,$B239)</f>
        <v>34</v>
      </c>
      <c r="R239" s="60">
        <f>COUNTIFS($K$4:K226,"No",$B$4:B226,$B239)</f>
        <v>0</v>
      </c>
      <c r="T239" s="84"/>
      <c r="U239" s="84"/>
      <c r="V239" s="84"/>
      <c r="W239" s="147"/>
      <c r="X239" s="84"/>
      <c r="Y239" s="84"/>
      <c r="Z239" s="84"/>
      <c r="AA239" s="380"/>
      <c r="AB239" s="136"/>
    </row>
    <row r="240" spans="1:31" ht="20.25" customHeight="1" x14ac:dyDescent="0.2">
      <c r="B240" s="342" t="s">
        <v>9</v>
      </c>
      <c r="C240" s="291">
        <f>COUNTIFS($E$4:$E226,$C$238,$B$4:$B226,$B240)</f>
        <v>0</v>
      </c>
      <c r="D240" s="266">
        <f>COUNTIFS($E$4:$E226,$D$238,$B$4:$B226,$B240)</f>
        <v>17</v>
      </c>
      <c r="E240" s="291">
        <f>COUNTIFS($D$4:$D226,"Auditoria",$B$4:$B226,$B240)</f>
        <v>17</v>
      </c>
      <c r="F240" s="291">
        <f>COUNTIFS($D$4:$D228,"Especial",$B$4:$B228,$B240)</f>
        <v>0</v>
      </c>
      <c r="G240" s="291">
        <f>COUNTIFS($D$4:$D228,"Informes",$B$4:$B228,$B240)</f>
        <v>0</v>
      </c>
      <c r="H240" s="256"/>
      <c r="I240" s="291">
        <f>COUNTIFS($D$4:$D228,"Autocontrol",$B$4:$B228,$B240)</f>
        <v>0</v>
      </c>
      <c r="J240" s="291">
        <f t="shared" si="167"/>
        <v>17</v>
      </c>
      <c r="L240" s="189">
        <f>COUNTIFS($J$4:$J226,"Hallazgo Abierto",$B$4:$B226,$B240)</f>
        <v>17</v>
      </c>
      <c r="M240" s="60">
        <f>COUNTIFS($J$4:$J226,"Hallazgo Cerrado",$B$4:$B226,$B240)</f>
        <v>0</v>
      </c>
      <c r="N240" s="142">
        <f>COUNTIFS($I$4:$I226,"No Conformidad",$B$4:$B226,$B240)</f>
        <v>17</v>
      </c>
      <c r="O240" s="305">
        <f>COUNTIFS($I$4:$I226,"Recomendación",$B$4:$B226,$B240)</f>
        <v>0</v>
      </c>
      <c r="P240" s="305">
        <f>COUNTIFS($I$4:$I226,"Oportunidad de mejora",$B$4:$B226,$B240)</f>
        <v>0</v>
      </c>
      <c r="Q240" s="305">
        <f>COUNTIFS($K$4:$K226,"Si",$B$4:$B226,$B240)</f>
        <v>17</v>
      </c>
      <c r="R240" s="56">
        <f>COUNTIFS($K$4:$K226,"No",$B$4:$B226,$B240)</f>
        <v>0</v>
      </c>
      <c r="T240" s="136"/>
      <c r="U240" s="84"/>
      <c r="V240" s="84"/>
      <c r="W240" s="84"/>
      <c r="X240" s="84"/>
      <c r="Y240" s="84"/>
      <c r="Z240" s="84"/>
      <c r="AA240" s="380"/>
      <c r="AB240" s="136"/>
      <c r="AE240" s="17"/>
    </row>
    <row r="241" spans="2:28" ht="51" x14ac:dyDescent="0.2">
      <c r="B241" s="199" t="s">
        <v>333</v>
      </c>
      <c r="C241" s="291">
        <f>COUNTIFS($E$4:$E226,$C$238,$B$4:$B226,$B241)</f>
        <v>0</v>
      </c>
      <c r="D241" s="266">
        <f>COUNTIFS($E$4:$E226,$D$238,$B$4:$B226,$B241)</f>
        <v>19</v>
      </c>
      <c r="E241" s="291">
        <f>COUNTIFS($D$4:$D226,"Auditoria",$B$4:$B226,$B241)</f>
        <v>18</v>
      </c>
      <c r="F241" s="291">
        <f>COUNTIFS($D$4:$D226,"Especial",$B$4:$B226,$B241)</f>
        <v>0</v>
      </c>
      <c r="G241" s="291">
        <f>COUNTIFS($D$4:$D226,"Informes",$B$4:$B226,$B241)</f>
        <v>0</v>
      </c>
      <c r="H241" s="256"/>
      <c r="I241" s="291">
        <f>COUNTIFS($D$4:$D226,"Autocontrol",$B$4:$B226,$B241)</f>
        <v>1</v>
      </c>
      <c r="J241" s="291">
        <f t="shared" si="167"/>
        <v>19</v>
      </c>
      <c r="L241" s="189">
        <f>COUNTIFS($J$4:$J226,"Hallazgo Abierto",$B$4:$B226,$B241)</f>
        <v>9</v>
      </c>
      <c r="M241" s="60">
        <f>COUNTIFS($J$4:$J226,"Hallazgo Cerrado",$B$4:$B226,$B241)</f>
        <v>10</v>
      </c>
      <c r="N241" s="142">
        <f>COUNTIFS($I$4:$I226,"No Conformidad",$B$4:$B226,$B241)</f>
        <v>19</v>
      </c>
      <c r="O241" s="305">
        <f>COUNTIFS($I$4:$I226,"Recomendación",$B$4:$B226,$B241)</f>
        <v>0</v>
      </c>
      <c r="P241" s="305">
        <f>COUNTIFS($I$4:$I226,"Oportunidad de mejora",$B$4:$B226,$B241)</f>
        <v>0</v>
      </c>
      <c r="Q241" s="305">
        <f>COUNTIFS($K$4:$K226,"Si",$B$4:$B226,$B241)</f>
        <v>19</v>
      </c>
      <c r="R241" s="56">
        <f>COUNTIFS($K$4:$K226,"No",$B$4:$B226,$B241)</f>
        <v>0</v>
      </c>
      <c r="T241" s="136"/>
      <c r="U241" s="84"/>
      <c r="V241" s="84"/>
      <c r="W241" s="147"/>
      <c r="X241" s="84"/>
      <c r="Y241" s="84"/>
      <c r="Z241" s="84"/>
      <c r="AA241" s="380"/>
      <c r="AB241" s="136"/>
    </row>
    <row r="242" spans="2:28" ht="28.5" x14ac:dyDescent="0.2">
      <c r="B242" s="381" t="s">
        <v>2</v>
      </c>
      <c r="C242" s="291">
        <f>COUNTIFS($E$4:$E226,$C$238,$B$4:$B226,$B242)</f>
        <v>0</v>
      </c>
      <c r="D242" s="266">
        <f>COUNTIFS($E$4:$E226,$D$238,$B$4:$B226,$B242)</f>
        <v>6</v>
      </c>
      <c r="E242" s="291">
        <f>COUNTIFS($D$4:$D226,"Auditoria",$B$4:$B226,$B242)</f>
        <v>6</v>
      </c>
      <c r="F242" s="291">
        <f>COUNTIFS($D$4:$D226,"Especial",$B$4:$B226,$B242)</f>
        <v>0</v>
      </c>
      <c r="G242" s="291">
        <f>COUNTIFS($D$4:$D226,"Informes",$B$4:$B226,$B242)</f>
        <v>0</v>
      </c>
      <c r="H242" s="256"/>
      <c r="I242" s="291">
        <f>COUNTIFS($D$4:$D226,"Autocontrol",$B$4:$B226,$B242)</f>
        <v>0</v>
      </c>
      <c r="J242" s="291">
        <f t="shared" si="167"/>
        <v>6</v>
      </c>
      <c r="L242" s="189">
        <f>COUNTIFS($J$4:$J226,"Hallazgo Abierto",$B$4:$B226,$B242)</f>
        <v>6</v>
      </c>
      <c r="M242" s="60">
        <f>COUNTIFS($J$4:$J226,"Hallazgo Cerrado",$B$4:$B226,$B242)</f>
        <v>0</v>
      </c>
      <c r="N242" s="142">
        <f>COUNTIFS($I$4:$I226,"No Conformidad",$B$4:$B226,$B242)</f>
        <v>6</v>
      </c>
      <c r="O242" s="305">
        <f>COUNTIFS($I$4:$I226,"Recomendación",$B$4:$B226,$B242)</f>
        <v>0</v>
      </c>
      <c r="P242" s="305">
        <f>COUNTIFS($I$4:$I226,"Oportunidad de mejora",$B$4:$B226,$B242)</f>
        <v>0</v>
      </c>
      <c r="Q242" s="305">
        <f>COUNTIFS($K$4:$K226,"Si",$B$4:$B226,$B242)</f>
        <v>6</v>
      </c>
      <c r="R242" s="56">
        <f>COUNTIFS($K$4:$K226,"No",$B$4:$B226,$B242)</f>
        <v>0</v>
      </c>
      <c r="T242" s="136"/>
      <c r="U242" s="84"/>
      <c r="V242" s="84"/>
      <c r="W242" s="150"/>
      <c r="X242" s="148"/>
      <c r="Y242" s="148"/>
      <c r="Z242" s="148"/>
      <c r="AA242" s="149"/>
      <c r="AB242" s="136"/>
    </row>
    <row r="243" spans="2:28" ht="28.5" x14ac:dyDescent="0.2">
      <c r="B243" s="342" t="s">
        <v>21</v>
      </c>
      <c r="C243" s="291">
        <f>COUNTIFS($E$4:$E226,$C$238,$B$4:$B226,$B243)</f>
        <v>3</v>
      </c>
      <c r="D243" s="266">
        <f>COUNTIFS($E$4:$E226,$D$238,$B$4:$B226,$B243)</f>
        <v>5</v>
      </c>
      <c r="E243" s="291">
        <f>COUNTIFS($D$4:$D226,"Auditoria",$B$4:$B226,$B243)</f>
        <v>8</v>
      </c>
      <c r="F243" s="291">
        <f>COUNTIFS($D$4:$D226,"Especial",$B$4:$B226,$B243)</f>
        <v>0</v>
      </c>
      <c r="G243" s="291">
        <f>COUNTIFS($D$4:$D226,"Informes",$B$4:$B226,$B243)</f>
        <v>0</v>
      </c>
      <c r="H243" s="256"/>
      <c r="I243" s="291">
        <f>COUNTIFS($D$4:$D226,"Autocontrol",$B$4:$B226,$B243)</f>
        <v>0</v>
      </c>
      <c r="J243" s="291">
        <f t="shared" si="167"/>
        <v>8</v>
      </c>
      <c r="L243" s="189">
        <f>COUNTIFS($J$4:$J226,"Hallazgo Abierto",$B$4:$B226,$B243)</f>
        <v>6</v>
      </c>
      <c r="M243" s="60">
        <f>COUNTIFS($J$4:$J226,"Hallazgo Cerrado",$B$4:$B226,$B243)</f>
        <v>2</v>
      </c>
      <c r="N243" s="142">
        <f>COUNTIFS($I$4:$I226,"No Conformidad",$B$4:$B226,$B243)</f>
        <v>8</v>
      </c>
      <c r="O243" s="305">
        <f>COUNTIFS($I$4:$I226,"Recomendación",$B$4:$B226,$B243)</f>
        <v>0</v>
      </c>
      <c r="P243" s="305">
        <f>COUNTIFS($I$4:$I226,"Oportunidad de mejora",$B$4:$B226,$B243)</f>
        <v>0</v>
      </c>
      <c r="Q243" s="305">
        <f>COUNTIFS($K$4:$K226,"Si",$B$4:$B226,$B243)</f>
        <v>8</v>
      </c>
      <c r="R243" s="56">
        <f>COUNTIFS($K$4:$K226,"No",$B$4:$B226,$B243)</f>
        <v>0</v>
      </c>
      <c r="T243" s="136"/>
      <c r="U243" s="84"/>
      <c r="V243" s="84"/>
      <c r="W243" s="84"/>
      <c r="X243" s="84"/>
      <c r="Y243" s="84"/>
      <c r="Z243" s="84"/>
      <c r="AA243" s="84"/>
      <c r="AB243" s="136"/>
    </row>
    <row r="244" spans="2:28" ht="28.5" x14ac:dyDescent="0.2">
      <c r="B244" s="381" t="s">
        <v>34</v>
      </c>
      <c r="C244" s="291">
        <f>COUNTIFS($E$4:$E226,$C$238,$B$4:$B226,$B244)</f>
        <v>0</v>
      </c>
      <c r="D244" s="266">
        <f>COUNTIFS($E$4:$E226,$D$238,$B$4:$B226,$B244)</f>
        <v>4</v>
      </c>
      <c r="E244" s="291">
        <f>COUNTIFS($D$4:$D226,"Auditoria",$B$4:$B226,$B244)</f>
        <v>4</v>
      </c>
      <c r="F244" s="291">
        <f>COUNTIFS($D$4:$D226,"Especial",$B$4:$B226,$B244)</f>
        <v>0</v>
      </c>
      <c r="G244" s="291">
        <f>COUNTIFS($D$4:$D226,"Informes",$B$4:$B226,$B244)</f>
        <v>0</v>
      </c>
      <c r="H244" s="256"/>
      <c r="I244" s="291">
        <f>COUNTIFS($D$4:$D226,"Autocontrol",$B$4:$B226,$B244)</f>
        <v>0</v>
      </c>
      <c r="J244" s="291">
        <f t="shared" si="167"/>
        <v>4</v>
      </c>
      <c r="L244" s="189">
        <f>COUNTIFS($J$4:$J226,"Hallazgo Abierto",$B$4:$B226,$B244)</f>
        <v>4</v>
      </c>
      <c r="M244" s="60">
        <f>COUNTIFS($J$4:$J226,"Hallazgo Cerrado",$B$4:$B226,$B244)</f>
        <v>0</v>
      </c>
      <c r="N244" s="142">
        <f>COUNTIFS($I$4:$I226,"No Conformidad",$B$4:$B226,$B244)</f>
        <v>4</v>
      </c>
      <c r="O244" s="305">
        <f>COUNTIFS($I$4:$I226,"Recomendación",$B$4:$B226,$B244)</f>
        <v>0</v>
      </c>
      <c r="P244" s="305">
        <f>COUNTIFS($I$4:$I226,"Oportunidad de mejora",$B$4:$B226,$B244)</f>
        <v>0</v>
      </c>
      <c r="Q244" s="305">
        <f>COUNTIFS($K$4:$K226,"Si",$B$4:$B226,$B244)</f>
        <v>4</v>
      </c>
      <c r="R244" s="56">
        <f>COUNTIFS($K$4:$K226,"No",$B$4:$B226,$B244)</f>
        <v>0</v>
      </c>
      <c r="T244" s="136"/>
      <c r="U244" s="84"/>
      <c r="V244" s="84"/>
      <c r="W244" s="84"/>
      <c r="X244" s="84"/>
      <c r="Y244" s="84"/>
      <c r="Z244" s="84"/>
      <c r="AA244" s="84"/>
      <c r="AB244" s="136"/>
    </row>
    <row r="245" spans="2:28" ht="28.5" x14ac:dyDescent="0.2">
      <c r="B245" s="342" t="s">
        <v>33</v>
      </c>
      <c r="C245" s="291">
        <f>COUNTIFS($E$4:$E226,$C$238,$B$4:$B226,$B245)</f>
        <v>0</v>
      </c>
      <c r="D245" s="266">
        <f>COUNTIFS($E$4:$E226,$D$238,$B$4:$B226,$B245)</f>
        <v>7</v>
      </c>
      <c r="E245" s="291">
        <f>COUNTIFS($D$4:$D226,"Auditoria",$B$4:$B226,$B245)</f>
        <v>7</v>
      </c>
      <c r="F245" s="291">
        <f>COUNTIFS($D$4:$D226,"Especial",$B$4:$B226,$B245)</f>
        <v>0</v>
      </c>
      <c r="G245" s="291">
        <f>COUNTIFS($D$4:$D226,"Informes",$B$4:$B226,$B245)</f>
        <v>0</v>
      </c>
      <c r="H245" s="256"/>
      <c r="I245" s="291">
        <f>COUNTIFS($D$4:$D226,"Autocontrol",$B$4:$B226,$B245)</f>
        <v>0</v>
      </c>
      <c r="J245" s="291">
        <f t="shared" si="167"/>
        <v>7</v>
      </c>
      <c r="K245" s="291">
        <f t="shared" si="167"/>
        <v>7</v>
      </c>
      <c r="L245" s="189">
        <f>COUNTIFS($J$4:$J226,"Hallazgo Abierto",$B$4:$B226,$B245)</f>
        <v>7</v>
      </c>
      <c r="M245" s="60">
        <f>COUNTIFS($J$4:$J226,"Hallazgo Cerrado",$B$4:$B226,$B245)</f>
        <v>0</v>
      </c>
      <c r="N245" s="142">
        <f>COUNTIFS($I$4:$I226,"No Conformidad",$B$4:$B226,$B245)</f>
        <v>7</v>
      </c>
      <c r="O245" s="305">
        <f>COUNTIFS($I$4:$I226,"Recomendación",$B$4:$B226,$B245)</f>
        <v>0</v>
      </c>
      <c r="P245" s="305">
        <f>COUNTIFS($I$4:$I226,"Oportunidad de mejora",$B$4:$B226,$B245)</f>
        <v>0</v>
      </c>
      <c r="Q245" s="305">
        <f>COUNTIFS($K$4:$K226,"Si",$B$4:$B226,$B245)</f>
        <v>7</v>
      </c>
      <c r="R245" s="56">
        <f>COUNTIFS($K$4:$K226,"No",$B$4:$B226,$B245)</f>
        <v>0</v>
      </c>
      <c r="T245" s="136"/>
      <c r="U245" s="84"/>
      <c r="V245" s="84"/>
      <c r="W245" s="147"/>
      <c r="X245" s="84"/>
      <c r="Y245" s="84"/>
      <c r="Z245" s="84"/>
      <c r="AA245" s="84"/>
      <c r="AB245" s="136"/>
    </row>
    <row r="246" spans="2:28" x14ac:dyDescent="0.2">
      <c r="B246" s="382" t="s">
        <v>263</v>
      </c>
      <c r="C246" s="291">
        <f>COUNTIFS($E$4:$E227,$C$238,$B$4:$B227,$B246)</f>
        <v>0</v>
      </c>
      <c r="D246" s="266">
        <f>COUNTIFS($E$4:$E227,$D$238,$B$4:$B227,$B246)</f>
        <v>7</v>
      </c>
      <c r="E246" s="291">
        <f>COUNTIFS($D$4:$D227,"Auditoria",$B$4:$B227,$B246)</f>
        <v>1</v>
      </c>
      <c r="F246" s="291">
        <f>COUNTIFS($D$4:$D227,"Especial",$B$4:$B227,$B246)</f>
        <v>0</v>
      </c>
      <c r="G246" s="291">
        <f>COUNTIFS($D$4:$D227,"Informes",$B$4:$B227,$B246)</f>
        <v>6</v>
      </c>
      <c r="H246" s="256"/>
      <c r="I246" s="291">
        <f>COUNTIFS($D$4:$D227,"Autocontrol",$B$4:$B227,$B246)</f>
        <v>0</v>
      </c>
      <c r="J246" s="291">
        <f t="shared" si="167"/>
        <v>7</v>
      </c>
      <c r="L246" s="189">
        <f>COUNTIFS($J$4:$J227,"Hallazgo Abierto",$B$4:$B227,$B246)</f>
        <v>7</v>
      </c>
      <c r="M246" s="60">
        <f>COUNTIFS($J$4:$J227,"Hallazgo Cerrado",$B$4:$B227,$B246)</f>
        <v>0</v>
      </c>
      <c r="N246" s="142">
        <f>COUNTIFS($I$4:$I227,"No Conformidad",$B$4:$B227,$B246)</f>
        <v>7</v>
      </c>
      <c r="O246" s="305">
        <f>COUNTIFS($I$4:$I227,"Recomendación",$B$4:$B227,$B246)</f>
        <v>0</v>
      </c>
      <c r="P246" s="305">
        <f>COUNTIFS($I$4:$I227,"Oportunidad de mejora",$B$4:$B227,$B246)</f>
        <v>0</v>
      </c>
      <c r="Q246" s="305">
        <f>COUNTIFS($K$4:$K227,"Si",$B$4:$B227,$B246)</f>
        <v>7</v>
      </c>
      <c r="R246" s="56">
        <f>COUNTIFS($K$4:$K227,"No",$B$4:$B227,$B246)</f>
        <v>0</v>
      </c>
      <c r="T246" s="136"/>
      <c r="U246" s="84"/>
      <c r="V246" s="84"/>
      <c r="W246" s="147"/>
      <c r="X246" s="84"/>
      <c r="Y246" s="84"/>
      <c r="Z246" s="84"/>
      <c r="AA246" s="84"/>
      <c r="AB246" s="136"/>
    </row>
    <row r="247" spans="2:28" ht="42.75" x14ac:dyDescent="0.2">
      <c r="B247" s="381" t="s">
        <v>59</v>
      </c>
      <c r="C247" s="291">
        <f>COUNTIFS($E$4:$E226,$C$238,$B$4:$B226,$B247)</f>
        <v>1</v>
      </c>
      <c r="D247" s="266">
        <f>COUNTIFS($E$4:$E226,$D$238,$B$4:$B226,$B247)</f>
        <v>3</v>
      </c>
      <c r="E247" s="291">
        <f>COUNTIFS($D$4:$D226,"Auditoria",$B$4:$B226,$B247)</f>
        <v>3</v>
      </c>
      <c r="F247" s="291">
        <f>COUNTIFS($D$4:$D226,"Especial",$B$4:$B226,$B247)</f>
        <v>0</v>
      </c>
      <c r="G247" s="291">
        <f>COUNTIFS($D$4:$D226,"Informes",$B$4:$B226,$B247)</f>
        <v>1</v>
      </c>
      <c r="H247" s="256"/>
      <c r="I247" s="291">
        <f>COUNTIFS($D$4:$D226,"Autocontrol",$B$4:$B226,$B247)</f>
        <v>0</v>
      </c>
      <c r="J247" s="291">
        <f t="shared" si="167"/>
        <v>4</v>
      </c>
      <c r="L247" s="189">
        <f>COUNTIFS($J$4:$J226,"Hallazgo Abierto",$B$4:$B226,$B247)</f>
        <v>4</v>
      </c>
      <c r="M247" s="60">
        <f>COUNTIFS($J$4:$J226,"Hallazgo Cerrado",$B$4:$B226,$B247)</f>
        <v>0</v>
      </c>
      <c r="N247" s="142">
        <f>COUNTIFS($I$4:$I226,"No Conformidad",$B$4:$B226,$B247)</f>
        <v>4</v>
      </c>
      <c r="O247" s="305">
        <f>COUNTIFS($I$4:$I226,"Recomendación",$B$4:$B226,$B247)</f>
        <v>0</v>
      </c>
      <c r="P247" s="305">
        <f>COUNTIFS($I$4:$I226,"Oportunidad de mejora",$B$4:$B226,$B247)</f>
        <v>0</v>
      </c>
      <c r="Q247" s="305">
        <f>COUNTIFS($K$4:$K226,"Si",$B$4:$B226,$B247)</f>
        <v>4</v>
      </c>
      <c r="R247" s="56">
        <f>COUNTIFS($K$4:$K226,"No",$B$4:$B226,$B247)</f>
        <v>0</v>
      </c>
      <c r="T247" s="136"/>
      <c r="U247" s="84"/>
      <c r="V247" s="84"/>
      <c r="W247" s="147"/>
      <c r="X247" s="84"/>
      <c r="Y247" s="84"/>
      <c r="Z247" s="84"/>
      <c r="AA247" s="380"/>
      <c r="AB247" s="136"/>
    </row>
    <row r="248" spans="2:28" ht="25.5" x14ac:dyDescent="0.2">
      <c r="B248" s="189" t="s">
        <v>60</v>
      </c>
      <c r="C248" s="291">
        <f>COUNTIFS($E$4:$E226,$C$238,$B$4:$B226,$B248)</f>
        <v>1</v>
      </c>
      <c r="D248" s="266">
        <f>COUNTIFS($E$4:$E226,$D$238,$B$4:$B226,$B248)</f>
        <v>8</v>
      </c>
      <c r="E248" s="291">
        <f>COUNTIFS($D$4:$D226,"Auditoria",$B$4:$B226,$B248)</f>
        <v>8</v>
      </c>
      <c r="F248" s="291">
        <f>COUNTIFS($D$4:$D226,"Especial",$B$4:$B226,$B248)</f>
        <v>0</v>
      </c>
      <c r="G248" s="291">
        <f>COUNTIFS($D$4:$D226,"Informes",$B$4:$B226,$B248)</f>
        <v>1</v>
      </c>
      <c r="H248" s="256"/>
      <c r="I248" s="291">
        <f>COUNTIFS($D$4:$D226,"Autocontrol",$B$4:$B226,$B248)</f>
        <v>0</v>
      </c>
      <c r="J248" s="291">
        <f t="shared" si="167"/>
        <v>9</v>
      </c>
      <c r="L248" s="189">
        <f>COUNTIFS($J$4:$J226,"Hallazgo Abierto",$B$4:$B226,$B248)</f>
        <v>9</v>
      </c>
      <c r="M248" s="60">
        <f>COUNTIFS($J$4:$J226,"Hallazgo Cerrado",$B$4:$B226,$B248)</f>
        <v>0</v>
      </c>
      <c r="N248" s="142">
        <f>COUNTIFS($I$4:$I226,"No Conformidad",$B$4:$B226,$B248)</f>
        <v>9</v>
      </c>
      <c r="O248" s="305">
        <f>COUNTIFS($I$4:$I226,"Recomendación",$B$4:$B226,$B248)</f>
        <v>0</v>
      </c>
      <c r="P248" s="305">
        <f>COUNTIFS($I$4:$I226,"Oportunidad de mejora",$B$4:$B226,$B248)</f>
        <v>0</v>
      </c>
      <c r="Q248" s="305">
        <f>COUNTIFS($K$4:$K226,"Si",$B$4:$B226,$B248)</f>
        <v>8</v>
      </c>
      <c r="R248" s="56">
        <f>COUNTIFS($K$4:$K226,"No",$B$4:$B226,$B248)</f>
        <v>1</v>
      </c>
      <c r="T248" s="136"/>
      <c r="U248" s="84"/>
      <c r="V248" s="84"/>
      <c r="Z248" s="136"/>
      <c r="AA248" s="216"/>
      <c r="AB248" s="136"/>
    </row>
    <row r="249" spans="2:28" ht="25.5" x14ac:dyDescent="0.2">
      <c r="B249" s="199" t="s">
        <v>331</v>
      </c>
      <c r="C249" s="291">
        <f>COUNTIFS($E$4:$E226,$C$238,$B$4:$B226,$B249)</f>
        <v>0</v>
      </c>
      <c r="D249" s="266">
        <f>COUNTIFS($E$4:$E226,$D$238,$B$4:$B226,$B249)</f>
        <v>19</v>
      </c>
      <c r="E249" s="291">
        <f>COUNTIFS($D$4:$D226,"Auditoria",$B$4:$B226,$B249)</f>
        <v>16</v>
      </c>
      <c r="F249" s="291">
        <f>COUNTIFS($D$4:$D226,"Especial",$B$4:$B226,$B249)</f>
        <v>0</v>
      </c>
      <c r="G249" s="291">
        <f>COUNTIFS($D$4:$D226,"Informes",$B$4:$B226,$B249)</f>
        <v>3</v>
      </c>
      <c r="H249" s="256"/>
      <c r="I249" s="291">
        <f>COUNTIFS($D$4:$D226,"Autocontrol",$B$4:$B226,$B249)</f>
        <v>0</v>
      </c>
      <c r="J249" s="291">
        <f t="shared" si="167"/>
        <v>19</v>
      </c>
      <c r="L249" s="189">
        <f>COUNTIFS($J$4:$J226,"Hallazgo Abierto",$B$4:$B226,$B249)</f>
        <v>12</v>
      </c>
      <c r="M249" s="60">
        <f>COUNTIFS($J$4:$J226,"Hallazgo Cerrado",$B$4:$B226,$B249)</f>
        <v>7</v>
      </c>
      <c r="N249" s="142">
        <f>COUNTIFS($I$4:$I226,"No Conformidad",$B$4:$B226,$B249)</f>
        <v>19</v>
      </c>
      <c r="O249" s="305">
        <f>COUNTIFS($I$4:$I226,"Recomendación",$B$4:$B226,$B249)</f>
        <v>0</v>
      </c>
      <c r="P249" s="305">
        <f>COUNTIFS($I$4:$I226,"Oportunidad de mejora",$B$4:$B226,$B249)</f>
        <v>0</v>
      </c>
      <c r="Q249" s="305">
        <f>COUNTIFS($K$4:$K226,"Si",$B$4:$B226,$B249)</f>
        <v>16</v>
      </c>
      <c r="R249" s="56">
        <f>COUNTIFS($K$4:$K226,"No",$B$4:$B226,$B249)</f>
        <v>3</v>
      </c>
      <c r="T249" s="136"/>
      <c r="U249" s="84"/>
      <c r="V249" s="84"/>
      <c r="Z249" s="84"/>
      <c r="AA249" s="380"/>
      <c r="AB249" s="84"/>
    </row>
    <row r="250" spans="2:28" x14ac:dyDescent="0.2">
      <c r="B250" s="382" t="s">
        <v>58</v>
      </c>
      <c r="C250" s="291">
        <f>COUNTIFS($E$4:$E226,$C$238,$B$4:$B226,$B250)</f>
        <v>0</v>
      </c>
      <c r="D250" s="266">
        <f>COUNTIFS($E$4:$E226,$D$238,$B$4:$B226,$B250)</f>
        <v>5</v>
      </c>
      <c r="E250" s="291">
        <f>COUNTIFS($D$4:$D226,"Auditoria",$B$4:$B226,$B250)</f>
        <v>5</v>
      </c>
      <c r="F250" s="291">
        <f>COUNTIFS($D$4:$D226,"Especial",$B$4:$B226,$B250)</f>
        <v>0</v>
      </c>
      <c r="G250" s="291">
        <f>COUNTIFS($D$4:$D226,"Informes",$B$4:$B226,$B250)</f>
        <v>0</v>
      </c>
      <c r="H250" s="256"/>
      <c r="I250" s="291">
        <f>COUNTIFS($D$4:$D226,"Autocontrol",$B$4:$B226,$B250)</f>
        <v>0</v>
      </c>
      <c r="J250" s="291">
        <f t="shared" si="167"/>
        <v>5</v>
      </c>
      <c r="L250" s="189">
        <f>COUNTIFS($J$4:$J226,"Hallazgo Abierto",$B$4:$B226,$B250)</f>
        <v>5</v>
      </c>
      <c r="M250" s="60">
        <f>COUNTIFS($J$4:$J226,"Hallazgo Cerrado",$B$4:$B226,$B250)</f>
        <v>0</v>
      </c>
      <c r="N250" s="142">
        <f>COUNTIFS($I$4:$I226,"No Conformidad",$B$4:$B226,$B250)</f>
        <v>5</v>
      </c>
      <c r="O250" s="305">
        <f>COUNTIFS($I$4:$I226,"Recomendación",$B$4:$B226,$B250)</f>
        <v>0</v>
      </c>
      <c r="P250" s="305">
        <f>COUNTIFS($I$4:$I226,"Oportunidad de mejora",$B$4:$B226,$B250)</f>
        <v>0</v>
      </c>
      <c r="Q250" s="305">
        <f>COUNTIFS($K$4:$K226,"Si",$B$4:$B226,$B250)</f>
        <v>5</v>
      </c>
      <c r="R250" s="56">
        <f>COUNTIFS($K$4:$K226,"No",$B$4:$B226,$B250)</f>
        <v>0</v>
      </c>
      <c r="T250" s="84"/>
      <c r="U250" s="84"/>
      <c r="V250" s="84"/>
      <c r="Z250" s="84"/>
      <c r="AA250" s="380"/>
      <c r="AB250" s="84"/>
    </row>
    <row r="251" spans="2:28" ht="29.25" thickBot="1" x14ac:dyDescent="0.25">
      <c r="B251" s="383" t="s">
        <v>62</v>
      </c>
      <c r="C251" s="63">
        <f>COUNTIFS($E$4:$E226,$C$238,$B$4:$B226,$B251)</f>
        <v>1</v>
      </c>
      <c r="D251" s="264">
        <f>COUNTIFS($E$4:$E226,$D$238,$B$4:$B226,$B251)</f>
        <v>5</v>
      </c>
      <c r="E251" s="63">
        <f>COUNTIFS($D$4:$D226,"Auditoria",$B$4:$B226,$B251)</f>
        <v>2</v>
      </c>
      <c r="F251" s="63">
        <f>COUNTIFS($D$4:$D226,"Especial",$B$4:$B226,$B251)</f>
        <v>0</v>
      </c>
      <c r="G251" s="63">
        <f>COUNTIFS($D$4:$D226,"Informes",$B$4:$B226,$B251)</f>
        <v>1</v>
      </c>
      <c r="H251" s="257"/>
      <c r="I251" s="63">
        <f>COUNTIFS($D$4:$D226,"Autocontrol",$B$4:$B226,$B251)</f>
        <v>3</v>
      </c>
      <c r="J251" s="291">
        <f t="shared" si="167"/>
        <v>6</v>
      </c>
      <c r="L251" s="190">
        <f>COUNTIFS($J$4:$J226,"Hallazgo Abierto",$B$4:$B226,$B251)</f>
        <v>2</v>
      </c>
      <c r="M251" s="65">
        <f>COUNTIFS($J$4:$J226,"Hallazgo Cerrado",$B$4:$B226,$B251)</f>
        <v>4</v>
      </c>
      <c r="N251" s="96">
        <f>COUNTIFS($I$4:$I226,"No Conformidad",$B$4:$B226,$B251)</f>
        <v>6</v>
      </c>
      <c r="O251" s="63">
        <f>COUNTIFS($I$4:$I226,"Recomendación",$B$4:$B226,$B251)</f>
        <v>0</v>
      </c>
      <c r="P251" s="63">
        <f>COUNTIFS($I$4:$I226,"Oportunidad de mejora",$B$4:$B226,$B251)</f>
        <v>0</v>
      </c>
      <c r="Q251" s="63">
        <f>COUNTIFS($K$4:$K226,"Si",$B$4:$B226,$B251)</f>
        <v>6</v>
      </c>
      <c r="R251" s="65">
        <f>COUNTIFS($K$4:$K226,"No",$B$4:$B226,$B251)</f>
        <v>0</v>
      </c>
      <c r="T251" s="84"/>
      <c r="U251" s="84"/>
      <c r="V251" s="84"/>
      <c r="Z251" s="84"/>
      <c r="AA251" s="380"/>
      <c r="AB251" s="84"/>
    </row>
    <row r="252" spans="2:28" ht="17.25" thickTop="1" thickBot="1" x14ac:dyDescent="0.25">
      <c r="B252" s="373" t="s">
        <v>83</v>
      </c>
      <c r="C252" s="131">
        <f>SUM(C239:C251)</f>
        <v>36</v>
      </c>
      <c r="D252" s="267">
        <f>SUM(D239:D251)</f>
        <v>109</v>
      </c>
      <c r="E252" s="102">
        <f>SUM(E239:E251)</f>
        <v>120</v>
      </c>
      <c r="F252" s="103">
        <f>SUM(F239:F251)</f>
        <v>0</v>
      </c>
      <c r="G252" s="103">
        <f>SUBTOTAL(9,G239:G251)</f>
        <v>21</v>
      </c>
      <c r="H252" s="78"/>
      <c r="I252" s="103">
        <f>SUBTOTAL(9,I239:I251)</f>
        <v>4</v>
      </c>
      <c r="J252" s="140">
        <f>SUM(J239:J251)</f>
        <v>145</v>
      </c>
      <c r="K252" s="373" t="s">
        <v>83</v>
      </c>
      <c r="L252" s="191">
        <f t="shared" ref="L252:R252" si="168">SUM(L239:L251)</f>
        <v>117</v>
      </c>
      <c r="M252" s="144">
        <f t="shared" si="168"/>
        <v>28</v>
      </c>
      <c r="N252" s="141">
        <f t="shared" si="168"/>
        <v>145</v>
      </c>
      <c r="O252" s="78">
        <f t="shared" si="168"/>
        <v>0</v>
      </c>
      <c r="P252" s="78">
        <f t="shared" si="168"/>
        <v>0</v>
      </c>
      <c r="Q252" s="78">
        <f t="shared" si="168"/>
        <v>141</v>
      </c>
      <c r="R252" s="79">
        <f t="shared" si="168"/>
        <v>4</v>
      </c>
      <c r="T252" s="84"/>
      <c r="U252" s="84"/>
      <c r="V252" s="84"/>
      <c r="Z252" s="84"/>
      <c r="AA252" s="380"/>
      <c r="AB252" s="147"/>
    </row>
    <row r="253" spans="2:28" ht="15" thickBot="1" x14ac:dyDescent="0.25">
      <c r="F253" s="327" t="s">
        <v>83</v>
      </c>
      <c r="G253" s="122">
        <f>SUM(E252:I252)</f>
        <v>145</v>
      </c>
      <c r="H253" s="254"/>
      <c r="I253" s="123"/>
      <c r="J253" s="123"/>
      <c r="K253" s="372"/>
      <c r="L253" s="205">
        <f>SUM(L252:M252)</f>
        <v>145</v>
      </c>
      <c r="Q253" s="137"/>
      <c r="R253" s="84"/>
      <c r="S253" s="84"/>
      <c r="Z253" s="380"/>
      <c r="AA253" s="380"/>
      <c r="AB253" s="88"/>
    </row>
    <row r="254" spans="2:28" x14ac:dyDescent="0.2">
      <c r="G254" s="17"/>
      <c r="H254" s="371"/>
      <c r="I254" s="17"/>
      <c r="J254" s="372"/>
      <c r="R254" s="137"/>
      <c r="Z254" s="380"/>
      <c r="AA254" s="380"/>
      <c r="AB254" s="88"/>
    </row>
    <row r="255" spans="2:28" ht="12.75" x14ac:dyDescent="0.2">
      <c r="B255" s="514" t="s">
        <v>145</v>
      </c>
      <c r="C255" s="514"/>
      <c r="D255" s="514"/>
      <c r="E255" s="514"/>
      <c r="F255" s="514"/>
      <c r="G255" s="514"/>
      <c r="H255" s="327"/>
      <c r="I255" s="327"/>
      <c r="J255" s="327"/>
      <c r="K255" s="327"/>
      <c r="L255" s="327"/>
      <c r="Z255" s="380"/>
      <c r="AA255" s="380"/>
      <c r="AB255" s="88"/>
    </row>
    <row r="256" spans="2:28" ht="15" thickBot="1" x14ac:dyDescent="0.25">
      <c r="G256" s="17"/>
      <c r="H256" s="371"/>
      <c r="I256" s="17"/>
      <c r="J256" s="372"/>
      <c r="X256" s="84"/>
      <c r="Y256" s="84"/>
      <c r="Z256" s="380"/>
      <c r="AA256" s="380"/>
      <c r="AB256" s="88"/>
    </row>
    <row r="257" spans="2:28" ht="15.75" customHeight="1" thickBot="1" x14ac:dyDescent="0.25">
      <c r="B257" s="463"/>
      <c r="C257" s="477" t="s">
        <v>0</v>
      </c>
      <c r="D257" s="460" t="s">
        <v>128</v>
      </c>
      <c r="E257" s="461"/>
      <c r="F257" s="461"/>
      <c r="G257" s="462"/>
      <c r="H257" s="384"/>
      <c r="I257" s="385"/>
      <c r="J257" s="470" t="s">
        <v>256</v>
      </c>
      <c r="K257" s="471"/>
      <c r="L257" s="472"/>
      <c r="X257" s="84"/>
      <c r="Y257" s="84"/>
      <c r="Z257" s="380"/>
      <c r="AA257" s="216"/>
      <c r="AB257" s="215"/>
    </row>
    <row r="258" spans="2:28" ht="26.25" thickBot="1" x14ac:dyDescent="0.25">
      <c r="B258" s="463"/>
      <c r="C258" s="478"/>
      <c r="D258" s="268" t="s">
        <v>101</v>
      </c>
      <c r="E258" s="97" t="s">
        <v>47</v>
      </c>
      <c r="F258" s="214" t="s">
        <v>51</v>
      </c>
      <c r="G258" s="213" t="s">
        <v>124</v>
      </c>
      <c r="H258" s="344"/>
      <c r="I258" s="136"/>
      <c r="J258" s="192" t="s">
        <v>125</v>
      </c>
      <c r="K258" s="138" t="s">
        <v>48</v>
      </c>
      <c r="L258" s="139" t="s">
        <v>52</v>
      </c>
      <c r="X258" s="84"/>
      <c r="Y258" s="147"/>
      <c r="Z258" s="380"/>
      <c r="AA258" s="216"/>
      <c r="AB258" s="215"/>
    </row>
    <row r="259" spans="2:28" ht="15" thickTop="1" x14ac:dyDescent="0.2">
      <c r="B259" s="343"/>
      <c r="C259" s="217" t="s">
        <v>46</v>
      </c>
      <c r="D259" s="269">
        <f>COUNTIFS($M$4:M226,"Corrección",$B$4:B226,$C259)</f>
        <v>17</v>
      </c>
      <c r="E259" s="106">
        <f>COUNTIFS($M$4:M226,"Acción Correctiva",$B$4:B226,$C259)</f>
        <v>31</v>
      </c>
      <c r="F259" s="106">
        <f>COUNTIFS($M$4:M226,"Acción Preventiva",$B$4:B226,$C259)</f>
        <v>2</v>
      </c>
      <c r="G259" s="106">
        <f>COUNTIFS($M$4:M226,"Acción Mejora",$B$4:B226,$C259)</f>
        <v>0</v>
      </c>
      <c r="H259" s="344"/>
      <c r="I259" s="136"/>
      <c r="J259" s="217">
        <f>SUM(D259:G259)</f>
        <v>50</v>
      </c>
      <c r="K259" s="106">
        <f>COUNTIFS($R$4:R226,"Abierta",$B$4:B226,$C259)</f>
        <v>33</v>
      </c>
      <c r="L259" s="146">
        <f>COUNTIFS($R$4:R226,"Cerrada",$B$4:B226,$C259)</f>
        <v>17</v>
      </c>
      <c r="X259" s="84"/>
      <c r="Y259" s="84"/>
      <c r="Z259" s="380"/>
      <c r="AA259" s="216"/>
      <c r="AB259" s="215"/>
    </row>
    <row r="260" spans="2:28" x14ac:dyDescent="0.2">
      <c r="B260" s="345"/>
      <c r="C260" s="217" t="s">
        <v>9</v>
      </c>
      <c r="D260" s="269">
        <f>COUNTIFS($M$4:M226,"Corrección",$B$4:B226,$C260)</f>
        <v>5</v>
      </c>
      <c r="E260" s="106">
        <f>COUNTIFS($M$4:M226,"Acción Correctiva",$B$4:B226,$C260)</f>
        <v>7</v>
      </c>
      <c r="F260" s="106">
        <f>COUNTIFS($M$4:M226,"Acción Preventiva",$B$4:B226,$C260)</f>
        <v>5</v>
      </c>
      <c r="G260" s="106">
        <f>COUNTIFS($M$4:M226,"Acción Mejora",$B$4:B226,$C260)</f>
        <v>0</v>
      </c>
      <c r="H260" s="344"/>
      <c r="I260" s="136"/>
      <c r="J260" s="217">
        <f t="shared" ref="J260:J271" si="169">SUM(D260:G260)</f>
        <v>17</v>
      </c>
      <c r="K260" s="106">
        <f>COUNTIFS($R$4:R226,"Abierta",$B$4:B226,$C260)</f>
        <v>17</v>
      </c>
      <c r="L260" s="146">
        <f>COUNTIFS($R$4:R226,"Cerrada",$B$4:B226,$C260)</f>
        <v>0</v>
      </c>
      <c r="X260" s="84"/>
      <c r="Y260" s="84"/>
      <c r="Z260" s="380"/>
      <c r="AA260" s="216"/>
      <c r="AB260" s="215"/>
    </row>
    <row r="261" spans="2:28" ht="38.25" x14ac:dyDescent="0.2">
      <c r="B261" s="346"/>
      <c r="C261" s="217" t="s">
        <v>333</v>
      </c>
      <c r="D261" s="269">
        <f>COUNTIFS($M$4:M226,"Corrección",$B$4:B226,$C261)</f>
        <v>18</v>
      </c>
      <c r="E261" s="106">
        <f>COUNTIFS($M$4:M226,"Acción Correctiva",$B$4:B226,$C261)</f>
        <v>16</v>
      </c>
      <c r="F261" s="106">
        <f>COUNTIFS($M$4:M226,"Acción Preventiva",$B$4:B226,$C261)</f>
        <v>0</v>
      </c>
      <c r="G261" s="106">
        <f>COUNTIFS($M$4:M226,"Acción Mejora",$B$4:B226,$C261)</f>
        <v>0</v>
      </c>
      <c r="H261" s="344"/>
      <c r="I261" s="136"/>
      <c r="J261" s="217">
        <f t="shared" si="169"/>
        <v>34</v>
      </c>
      <c r="K261" s="106">
        <f>COUNTIFS($R$4:R226,"Abierta",$B$4:B226,$C261)</f>
        <v>14</v>
      </c>
      <c r="L261" s="146">
        <f>COUNTIFS($R$4:R226,"Cerrada",$B$4:B226,$C261)</f>
        <v>20</v>
      </c>
      <c r="X261" s="84"/>
      <c r="Y261" s="84"/>
      <c r="Z261" s="380"/>
      <c r="AA261" s="216"/>
      <c r="AB261" s="215"/>
    </row>
    <row r="262" spans="2:28" x14ac:dyDescent="0.2">
      <c r="B262" s="343"/>
      <c r="C262" s="217" t="s">
        <v>2</v>
      </c>
      <c r="D262" s="269">
        <f>COUNTIFS($M$4:M226,"Corrección",$B$4:B226,$C262)</f>
        <v>1</v>
      </c>
      <c r="E262" s="106">
        <f>COUNTIFS($M$4:M226,"Acción Correctiva",$B$4:B226,$C262)</f>
        <v>6</v>
      </c>
      <c r="F262" s="106">
        <f>COUNTIFS($M$4:M226,"Acción Preventiva",$B$4:B226,$C262)</f>
        <v>0</v>
      </c>
      <c r="G262" s="106">
        <f>COUNTIFS($M$4:M226,"Acción Mejora",$B$4:B226,$C262)</f>
        <v>0</v>
      </c>
      <c r="H262" s="344"/>
      <c r="I262" s="136"/>
      <c r="J262" s="218">
        <f t="shared" si="169"/>
        <v>7</v>
      </c>
      <c r="K262" s="106">
        <f>COUNTIFS($R$4:R226,"Abierta",$B$4:B226,$C262)</f>
        <v>7</v>
      </c>
      <c r="L262" s="146">
        <f>COUNTIFS($R$4:R226,"Cerrada",$B$4:B226,$C262)</f>
        <v>0</v>
      </c>
      <c r="X262" s="84"/>
      <c r="Y262" s="84"/>
      <c r="Z262" s="380"/>
      <c r="AA262" s="216"/>
      <c r="AB262" s="215"/>
    </row>
    <row r="263" spans="2:28" x14ac:dyDescent="0.2">
      <c r="B263" s="345"/>
      <c r="C263" s="217" t="s">
        <v>21</v>
      </c>
      <c r="D263" s="269">
        <f>COUNTIFS($M$4:M226,"Corrección",$B$4:B226,$C263)</f>
        <v>0</v>
      </c>
      <c r="E263" s="106">
        <f>COUNTIFS($M$4:M226,"Acción Correctiva",$B$4:B226,$C263)</f>
        <v>15</v>
      </c>
      <c r="F263" s="106">
        <f>COUNTIFS($M$4:M226,"Acción Preventiva",$B$4:B226,$C263)</f>
        <v>0</v>
      </c>
      <c r="G263" s="106">
        <f>COUNTIFS($M$4:M226,"Acción Mejora",$B$4:B226,$C263)</f>
        <v>0</v>
      </c>
      <c r="H263" s="344"/>
      <c r="I263" s="136"/>
      <c r="J263" s="217">
        <f t="shared" si="169"/>
        <v>15</v>
      </c>
      <c r="K263" s="106">
        <f>COUNTIFS($R$4:R226,"Abierta",$B$4:B226,$C263)</f>
        <v>9</v>
      </c>
      <c r="L263" s="146">
        <f>COUNTIFS($R$4:R226,"Cerrada",$B$4:B226,$C263)</f>
        <v>6</v>
      </c>
      <c r="X263" s="84"/>
      <c r="Y263" s="84"/>
      <c r="Z263" s="380"/>
      <c r="AA263" s="216"/>
      <c r="AB263" s="215"/>
    </row>
    <row r="264" spans="2:28" x14ac:dyDescent="0.2">
      <c r="B264" s="343"/>
      <c r="C264" s="217" t="s">
        <v>34</v>
      </c>
      <c r="D264" s="269">
        <f>COUNTIFS($M$4:M226,"Corrección",$B$4:B226,$C264)</f>
        <v>1</v>
      </c>
      <c r="E264" s="106">
        <f>COUNTIFS($M$4:M226,"Acción Correctiva",$B$4:B226,$C264)</f>
        <v>4</v>
      </c>
      <c r="F264" s="106">
        <f>COUNTIFS($M$4:M226,"Acción Preventiva",$B$4:B226,$C264)</f>
        <v>0</v>
      </c>
      <c r="G264" s="106">
        <f>COUNTIFS($M$4:M226,"Acción Mejora",$B$4:B226,$C264)</f>
        <v>0</v>
      </c>
      <c r="H264" s="344"/>
      <c r="I264" s="136"/>
      <c r="J264" s="217">
        <f t="shared" si="169"/>
        <v>5</v>
      </c>
      <c r="K264" s="106">
        <f>COUNTIFS($R$4:R226,"Abierta",$B$4:B226,$C264)</f>
        <v>4</v>
      </c>
      <c r="L264" s="146">
        <f>COUNTIFS($R$4:R226,"Cerrada",$B$4:B226,$C264)</f>
        <v>1</v>
      </c>
      <c r="X264" s="84"/>
      <c r="Y264" s="84"/>
      <c r="Z264" s="380"/>
      <c r="AA264" s="216"/>
      <c r="AB264" s="215"/>
    </row>
    <row r="265" spans="2:28" x14ac:dyDescent="0.2">
      <c r="B265" s="345"/>
      <c r="C265" s="217" t="s">
        <v>33</v>
      </c>
      <c r="D265" s="269">
        <f>COUNTIFS($M$4:M226,"Corrección",$B$4:B226,$C265)</f>
        <v>0</v>
      </c>
      <c r="E265" s="106">
        <f>COUNTIFS($M$4:M226,"Acción Correctiva",$B$4:B226,$C265)</f>
        <v>2</v>
      </c>
      <c r="F265" s="106">
        <f>COUNTIFS($M$4:M226,"Acción Preventiva",$B$4:B226,$C265)</f>
        <v>5</v>
      </c>
      <c r="G265" s="106">
        <f>COUNTIFS($M$4:M226,"Acción Mejora",$B$4:B226,$C265)</f>
        <v>0</v>
      </c>
      <c r="H265" s="344"/>
      <c r="I265" s="136"/>
      <c r="J265" s="217">
        <f t="shared" si="169"/>
        <v>7</v>
      </c>
      <c r="K265" s="106">
        <f>COUNTIFS($R$4:R226,"Abierta",$B$4:B226,$C265)</f>
        <v>7</v>
      </c>
      <c r="L265" s="146">
        <f>COUNTIFS($R$4:R226,"Cerrada",$B$4:B226,$C265)</f>
        <v>0</v>
      </c>
      <c r="X265" s="84"/>
      <c r="Y265" s="84"/>
      <c r="Z265" s="380"/>
      <c r="AA265" s="216"/>
      <c r="AB265" s="215"/>
    </row>
    <row r="266" spans="2:28" x14ac:dyDescent="0.2">
      <c r="B266" s="386"/>
      <c r="C266" s="217" t="s">
        <v>263</v>
      </c>
      <c r="D266" s="269">
        <f>COUNTIFS($M$4:M227,"Corrección",$B$4:B227,$C266)</f>
        <v>4</v>
      </c>
      <c r="E266" s="106">
        <f>COUNTIFS($M$4:M227,"Acción Correctiva",$B$4:B227,$C266)</f>
        <v>8</v>
      </c>
      <c r="F266" s="106">
        <f>COUNTIFS($M$4:M227,"Acción Preventiva",$B$4:B227,$C266)</f>
        <v>0</v>
      </c>
      <c r="G266" s="106">
        <f>COUNTIFS($M$4:M227,"Acción Mejora",$B$4:B227,$C266)</f>
        <v>0</v>
      </c>
      <c r="H266" s="344"/>
      <c r="I266" s="136"/>
      <c r="J266" s="217">
        <f t="shared" si="169"/>
        <v>12</v>
      </c>
      <c r="K266" s="106">
        <f>COUNTIFS($R$4:R227,"Abierta",$B$4:B227,$C266)</f>
        <v>9</v>
      </c>
      <c r="L266" s="146">
        <f>COUNTIFS($R$4:R227,"Cerrada",$B$4:B227,$C266)</f>
        <v>3</v>
      </c>
      <c r="X266" s="84"/>
      <c r="Y266" s="84"/>
      <c r="Z266" s="380"/>
      <c r="AA266" s="216"/>
      <c r="AB266" s="215"/>
    </row>
    <row r="267" spans="2:28" ht="25.5" x14ac:dyDescent="0.2">
      <c r="B267" s="343"/>
      <c r="C267" s="217" t="s">
        <v>59</v>
      </c>
      <c r="D267" s="269">
        <f>COUNTIFS($M$4:M226,"Corrección",$B$4:B226,$C267)</f>
        <v>2</v>
      </c>
      <c r="E267" s="106">
        <f>COUNTIFS($M$4:M226,"Acción Correctiva",$B$4:B226,$C267)</f>
        <v>2</v>
      </c>
      <c r="F267" s="106">
        <f>COUNTIFS($M$4:M226,"Acción Preventiva",$B$4:B226,$C267)</f>
        <v>0</v>
      </c>
      <c r="G267" s="106">
        <f>COUNTIFS($M$4:M226,"Acción Mejora",$B$4:B226,$C267)</f>
        <v>0</v>
      </c>
      <c r="H267" s="344"/>
      <c r="I267" s="136"/>
      <c r="J267" s="217">
        <f t="shared" si="169"/>
        <v>4</v>
      </c>
      <c r="K267" s="106">
        <f>COUNTIFS($R$4:R228,"Abierta",$B$4:B228,$C267)</f>
        <v>4</v>
      </c>
      <c r="L267" s="146">
        <f>COUNTIFS($R$4:R228,"Cerrada",$B$4:B228,$C267)</f>
        <v>0</v>
      </c>
      <c r="X267" s="84"/>
      <c r="Y267" s="84"/>
      <c r="Z267" s="380"/>
      <c r="AA267" s="216"/>
      <c r="AB267" s="215"/>
    </row>
    <row r="268" spans="2:28" ht="25.5" x14ac:dyDescent="0.2">
      <c r="B268" s="346"/>
      <c r="C268" s="217" t="s">
        <v>60</v>
      </c>
      <c r="D268" s="269">
        <f>COUNTIFS($M$4:M226,"Corrección",$B$4:B226,$C268)</f>
        <v>5</v>
      </c>
      <c r="E268" s="106">
        <f>COUNTIFS($M$4:M226,"Acción Correctiva",$B$4:B226,$C268)</f>
        <v>12</v>
      </c>
      <c r="F268" s="106">
        <f>COUNTIFS($M$4:M226,"Acción Preventiva",$B$4:B226,$C268)</f>
        <v>0</v>
      </c>
      <c r="G268" s="106">
        <f>COUNTIFS($M$4:M226,"Acción Mejora",$B$4:B226,$C268)</f>
        <v>0</v>
      </c>
      <c r="H268" s="344"/>
      <c r="I268" s="136"/>
      <c r="J268" s="217">
        <f t="shared" si="169"/>
        <v>17</v>
      </c>
      <c r="K268" s="106">
        <f>COUNTIFS($R$4:R229,"Abierta",$B$4:B229,$C268)</f>
        <v>17</v>
      </c>
      <c r="L268" s="146">
        <f>COUNTIFS($R$4:R229,"Cerrada",$B$4:B229,$C268)</f>
        <v>0</v>
      </c>
      <c r="X268" s="84"/>
      <c r="Y268" s="84"/>
      <c r="Z268" s="380"/>
      <c r="AA268" s="216"/>
      <c r="AB268" s="215"/>
    </row>
    <row r="269" spans="2:28" ht="25.5" x14ac:dyDescent="0.2">
      <c r="B269" s="346"/>
      <c r="C269" s="217" t="s">
        <v>331</v>
      </c>
      <c r="D269" s="269">
        <f>COUNTIFS($M$4:M226,"Corrección",$B$4:B226,$C269)</f>
        <v>8</v>
      </c>
      <c r="E269" s="106">
        <f>COUNTIFS($M$4:M226,"Acción Correctiva",$B$4:B226,$C269)</f>
        <v>12</v>
      </c>
      <c r="F269" s="106">
        <f>COUNTIFS($M$4:M226,"Acción Preventiva",$B$4:B226,$C269)</f>
        <v>0</v>
      </c>
      <c r="G269" s="106">
        <f>COUNTIFS($M$4:M226,"Acción Mejora",$B$4:B226,$C269)</f>
        <v>0</v>
      </c>
      <c r="H269" s="344"/>
      <c r="I269" s="136"/>
      <c r="J269" s="217">
        <f t="shared" si="169"/>
        <v>20</v>
      </c>
      <c r="K269" s="106">
        <f>COUNTIFS($R$4:R230,"Abierta",$B$4:B230,$C269)</f>
        <v>11</v>
      </c>
      <c r="L269" s="146">
        <f>COUNTIFS($R$4:R230,"Cerrada",$B$4:B230,$C269)</f>
        <v>9</v>
      </c>
      <c r="X269" s="84"/>
      <c r="Y269" s="84"/>
      <c r="Z269" s="380"/>
      <c r="AA269" s="216"/>
      <c r="AB269" s="215"/>
    </row>
    <row r="270" spans="2:28" x14ac:dyDescent="0.2">
      <c r="B270" s="386"/>
      <c r="C270" s="217" t="s">
        <v>58</v>
      </c>
      <c r="D270" s="269">
        <f>COUNTIFS($M$4:M226,"Corrección",$B$4:B226,$C270)</f>
        <v>5</v>
      </c>
      <c r="E270" s="106">
        <f>COUNTIFS($M$4:M226,"Acción Correctiva",$B$4:B226,$C270)</f>
        <v>7</v>
      </c>
      <c r="F270" s="106">
        <f>COUNTIFS($M$4:M226,"Acción Preventiva",$B$4:B226,$C270)</f>
        <v>0</v>
      </c>
      <c r="G270" s="106">
        <f>COUNTIFS($M$4:M226,"Acción Mejora",$B$4:B226,$C270)</f>
        <v>0</v>
      </c>
      <c r="H270" s="344"/>
      <c r="I270" s="136"/>
      <c r="J270" s="217">
        <f t="shared" si="169"/>
        <v>12</v>
      </c>
      <c r="K270" s="106">
        <f>COUNTIFS($R$4:R231,"Abierta",$B$4:B231,$C270)</f>
        <v>12</v>
      </c>
      <c r="L270" s="146">
        <f>COUNTIFS($R$4:R231,"Cerrada",$B$4:B231,$C270)</f>
        <v>0</v>
      </c>
      <c r="X270" s="84"/>
      <c r="Y270" s="84"/>
      <c r="Z270" s="380"/>
      <c r="AA270" s="216"/>
      <c r="AB270" s="215"/>
    </row>
    <row r="271" spans="2:28" ht="15" thickBot="1" x14ac:dyDescent="0.25">
      <c r="B271" s="343"/>
      <c r="C271" s="347" t="s">
        <v>62</v>
      </c>
      <c r="D271" s="269">
        <f>COUNTIFS($M$4:M226,"Corrección",$B$4:B226,$C271)</f>
        <v>2</v>
      </c>
      <c r="E271" s="116">
        <f>COUNTIFS($M$4:M226,"Acción Correctiva",$B$4:B226,$C271)</f>
        <v>9</v>
      </c>
      <c r="F271" s="116">
        <f>COUNTIFS($M$4:M226,"Acción Preventiva",$B$4:B226,$C271)</f>
        <v>0</v>
      </c>
      <c r="G271" s="116">
        <f>COUNTIFS($M$4:M226,"Acción Mejora",$B$4:B226,$C271)</f>
        <v>0</v>
      </c>
      <c r="H271" s="344"/>
      <c r="I271" s="136"/>
      <c r="J271" s="220">
        <f t="shared" si="169"/>
        <v>11</v>
      </c>
      <c r="K271" s="116">
        <f>COUNTIFS($R$4:R232,"Abierta",$B$4:B232,$C271)</f>
        <v>4</v>
      </c>
      <c r="L271" s="219">
        <f>COUNTIFS($R$4:R232,"Cerrada",$B$4:B232,$C271)</f>
        <v>7</v>
      </c>
      <c r="X271" s="84"/>
      <c r="Y271" s="84"/>
      <c r="Z271" s="380"/>
      <c r="AA271" s="216"/>
      <c r="AB271" s="215"/>
    </row>
    <row r="272" spans="2:28" ht="17.25" thickTop="1" thickBot="1" x14ac:dyDescent="0.25">
      <c r="B272" s="84"/>
      <c r="C272" s="387" t="s">
        <v>83</v>
      </c>
      <c r="D272" s="274">
        <f>SUM(D259:D271)</f>
        <v>68</v>
      </c>
      <c r="E272" s="275">
        <f>SUM(E259:E271)</f>
        <v>131</v>
      </c>
      <c r="F272" s="275">
        <f>SUM(F259:F271)</f>
        <v>12</v>
      </c>
      <c r="G272" s="275">
        <f>SUM(G259:G271)</f>
        <v>0</v>
      </c>
      <c r="H272" s="371"/>
      <c r="I272" s="17"/>
      <c r="J272" s="193">
        <f>SUM(J259:J271)</f>
        <v>211</v>
      </c>
      <c r="K272" s="145">
        <f>SUM(K259:K271)</f>
        <v>148</v>
      </c>
      <c r="L272" s="145">
        <f>SUM(L259:L271)</f>
        <v>63</v>
      </c>
      <c r="X272" s="84"/>
      <c r="Y272" s="147"/>
      <c r="Z272" s="380"/>
      <c r="AA272" s="216"/>
      <c r="AB272" s="215"/>
    </row>
    <row r="273" spans="1:28" ht="15" thickBot="1" x14ac:dyDescent="0.25">
      <c r="B273" s="84"/>
      <c r="F273" s="17" t="s">
        <v>193</v>
      </c>
      <c r="G273" s="157">
        <f>SUM(D272:G272)</f>
        <v>211</v>
      </c>
      <c r="H273" s="371"/>
      <c r="I273" s="17"/>
      <c r="J273" s="372"/>
      <c r="X273" s="84"/>
      <c r="Y273" s="84"/>
      <c r="Z273" s="380"/>
      <c r="AA273" s="216"/>
      <c r="AB273" s="215"/>
    </row>
    <row r="274" spans="1:28" x14ac:dyDescent="0.2">
      <c r="G274" s="17"/>
      <c r="H274" s="388"/>
      <c r="I274" s="17"/>
      <c r="J274" s="372"/>
      <c r="X274" s="84"/>
      <c r="Y274" s="84"/>
      <c r="Z274" s="380"/>
      <c r="AA274" s="216"/>
      <c r="AB274" s="215"/>
    </row>
    <row r="275" spans="1:28" x14ac:dyDescent="0.2">
      <c r="G275" s="17"/>
      <c r="H275" s="371"/>
      <c r="I275" s="17"/>
      <c r="J275" s="372"/>
      <c r="X275" s="84"/>
      <c r="Y275" s="84"/>
      <c r="Z275" s="380"/>
      <c r="AA275" s="216"/>
      <c r="AB275" s="215"/>
    </row>
    <row r="276" spans="1:28" x14ac:dyDescent="0.2">
      <c r="G276" s="17"/>
      <c r="H276" s="371"/>
      <c r="I276" s="17"/>
      <c r="J276" s="372"/>
      <c r="X276" s="84"/>
      <c r="Y276" s="84"/>
      <c r="Z276" s="380"/>
      <c r="AA276" s="216"/>
      <c r="AB276" s="215"/>
    </row>
    <row r="277" spans="1:28" x14ac:dyDescent="0.2">
      <c r="G277" s="17"/>
      <c r="H277" s="371"/>
      <c r="I277" s="17"/>
      <c r="J277" s="372"/>
      <c r="X277" s="84"/>
      <c r="Y277" s="84"/>
      <c r="Z277" s="380"/>
      <c r="AA277" s="216"/>
      <c r="AB277" s="215"/>
    </row>
    <row r="278" spans="1:28" x14ac:dyDescent="0.2">
      <c r="A278" s="17" t="s">
        <v>437</v>
      </c>
      <c r="G278" s="17"/>
      <c r="H278" s="371"/>
      <c r="I278" s="17"/>
      <c r="J278" s="372"/>
      <c r="Z278" s="216"/>
      <c r="AA278" s="216"/>
      <c r="AB278" s="215"/>
    </row>
    <row r="279" spans="1:28" x14ac:dyDescent="0.2">
      <c r="G279" s="17"/>
      <c r="H279" s="371"/>
      <c r="I279" s="17"/>
      <c r="J279" s="372"/>
      <c r="Z279" s="216"/>
      <c r="AA279" s="216"/>
      <c r="AB279" s="215"/>
    </row>
    <row r="280" spans="1:28" x14ac:dyDescent="0.2">
      <c r="B280" s="17" t="s">
        <v>504</v>
      </c>
      <c r="G280" s="17"/>
      <c r="H280" s="371"/>
      <c r="I280" s="17"/>
      <c r="J280" s="372"/>
      <c r="Z280" s="216"/>
      <c r="AA280" s="216"/>
      <c r="AB280" s="215"/>
    </row>
    <row r="281" spans="1:28" x14ac:dyDescent="0.2">
      <c r="G281" s="17"/>
      <c r="H281" s="371"/>
      <c r="I281" s="17"/>
      <c r="J281" s="372"/>
      <c r="Z281" s="216"/>
      <c r="AA281" s="216"/>
      <c r="AB281" s="215"/>
    </row>
  </sheetData>
  <sheetProtection password="D99B" sheet="1" objects="1" scenarios="1"/>
  <autoFilter ref="A3:Y253"/>
  <mergeCells count="239">
    <mergeCell ref="A172:A174"/>
    <mergeCell ref="H212:H213"/>
    <mergeCell ref="A212:A213"/>
    <mergeCell ref="B255:G255"/>
    <mergeCell ref="E186:E187"/>
    <mergeCell ref="I186:I187"/>
    <mergeCell ref="J186:J187"/>
    <mergeCell ref="A159:A160"/>
    <mergeCell ref="A161:A162"/>
    <mergeCell ref="A163:A164"/>
    <mergeCell ref="A165:A166"/>
    <mergeCell ref="A167:A168"/>
    <mergeCell ref="H167:H168"/>
    <mergeCell ref="E237:I237"/>
    <mergeCell ref="I107:I109"/>
    <mergeCell ref="E85:E86"/>
    <mergeCell ref="I85:I86"/>
    <mergeCell ref="E107:E109"/>
    <mergeCell ref="E110:E115"/>
    <mergeCell ref="I118:I119"/>
    <mergeCell ref="J118:J119"/>
    <mergeCell ref="H103:H106"/>
    <mergeCell ref="H110:H114"/>
    <mergeCell ref="E118:E119"/>
    <mergeCell ref="I99:I100"/>
    <mergeCell ref="I80:I81"/>
    <mergeCell ref="J80:J81"/>
    <mergeCell ref="K80:K81"/>
    <mergeCell ref="E54:E55"/>
    <mergeCell ref="K121:K124"/>
    <mergeCell ref="D99:D100"/>
    <mergeCell ref="D76:D77"/>
    <mergeCell ref="E76:E77"/>
    <mergeCell ref="I76:I77"/>
    <mergeCell ref="D94:D97"/>
    <mergeCell ref="E94:E97"/>
    <mergeCell ref="J107:J109"/>
    <mergeCell ref="D87:D89"/>
    <mergeCell ref="E87:E89"/>
    <mergeCell ref="D110:D115"/>
    <mergeCell ref="D107:D109"/>
    <mergeCell ref="K107:K109"/>
    <mergeCell ref="K118:K119"/>
    <mergeCell ref="K87:K89"/>
    <mergeCell ref="I94:I97"/>
    <mergeCell ref="I103:I106"/>
    <mergeCell ref="E99:E100"/>
    <mergeCell ref="E103:E106"/>
    <mergeCell ref="J110:J115"/>
    <mergeCell ref="K4:K6"/>
    <mergeCell ref="D4:D6"/>
    <mergeCell ref="I4:I6"/>
    <mergeCell ref="K12:K17"/>
    <mergeCell ref="E4:E6"/>
    <mergeCell ref="E12:E17"/>
    <mergeCell ref="E50:E53"/>
    <mergeCell ref="E28:E31"/>
    <mergeCell ref="E56:E59"/>
    <mergeCell ref="D54:D55"/>
    <mergeCell ref="D12:D17"/>
    <mergeCell ref="D32:D35"/>
    <mergeCell ref="E32:E35"/>
    <mergeCell ref="I32:I35"/>
    <mergeCell ref="J32:J35"/>
    <mergeCell ref="K32:K35"/>
    <mergeCell ref="H18:H19"/>
    <mergeCell ref="X127:X129"/>
    <mergeCell ref="V127:V129"/>
    <mergeCell ref="V125:V126"/>
    <mergeCell ref="V121:V124"/>
    <mergeCell ref="X125:X126"/>
    <mergeCell ref="X121:X124"/>
    <mergeCell ref="X107:X109"/>
    <mergeCell ref="X110:X115"/>
    <mergeCell ref="X118:X119"/>
    <mergeCell ref="X70:X71"/>
    <mergeCell ref="I56:I59"/>
    <mergeCell ref="J56:J59"/>
    <mergeCell ref="I60:I64"/>
    <mergeCell ref="I54:I55"/>
    <mergeCell ref="J54:J55"/>
    <mergeCell ref="I12:I17"/>
    <mergeCell ref="J12:J17"/>
    <mergeCell ref="I28:I31"/>
    <mergeCell ref="I50:I53"/>
    <mergeCell ref="J50:J53"/>
    <mergeCell ref="K54:K55"/>
    <mergeCell ref="X4:X6"/>
    <mergeCell ref="X28:X31"/>
    <mergeCell ref="X50:X53"/>
    <mergeCell ref="X54:X55"/>
    <mergeCell ref="X56:X59"/>
    <mergeCell ref="X60:X64"/>
    <mergeCell ref="X68:X69"/>
    <mergeCell ref="J4:J6"/>
    <mergeCell ref="X103:X106"/>
    <mergeCell ref="X74:X75"/>
    <mergeCell ref="X76:X77"/>
    <mergeCell ref="X94:X97"/>
    <mergeCell ref="J76:J77"/>
    <mergeCell ref="K76:K77"/>
    <mergeCell ref="J94:J97"/>
    <mergeCell ref="X99:X100"/>
    <mergeCell ref="K103:K106"/>
    <mergeCell ref="K50:K53"/>
    <mergeCell ref="T28:T31"/>
    <mergeCell ref="J103:J106"/>
    <mergeCell ref="J99:J100"/>
    <mergeCell ref="X12:X17"/>
    <mergeCell ref="J28:J31"/>
    <mergeCell ref="K28:K31"/>
    <mergeCell ref="K94:K97"/>
    <mergeCell ref="E70:E71"/>
    <mergeCell ref="D103:D106"/>
    <mergeCell ref="D74:D75"/>
    <mergeCell ref="D85:D86"/>
    <mergeCell ref="D118:D119"/>
    <mergeCell ref="K110:K115"/>
    <mergeCell ref="K56:K59"/>
    <mergeCell ref="K60:K64"/>
    <mergeCell ref="J68:J69"/>
    <mergeCell ref="I68:I69"/>
    <mergeCell ref="K99:K100"/>
    <mergeCell ref="J85:J86"/>
    <mergeCell ref="K85:K86"/>
    <mergeCell ref="I87:I89"/>
    <mergeCell ref="J87:J89"/>
    <mergeCell ref="I110:I115"/>
    <mergeCell ref="D60:D64"/>
    <mergeCell ref="D80:D81"/>
    <mergeCell ref="D68:D69"/>
    <mergeCell ref="K68:K69"/>
    <mergeCell ref="D70:D71"/>
    <mergeCell ref="K70:K71"/>
    <mergeCell ref="E80:E81"/>
    <mergeCell ref="V142:V143"/>
    <mergeCell ref="N237:P237"/>
    <mergeCell ref="D149:D154"/>
    <mergeCell ref="E149:E154"/>
    <mergeCell ref="D186:D187"/>
    <mergeCell ref="D147:D148"/>
    <mergeCell ref="E147:E148"/>
    <mergeCell ref="I147:I148"/>
    <mergeCell ref="J147:J148"/>
    <mergeCell ref="K147:K148"/>
    <mergeCell ref="Q229:W229"/>
    <mergeCell ref="K186:K187"/>
    <mergeCell ref="H159:H160"/>
    <mergeCell ref="H161:H162"/>
    <mergeCell ref="H163:H164"/>
    <mergeCell ref="H165:H166"/>
    <mergeCell ref="H172:H174"/>
    <mergeCell ref="Q237:R237"/>
    <mergeCell ref="I192:I193"/>
    <mergeCell ref="J192:J193"/>
    <mergeCell ref="K192:K193"/>
    <mergeCell ref="D192:D193"/>
    <mergeCell ref="U142:U143"/>
    <mergeCell ref="K142:K143"/>
    <mergeCell ref="E121:E124"/>
    <mergeCell ref="I121:I124"/>
    <mergeCell ref="J121:J124"/>
    <mergeCell ref="D121:D124"/>
    <mergeCell ref="E127:E129"/>
    <mergeCell ref="I127:I129"/>
    <mergeCell ref="C230:D230"/>
    <mergeCell ref="B237:B238"/>
    <mergeCell ref="E230:F230"/>
    <mergeCell ref="C229:L229"/>
    <mergeCell ref="I149:I154"/>
    <mergeCell ref="J149:J154"/>
    <mergeCell ref="K149:K154"/>
    <mergeCell ref="K125:K126"/>
    <mergeCell ref="E194:E196"/>
    <mergeCell ref="I194:I196"/>
    <mergeCell ref="L237:M237"/>
    <mergeCell ref="D184:D185"/>
    <mergeCell ref="E184:E185"/>
    <mergeCell ref="I184:I185"/>
    <mergeCell ref="J184:J185"/>
    <mergeCell ref="K184:K185"/>
    <mergeCell ref="J194:J196"/>
    <mergeCell ref="E192:E193"/>
    <mergeCell ref="I125:I126"/>
    <mergeCell ref="J125:J126"/>
    <mergeCell ref="J127:J129"/>
    <mergeCell ref="D125:D126"/>
    <mergeCell ref="E125:E126"/>
    <mergeCell ref="D127:D129"/>
    <mergeCell ref="K127:K129"/>
    <mergeCell ref="J142:J143"/>
    <mergeCell ref="D142:D143"/>
    <mergeCell ref="E142:E143"/>
    <mergeCell ref="I142:I143"/>
    <mergeCell ref="I74:I75"/>
    <mergeCell ref="J74:J75"/>
    <mergeCell ref="K74:K75"/>
    <mergeCell ref="I70:I71"/>
    <mergeCell ref="J70:J71"/>
    <mergeCell ref="H60:H64"/>
    <mergeCell ref="D56:D59"/>
    <mergeCell ref="J60:J64"/>
    <mergeCell ref="E60:E64"/>
    <mergeCell ref="E74:E75"/>
    <mergeCell ref="E68:E69"/>
    <mergeCell ref="D257:G257"/>
    <mergeCell ref="B257:B258"/>
    <mergeCell ref="D177:D179"/>
    <mergeCell ref="E177:E179"/>
    <mergeCell ref="I177:I179"/>
    <mergeCell ref="J177:J179"/>
    <mergeCell ref="K177:K179"/>
    <mergeCell ref="D190:D191"/>
    <mergeCell ref="E190:E191"/>
    <mergeCell ref="I190:I191"/>
    <mergeCell ref="J190:J191"/>
    <mergeCell ref="K190:K191"/>
    <mergeCell ref="D194:D196"/>
    <mergeCell ref="K194:K196"/>
    <mergeCell ref="D188:D189"/>
    <mergeCell ref="E188:E189"/>
    <mergeCell ref="I188:I189"/>
    <mergeCell ref="J188:J189"/>
    <mergeCell ref="K188:K189"/>
    <mergeCell ref="J257:L257"/>
    <mergeCell ref="J237:J238"/>
    <mergeCell ref="C237:D237"/>
    <mergeCell ref="C257:C258"/>
    <mergeCell ref="A18:A19"/>
    <mergeCell ref="H28:H31"/>
    <mergeCell ref="A28:A31"/>
    <mergeCell ref="H33:H35"/>
    <mergeCell ref="H50:H53"/>
    <mergeCell ref="H4:H6"/>
    <mergeCell ref="A4:A6"/>
    <mergeCell ref="H12:H17"/>
    <mergeCell ref="A12:A17"/>
    <mergeCell ref="D50:D53"/>
    <mergeCell ref="D28:D31"/>
  </mergeCells>
  <conditionalFormatting sqref="K125:N125 L126:N126 K121 K130:K134 L121:N124 L140:M143 K145:M146 K135:N137 K149 K181:M181 K140:K142 H49 K54 H10 K70 K60:M60 K101:N102 K103 K107 K110 M82:N82 K87:N87 H20:H21 H28 H36:H41 K32 P50:P53 L61:M70 N60:N70 L77:M77 L93:N97 T117 L80:L82 L71:N71 K72:N74 L75:N75 K98:N99 L119:M119 K90:N94 L100:N100 M103:N107 L103:L109 M108:M109 L110:M115 N108:N116 T38 T46:T47 N118:N119 K116:M118 L83:N83 L88:N89 L86:N86 T120 K56 K65:K68 K84:N85 K80 K78:M79 K18:K28 T60:T62 T99 T101 T103:T104 T107:T111 T113 K139:N139 K138 Q32:Q41 K226:O226 H226 Q226 K36:K50 M80:M81 K177:N177 L178:N179 K180:O180 L202:N202 D258:G258 Q202 Q43:Q44 L45:N59 Q46:Q68 T64 H54:H60 H107:H110 H172:H173 K174:M174 O174 H212 K3:K5 Q4:Q7 L4:O8 Q11:Q30 L9:N43 K7:K12 K76:M76 N76:N81 K82:K83 H65:H103 K120:N120 Q73:Q120 M127:N134 Q127:Q136 K127 F140:F144 K144:N144 H115:H144 K147 O169 K155:K171 L147:M173 H175:H177 K175:O176 K182:O182 O190:O191 H197 K197:O199 Q197:Q199 H199:H202 K205:O207 Q205:Q207 H205:H207 Q209 H209 K209 K212:K213 Q212:Q222 L214:O222 K183:K184 K186 L183:O187 H180:H188 Q139:Q189 H7 H4 H12">
    <cfRule type="cellIs" dxfId="529" priority="8524" operator="equal">
      <formula>"Plan Mejoramiento"</formula>
    </cfRule>
    <cfRule type="cellIs" dxfId="528" priority="8525" operator="equal">
      <formula>"Acción Preventiva"</formula>
    </cfRule>
    <cfRule type="cellIs" dxfId="527" priority="8526" operator="equal">
      <formula>"Acción Correctiva"</formula>
    </cfRule>
  </conditionalFormatting>
  <conditionalFormatting sqref="K258:L258 P231:P232 T38 T46:T47 Q4:R7 T60:T62 T99 T101 T103:T104 T107:T111 T113 R226 R202 R45:R68 T64 R8:R43 R70:R84 R87:R124 R127:R137 R197:R199 R205:R207 R209 R212:R222 R139:R189">
    <cfRule type="cellIs" dxfId="526" priority="8520" operator="equal">
      <formula>"Cerrada"</formula>
    </cfRule>
    <cfRule type="cellIs" dxfId="525" priority="8521" operator="equal">
      <formula>"Abierta"</formula>
    </cfRule>
  </conditionalFormatting>
  <conditionalFormatting sqref="K125 M140:M143 K149 M181 H49 K54 H10 L61:M64 K70 K72:K74 K60:M60 K101:K103 K107 K110 K87 H20:H21 H28 H36:H41 K32 P50:P53 T117 L65:L69 N60:N74 M65:M74 K98:K99 N108:N116 T38 T46:T47 N118:N120 M108:M120 T120 K56 K65:K68 K90:K94 K116:K118 K78:K80 K18:K28 T60:T62 T99 T101 T103:T104 T107:T111 T113 Q32:Q41 K226 H226 M226:O226 Q226 K36:K50 M177:N179 M180:O180 M202:N202 D258:G258 Q202 Q43:Q44 L45:N59 Q46:Q68 T64 H54:H60 H107:H110 H172:H173 O174 H212 K3:K5 Q4:Q7 L4:O8 Q11:Q30 L9:N43 K7:K12 K76 K82:K85 M75:N107 H65:H103 Q73:Q120 K120:K121 Q127:Q136 K127 M121:N137 K130:K142 M139:N139 F140:F144 M144:N144 H115:H144 K144:K147 O169 K155:K171 M145:M174 M175:O176 K174:K177 H175:H177 O190:O191 H197 M197:O199 K197:K199 Q197:Q199 H199:H202 M205:O207 Q205:Q207 H205:H207 K205:K207 Q209 M209:O209 H209 K209 K212:K213 Q212:Q222 M212:O222 K180:K184 K186 M182:O187 H180:H188 Q139:Q189 H7 H4 H12">
    <cfRule type="cellIs" dxfId="524" priority="8519" operator="equal">
      <formula>"Corrección"</formula>
    </cfRule>
  </conditionalFormatting>
  <conditionalFormatting sqref="J125 L238:M238 AB238 J149 J54 J70 J72:J74 J101:J103 J107 J110 J87 J32 J60 J98:J99 J56 J65:J68 J90:J94 J116:J118 J78:J80 J226 J36:J51 J202 J4:J28 J76 J82:J85 J120:J121 J127 J130:J142 J144:J147 J155:J171 J174:J177 J197:J199 J205:J207 J209 J212:J213 J180:J184 J186">
    <cfRule type="cellIs" dxfId="523" priority="8407" operator="equal">
      <formula>"Hallazgo Cerrado"</formula>
    </cfRule>
    <cfRule type="cellIs" dxfId="522" priority="8408" operator="equal">
      <formula>"Hallazgo Abierto"</formula>
    </cfRule>
  </conditionalFormatting>
  <conditionalFormatting sqref="E125 C238:D238 E149 E70 E72:E74 E101:E103 E107 E110 E54 E60 E87 E32 E98:E99 E18:E28 E56 E65:E68 E90:E94 E116:E118 E78:E80 E226 E36:E50 E4 E7:E12 E76 E82:E85 E120:E121 E127 E130:E142 E144:E147 E155:E171 E174:E177 E197:E199 E205:E207 E209 E212:E213 E180:E184 E186">
    <cfRule type="cellIs" dxfId="521" priority="8516" operator="equal">
      <formula>"Institucional"</formula>
    </cfRule>
    <cfRule type="cellIs" dxfId="520" priority="8517" operator="equal">
      <formula>"Proceso"</formula>
    </cfRule>
  </conditionalFormatting>
  <conditionalFormatting sqref="AB238 X226 X130:X131 X135 J142 X24:X30 X32 X78 H7 J98:K98 X54 X22 X70 X72:X74 X60 X66:X68 X18:X19 X101:X103 X107 X110 X93 X98:X99 X116:X118 J91:K94 X36:X50 X91 X4:X5 X8:X12 X83:X85 X121 X140:X144">
    <cfRule type="cellIs" dxfId="519" priority="6650" operator="equal">
      <formula>"Recomendación"</formula>
    </cfRule>
    <cfRule type="cellIs" dxfId="518" priority="6651" operator="equal">
      <formula>"No Conformidad"</formula>
    </cfRule>
  </conditionalFormatting>
  <conditionalFormatting sqref="V142 V4:V6 V8:V32 V36:V80 V82:V85 V91:V121 V130:V139 V144:V177 V197:V207 V209 V212:V222 V180:V187">
    <cfRule type="cellIs" dxfId="517" priority="4696" operator="equal">
      <formula>"No ha formulado PM"</formula>
    </cfRule>
    <cfRule type="cellIs" dxfId="516" priority="4697" operator="equal">
      <formula>"Oportuno"</formula>
    </cfRule>
    <cfRule type="cellIs" dxfId="515" priority="4699" operator="equal">
      <formula>"Inoportuno"</formula>
    </cfRule>
  </conditionalFormatting>
  <conditionalFormatting sqref="H233 C233 P238 I149 I32 I98:I118 I78:I80 I36:I56 I202 I4:I28 I60:I76 I82:I94 I120:I125 I127 I130:I147 I155:I171 I174:I177 I197:I199 I205:I207 I209 I212:I213 I180:I184 I186">
    <cfRule type="cellIs" dxfId="514" priority="2775" operator="equal">
      <formula>"Oportunidad de mejora"</formula>
    </cfRule>
    <cfRule type="cellIs" dxfId="513" priority="3029" operator="equal">
      <formula>"Recomendación"</formula>
    </cfRule>
    <cfRule type="cellIs" dxfId="512" priority="3030" operator="equal">
      <formula>"No Conformidad"</formula>
    </cfRule>
  </conditionalFormatting>
  <conditionalFormatting sqref="T40">
    <cfRule type="cellIs" dxfId="511" priority="1014" operator="equal">
      <formula>"Plan Mejoramiento"</formula>
    </cfRule>
    <cfRule type="cellIs" dxfId="510" priority="1015" operator="equal">
      <formula>"Acción Preventiva"</formula>
    </cfRule>
    <cfRule type="cellIs" dxfId="509" priority="1016" operator="equal">
      <formula>"Acción Correctiva"</formula>
    </cfRule>
  </conditionalFormatting>
  <conditionalFormatting sqref="T40">
    <cfRule type="cellIs" dxfId="508" priority="1013" operator="equal">
      <formula>"Corrección"</formula>
    </cfRule>
  </conditionalFormatting>
  <conditionalFormatting sqref="L138:N138">
    <cfRule type="cellIs" dxfId="507" priority="1010" operator="equal">
      <formula>"Plan Mejoramiento"</formula>
    </cfRule>
    <cfRule type="cellIs" dxfId="506" priority="1011" operator="equal">
      <formula>"Acción Preventiva"</formula>
    </cfRule>
    <cfRule type="cellIs" dxfId="505" priority="1012" operator="equal">
      <formula>"Acción Correctiva"</formula>
    </cfRule>
  </conditionalFormatting>
  <conditionalFormatting sqref="R138">
    <cfRule type="cellIs" dxfId="504" priority="1008" operator="equal">
      <formula>"Cerrada"</formula>
    </cfRule>
    <cfRule type="cellIs" dxfId="503" priority="1009" operator="equal">
      <formula>"Abierta"</formula>
    </cfRule>
  </conditionalFormatting>
  <conditionalFormatting sqref="M138:N138">
    <cfRule type="cellIs" dxfId="502" priority="1007" operator="equal">
      <formula>"Corrección"</formula>
    </cfRule>
  </conditionalFormatting>
  <conditionalFormatting sqref="T28">
    <cfRule type="cellIs" dxfId="501" priority="989" operator="equal">
      <formula>"Plan Mejoramiento"</formula>
    </cfRule>
    <cfRule type="cellIs" dxfId="500" priority="990" operator="equal">
      <formula>"Acción Preventiva"</formula>
    </cfRule>
    <cfRule type="cellIs" dxfId="499" priority="991" operator="equal">
      <formula>"Acción Correctiva"</formula>
    </cfRule>
  </conditionalFormatting>
  <conditionalFormatting sqref="T28">
    <cfRule type="cellIs" dxfId="498" priority="987" operator="equal">
      <formula>"Cerrada"</formula>
    </cfRule>
    <cfRule type="cellIs" dxfId="497" priority="988" operator="equal">
      <formula>"Abierta"</formula>
    </cfRule>
  </conditionalFormatting>
  <conditionalFormatting sqref="T28">
    <cfRule type="cellIs" dxfId="496" priority="986" operator="equal">
      <formula>"Corrección"</formula>
    </cfRule>
  </conditionalFormatting>
  <conditionalFormatting sqref="Q121">
    <cfRule type="cellIs" dxfId="495" priority="979" operator="equal">
      <formula>"Plan Mejoramiento"</formula>
    </cfRule>
    <cfRule type="cellIs" dxfId="494" priority="980" operator="equal">
      <formula>"Acción Preventiva"</formula>
    </cfRule>
    <cfRule type="cellIs" dxfId="493" priority="981" operator="equal">
      <formula>"Acción Correctiva"</formula>
    </cfRule>
  </conditionalFormatting>
  <conditionalFormatting sqref="Q121">
    <cfRule type="cellIs" dxfId="492" priority="978" operator="equal">
      <formula>"Corrección"</formula>
    </cfRule>
  </conditionalFormatting>
  <conditionalFormatting sqref="Q122">
    <cfRule type="cellIs" dxfId="491" priority="975" operator="equal">
      <formula>"Plan Mejoramiento"</formula>
    </cfRule>
    <cfRule type="cellIs" dxfId="490" priority="976" operator="equal">
      <formula>"Acción Preventiva"</formula>
    </cfRule>
    <cfRule type="cellIs" dxfId="489" priority="977" operator="equal">
      <formula>"Acción Correctiva"</formula>
    </cfRule>
  </conditionalFormatting>
  <conditionalFormatting sqref="Q122">
    <cfRule type="cellIs" dxfId="488" priority="974" operator="equal">
      <formula>"Corrección"</formula>
    </cfRule>
  </conditionalFormatting>
  <conditionalFormatting sqref="Q123">
    <cfRule type="cellIs" dxfId="487" priority="971" operator="equal">
      <formula>"Plan Mejoramiento"</formula>
    </cfRule>
    <cfRule type="cellIs" dxfId="486" priority="972" operator="equal">
      <formula>"Acción Preventiva"</formula>
    </cfRule>
    <cfRule type="cellIs" dxfId="485" priority="973" operator="equal">
      <formula>"Acción Correctiva"</formula>
    </cfRule>
  </conditionalFormatting>
  <conditionalFormatting sqref="Q123">
    <cfRule type="cellIs" dxfId="484" priority="970" operator="equal">
      <formula>"Corrección"</formula>
    </cfRule>
  </conditionalFormatting>
  <conditionalFormatting sqref="Q124">
    <cfRule type="cellIs" dxfId="483" priority="967" operator="equal">
      <formula>"Plan Mejoramiento"</formula>
    </cfRule>
    <cfRule type="cellIs" dxfId="482" priority="968" operator="equal">
      <formula>"Acción Preventiva"</formula>
    </cfRule>
    <cfRule type="cellIs" dxfId="481" priority="969" operator="equal">
      <formula>"Acción Correctiva"</formula>
    </cfRule>
  </conditionalFormatting>
  <conditionalFormatting sqref="Q124">
    <cfRule type="cellIs" dxfId="480" priority="966" operator="equal">
      <formula>"Corrección"</formula>
    </cfRule>
  </conditionalFormatting>
  <conditionalFormatting sqref="R125">
    <cfRule type="cellIs" dxfId="479" priority="964" operator="equal">
      <formula>"Cerrada"</formula>
    </cfRule>
    <cfRule type="cellIs" dxfId="478" priority="965" operator="equal">
      <formula>"Abierta"</formula>
    </cfRule>
  </conditionalFormatting>
  <conditionalFormatting sqref="Q125">
    <cfRule type="cellIs" dxfId="477" priority="961" operator="equal">
      <formula>"Plan Mejoramiento"</formula>
    </cfRule>
    <cfRule type="cellIs" dxfId="476" priority="962" operator="equal">
      <formula>"Acción Preventiva"</formula>
    </cfRule>
    <cfRule type="cellIs" dxfId="475" priority="963" operator="equal">
      <formula>"Acción Correctiva"</formula>
    </cfRule>
  </conditionalFormatting>
  <conditionalFormatting sqref="Q125">
    <cfRule type="cellIs" dxfId="474" priority="960" operator="equal">
      <formula>"Corrección"</formula>
    </cfRule>
  </conditionalFormatting>
  <conditionalFormatting sqref="Q126">
    <cfRule type="cellIs" dxfId="473" priority="957" operator="equal">
      <formula>"Plan Mejoramiento"</formula>
    </cfRule>
    <cfRule type="cellIs" dxfId="472" priority="958" operator="equal">
      <formula>"Acción Preventiva"</formula>
    </cfRule>
    <cfRule type="cellIs" dxfId="471" priority="959" operator="equal">
      <formula>"Acción Correctiva"</formula>
    </cfRule>
  </conditionalFormatting>
  <conditionalFormatting sqref="Q126">
    <cfRule type="cellIs" dxfId="470" priority="956" operator="equal">
      <formula>"Corrección"</formula>
    </cfRule>
  </conditionalFormatting>
  <conditionalFormatting sqref="R126">
    <cfRule type="cellIs" dxfId="469" priority="954" operator="equal">
      <formula>"Cerrada"</formula>
    </cfRule>
    <cfRule type="cellIs" dxfId="468" priority="955" operator="equal">
      <formula>"Abierta"</formula>
    </cfRule>
  </conditionalFormatting>
  <conditionalFormatting sqref="Q31">
    <cfRule type="cellIs" dxfId="467" priority="951" operator="equal">
      <formula>"Plan Mejoramiento"</formula>
    </cfRule>
    <cfRule type="cellIs" dxfId="466" priority="952" operator="equal">
      <formula>"Acción Preventiva"</formula>
    </cfRule>
    <cfRule type="cellIs" dxfId="465" priority="953" operator="equal">
      <formula>"Acción Correctiva"</formula>
    </cfRule>
  </conditionalFormatting>
  <conditionalFormatting sqref="Q31">
    <cfRule type="cellIs" dxfId="464" priority="950" operator="equal">
      <formula>"Corrección"</formula>
    </cfRule>
  </conditionalFormatting>
  <conditionalFormatting sqref="H194">
    <cfRule type="cellIs" dxfId="463" priority="947" operator="equal">
      <formula>"Plan Mejoramiento"</formula>
    </cfRule>
    <cfRule type="cellIs" dxfId="462" priority="948" operator="equal">
      <formula>"Acción Preventiva"</formula>
    </cfRule>
    <cfRule type="cellIs" dxfId="461" priority="949" operator="equal">
      <formula>"Acción Correctiva"</formula>
    </cfRule>
  </conditionalFormatting>
  <conditionalFormatting sqref="H194">
    <cfRule type="cellIs" dxfId="460" priority="946" operator="equal">
      <formula>"Corrección"</formula>
    </cfRule>
  </conditionalFormatting>
  <conditionalFormatting sqref="I188">
    <cfRule type="cellIs" dxfId="459" priority="934" operator="equal">
      <formula>"Oportunidad de mejora"</formula>
    </cfRule>
    <cfRule type="cellIs" dxfId="458" priority="935" operator="equal">
      <formula>"Recomendación"</formula>
    </cfRule>
    <cfRule type="cellIs" dxfId="457" priority="936" operator="equal">
      <formula>"No Conformidad"</formula>
    </cfRule>
  </conditionalFormatting>
  <conditionalFormatting sqref="J188">
    <cfRule type="cellIs" dxfId="456" priority="932" operator="equal">
      <formula>"Hallazgo Cerrado"</formula>
    </cfRule>
    <cfRule type="cellIs" dxfId="455" priority="933" operator="equal">
      <formula>"Hallazgo Abierto"</formula>
    </cfRule>
  </conditionalFormatting>
  <conditionalFormatting sqref="L189:N189 K188:N188">
    <cfRule type="cellIs" dxfId="454" priority="929" operator="equal">
      <formula>"Plan Mejoramiento"</formula>
    </cfRule>
    <cfRule type="cellIs" dxfId="453" priority="930" operator="equal">
      <formula>"Acción Preventiva"</formula>
    </cfRule>
    <cfRule type="cellIs" dxfId="452" priority="931" operator="equal">
      <formula>"Acción Correctiva"</formula>
    </cfRule>
  </conditionalFormatting>
  <conditionalFormatting sqref="M188:N189 K188">
    <cfRule type="cellIs" dxfId="451" priority="926" operator="equal">
      <formula>"Corrección"</formula>
    </cfRule>
  </conditionalFormatting>
  <conditionalFormatting sqref="V188">
    <cfRule type="cellIs" dxfId="450" priority="923" operator="equal">
      <formula>"No ha formulado PM"</formula>
    </cfRule>
    <cfRule type="cellIs" dxfId="449" priority="924" operator="equal">
      <formula>"Oportuno"</formula>
    </cfRule>
    <cfRule type="cellIs" dxfId="448" priority="925" operator="equal">
      <formula>"Inoportuno"</formula>
    </cfRule>
  </conditionalFormatting>
  <conditionalFormatting sqref="E188">
    <cfRule type="cellIs" dxfId="447" priority="921" operator="equal">
      <formula>"Institucional"</formula>
    </cfRule>
    <cfRule type="cellIs" dxfId="446" priority="922" operator="equal">
      <formula>"Proceso"</formula>
    </cfRule>
  </conditionalFormatting>
  <conditionalFormatting sqref="H189">
    <cfRule type="cellIs" dxfId="445" priority="918" operator="equal">
      <formula>"Plan Mejoramiento"</formula>
    </cfRule>
    <cfRule type="cellIs" dxfId="444" priority="919" operator="equal">
      <formula>"Acción Preventiva"</formula>
    </cfRule>
    <cfRule type="cellIs" dxfId="443" priority="920" operator="equal">
      <formula>"Acción Correctiva"</formula>
    </cfRule>
  </conditionalFormatting>
  <conditionalFormatting sqref="H189">
    <cfRule type="cellIs" dxfId="442" priority="917" operator="equal">
      <formula>"Corrección"</formula>
    </cfRule>
  </conditionalFormatting>
  <conditionalFormatting sqref="V189">
    <cfRule type="cellIs" dxfId="441" priority="912" operator="equal">
      <formula>"No ha formulado PM"</formula>
    </cfRule>
    <cfRule type="cellIs" dxfId="440" priority="913" operator="equal">
      <formula>"Oportuno"</formula>
    </cfRule>
    <cfRule type="cellIs" dxfId="439" priority="914" operator="equal">
      <formula>"Inoportuno"</formula>
    </cfRule>
  </conditionalFormatting>
  <conditionalFormatting sqref="O188:O189">
    <cfRule type="cellIs" dxfId="438" priority="909" operator="equal">
      <formula>"Plan Mejoramiento"</formula>
    </cfRule>
    <cfRule type="cellIs" dxfId="437" priority="910" operator="equal">
      <formula>"Acción Preventiva"</formula>
    </cfRule>
    <cfRule type="cellIs" dxfId="436" priority="911" operator="equal">
      <formula>"Acción Correctiva"</formula>
    </cfRule>
  </conditionalFormatting>
  <conditionalFormatting sqref="O188:O189">
    <cfRule type="cellIs" dxfId="435" priority="908" operator="equal">
      <formula>"Corrección"</formula>
    </cfRule>
  </conditionalFormatting>
  <conditionalFormatting sqref="H190:H191">
    <cfRule type="cellIs" dxfId="434" priority="830" operator="equal">
      <formula>"Plan Mejoramiento"</formula>
    </cfRule>
    <cfRule type="cellIs" dxfId="433" priority="831" operator="equal">
      <formula>"Acción Preventiva"</formula>
    </cfRule>
    <cfRule type="cellIs" dxfId="432" priority="832" operator="equal">
      <formula>"Acción Correctiva"</formula>
    </cfRule>
  </conditionalFormatting>
  <conditionalFormatting sqref="H190:H191">
    <cfRule type="cellIs" dxfId="431" priority="829" operator="equal">
      <formula>"Corrección"</formula>
    </cfRule>
  </conditionalFormatting>
  <conditionalFormatting sqref="H192">
    <cfRule type="cellIs" dxfId="430" priority="826" operator="equal">
      <formula>"Plan Mejoramiento"</formula>
    </cfRule>
    <cfRule type="cellIs" dxfId="429" priority="827" operator="equal">
      <formula>"Acción Preventiva"</formula>
    </cfRule>
    <cfRule type="cellIs" dxfId="428" priority="828" operator="equal">
      <formula>"Acción Correctiva"</formula>
    </cfRule>
  </conditionalFormatting>
  <conditionalFormatting sqref="H192">
    <cfRule type="cellIs" dxfId="427" priority="825" operator="equal">
      <formula>"Corrección"</formula>
    </cfRule>
  </conditionalFormatting>
  <conditionalFormatting sqref="E190 E194 E192">
    <cfRule type="cellIs" dxfId="426" priority="823" operator="equal">
      <formula>"Institucional"</formula>
    </cfRule>
    <cfRule type="cellIs" dxfId="425" priority="824" operator="equal">
      <formula>"Proceso"</formula>
    </cfRule>
  </conditionalFormatting>
  <conditionalFormatting sqref="I190 I194 I192">
    <cfRule type="cellIs" dxfId="424" priority="820" operator="equal">
      <formula>"Oportunidad de mejora"</formula>
    </cfRule>
    <cfRule type="cellIs" dxfId="423" priority="821" operator="equal">
      <formula>"Recomendación"</formula>
    </cfRule>
    <cfRule type="cellIs" dxfId="422" priority="822" operator="equal">
      <formula>"No Conformidad"</formula>
    </cfRule>
  </conditionalFormatting>
  <conditionalFormatting sqref="J190 J194 J192">
    <cfRule type="cellIs" dxfId="421" priority="818" operator="equal">
      <formula>"Hallazgo Cerrado"</formula>
    </cfRule>
    <cfRule type="cellIs" dxfId="420" priority="819" operator="equal">
      <formula>"Hallazgo Abierto"</formula>
    </cfRule>
  </conditionalFormatting>
  <conditionalFormatting sqref="K190 M194 K194 K192 M190:N192">
    <cfRule type="cellIs" dxfId="419" priority="815" operator="equal">
      <formula>"Plan Mejoramiento"</formula>
    </cfRule>
    <cfRule type="cellIs" dxfId="418" priority="816" operator="equal">
      <formula>"Acción Preventiva"</formula>
    </cfRule>
    <cfRule type="cellIs" dxfId="417" priority="817" operator="equal">
      <formula>"Acción Correctiva"</formula>
    </cfRule>
  </conditionalFormatting>
  <conditionalFormatting sqref="K190 M194 K194 K192 M190:N192">
    <cfRule type="cellIs" dxfId="416" priority="812" operator="equal">
      <formula>"Corrección"</formula>
    </cfRule>
  </conditionalFormatting>
  <conditionalFormatting sqref="V190 V194 V192">
    <cfRule type="cellIs" dxfId="415" priority="809" operator="equal">
      <formula>"No ha formulado PM"</formula>
    </cfRule>
    <cfRule type="cellIs" dxfId="414" priority="810" operator="equal">
      <formula>"Oportuno"</formula>
    </cfRule>
    <cfRule type="cellIs" dxfId="413" priority="811" operator="equal">
      <formula>"Inoportuno"</formula>
    </cfRule>
  </conditionalFormatting>
  <conditionalFormatting sqref="L194 L190:L192">
    <cfRule type="cellIs" dxfId="412" priority="806" operator="equal">
      <formula>"Plan Mejoramiento"</formula>
    </cfRule>
    <cfRule type="cellIs" dxfId="411" priority="807" operator="equal">
      <formula>"Acción Preventiva"</formula>
    </cfRule>
    <cfRule type="cellIs" dxfId="410" priority="808" operator="equal">
      <formula>"Acción Correctiva"</formula>
    </cfRule>
  </conditionalFormatting>
  <conditionalFormatting sqref="R194 R190:R192">
    <cfRule type="cellIs" dxfId="409" priority="804" operator="equal">
      <formula>"Cerrada"</formula>
    </cfRule>
    <cfRule type="cellIs" dxfId="408" priority="805" operator="equal">
      <formula>"Abierta"</formula>
    </cfRule>
  </conditionalFormatting>
  <conditionalFormatting sqref="H193">
    <cfRule type="cellIs" dxfId="407" priority="774" operator="equal">
      <formula>"Plan Mejoramiento"</formula>
    </cfRule>
    <cfRule type="cellIs" dxfId="406" priority="775" operator="equal">
      <formula>"Acción Preventiva"</formula>
    </cfRule>
    <cfRule type="cellIs" dxfId="405" priority="776" operator="equal">
      <formula>"Acción Correctiva"</formula>
    </cfRule>
  </conditionalFormatting>
  <conditionalFormatting sqref="H193">
    <cfRule type="cellIs" dxfId="404" priority="773" operator="equal">
      <formula>"Corrección"</formula>
    </cfRule>
  </conditionalFormatting>
  <conditionalFormatting sqref="M193:N193">
    <cfRule type="cellIs" dxfId="403" priority="763" operator="equal">
      <formula>"Plan Mejoramiento"</formula>
    </cfRule>
    <cfRule type="cellIs" dxfId="402" priority="764" operator="equal">
      <formula>"Acción Preventiva"</formula>
    </cfRule>
    <cfRule type="cellIs" dxfId="401" priority="765" operator="equal">
      <formula>"Acción Correctiva"</formula>
    </cfRule>
  </conditionalFormatting>
  <conditionalFormatting sqref="M193:N193">
    <cfRule type="cellIs" dxfId="400" priority="762" operator="equal">
      <formula>"Corrección"</formula>
    </cfRule>
  </conditionalFormatting>
  <conditionalFormatting sqref="V193">
    <cfRule type="cellIs" dxfId="399" priority="759" operator="equal">
      <formula>"No ha formulado PM"</formula>
    </cfRule>
    <cfRule type="cellIs" dxfId="398" priority="760" operator="equal">
      <formula>"Oportuno"</formula>
    </cfRule>
    <cfRule type="cellIs" dxfId="397" priority="761" operator="equal">
      <formula>"Inoportuno"</formula>
    </cfRule>
  </conditionalFormatting>
  <conditionalFormatting sqref="L193">
    <cfRule type="cellIs" dxfId="396" priority="756" operator="equal">
      <formula>"Plan Mejoramiento"</formula>
    </cfRule>
    <cfRule type="cellIs" dxfId="395" priority="757" operator="equal">
      <formula>"Acción Preventiva"</formula>
    </cfRule>
    <cfRule type="cellIs" dxfId="394" priority="758" operator="equal">
      <formula>"Acción Correctiva"</formula>
    </cfRule>
  </conditionalFormatting>
  <conditionalFormatting sqref="R193">
    <cfRule type="cellIs" dxfId="393" priority="754" operator="equal">
      <formula>"Cerrada"</formula>
    </cfRule>
    <cfRule type="cellIs" dxfId="392" priority="755" operator="equal">
      <formula>"Abierta"</formula>
    </cfRule>
  </conditionalFormatting>
  <conditionalFormatting sqref="O193">
    <cfRule type="cellIs" dxfId="391" priority="751" operator="equal">
      <formula>"Plan Mejoramiento"</formula>
    </cfRule>
    <cfRule type="cellIs" dxfId="390" priority="752" operator="equal">
      <formula>"Acción Preventiva"</formula>
    </cfRule>
    <cfRule type="cellIs" dxfId="389" priority="753" operator="equal">
      <formula>"Acción Correctiva"</formula>
    </cfRule>
  </conditionalFormatting>
  <conditionalFormatting sqref="O193">
    <cfRule type="cellIs" dxfId="388" priority="750" operator="equal">
      <formula>"Corrección"</formula>
    </cfRule>
  </conditionalFormatting>
  <conditionalFormatting sqref="H195:H196">
    <cfRule type="cellIs" dxfId="387" priority="747" operator="equal">
      <formula>"Plan Mejoramiento"</formula>
    </cfRule>
    <cfRule type="cellIs" dxfId="386" priority="748" operator="equal">
      <formula>"Acción Preventiva"</formula>
    </cfRule>
    <cfRule type="cellIs" dxfId="385" priority="749" operator="equal">
      <formula>"Acción Correctiva"</formula>
    </cfRule>
  </conditionalFormatting>
  <conditionalFormatting sqref="H195:H196">
    <cfRule type="cellIs" dxfId="384" priority="746" operator="equal">
      <formula>"Corrección"</formula>
    </cfRule>
  </conditionalFormatting>
  <conditionalFormatting sqref="M195:M196">
    <cfRule type="cellIs" dxfId="383" priority="736" operator="equal">
      <formula>"Plan Mejoramiento"</formula>
    </cfRule>
    <cfRule type="cellIs" dxfId="382" priority="737" operator="equal">
      <formula>"Acción Preventiva"</formula>
    </cfRule>
    <cfRule type="cellIs" dxfId="381" priority="738" operator="equal">
      <formula>"Acción Correctiva"</formula>
    </cfRule>
  </conditionalFormatting>
  <conditionalFormatting sqref="M195:M196">
    <cfRule type="cellIs" dxfId="380" priority="735" operator="equal">
      <formula>"Corrección"</formula>
    </cfRule>
  </conditionalFormatting>
  <conditionalFormatting sqref="V195">
    <cfRule type="cellIs" dxfId="379" priority="732" operator="equal">
      <formula>"No ha formulado PM"</formula>
    </cfRule>
    <cfRule type="cellIs" dxfId="378" priority="733" operator="equal">
      <formula>"Oportuno"</formula>
    </cfRule>
    <cfRule type="cellIs" dxfId="377" priority="734" operator="equal">
      <formula>"Inoportuno"</formula>
    </cfRule>
  </conditionalFormatting>
  <conditionalFormatting sqref="L195:L196">
    <cfRule type="cellIs" dxfId="376" priority="729" operator="equal">
      <formula>"Plan Mejoramiento"</formula>
    </cfRule>
    <cfRule type="cellIs" dxfId="375" priority="730" operator="equal">
      <formula>"Acción Preventiva"</formula>
    </cfRule>
    <cfRule type="cellIs" dxfId="374" priority="731" operator="equal">
      <formula>"Acción Correctiva"</formula>
    </cfRule>
  </conditionalFormatting>
  <conditionalFormatting sqref="R195:R196">
    <cfRule type="cellIs" dxfId="373" priority="727" operator="equal">
      <formula>"Cerrada"</formula>
    </cfRule>
    <cfRule type="cellIs" dxfId="372" priority="728" operator="equal">
      <formula>"Abierta"</formula>
    </cfRule>
  </conditionalFormatting>
  <conditionalFormatting sqref="O194:O196">
    <cfRule type="cellIs" dxfId="371" priority="724" operator="equal">
      <formula>"Plan Mejoramiento"</formula>
    </cfRule>
    <cfRule type="cellIs" dxfId="370" priority="725" operator="equal">
      <formula>"Acción Preventiva"</formula>
    </cfRule>
    <cfRule type="cellIs" dxfId="369" priority="726" operator="equal">
      <formula>"Acción Correctiva"</formula>
    </cfRule>
  </conditionalFormatting>
  <conditionalFormatting sqref="O194:O196">
    <cfRule type="cellIs" dxfId="368" priority="723" operator="equal">
      <formula>"Corrección"</formula>
    </cfRule>
  </conditionalFormatting>
  <conditionalFormatting sqref="T36">
    <cfRule type="cellIs" dxfId="367" priority="693" operator="equal">
      <formula>"Plan Mejoramiento"</formula>
    </cfRule>
    <cfRule type="cellIs" dxfId="366" priority="694" operator="equal">
      <formula>"Acción Preventiva"</formula>
    </cfRule>
    <cfRule type="cellIs" dxfId="365" priority="695" operator="equal">
      <formula>"Acción Correctiva"</formula>
    </cfRule>
  </conditionalFormatting>
  <conditionalFormatting sqref="T36">
    <cfRule type="cellIs" dxfId="364" priority="692" operator="equal">
      <formula>"Corrección"</formula>
    </cfRule>
  </conditionalFormatting>
  <conditionalFormatting sqref="T39">
    <cfRule type="cellIs" dxfId="363" priority="689" operator="equal">
      <formula>"Plan Mejoramiento"</formula>
    </cfRule>
    <cfRule type="cellIs" dxfId="362" priority="690" operator="equal">
      <formula>"Acción Preventiva"</formula>
    </cfRule>
    <cfRule type="cellIs" dxfId="361" priority="691" operator="equal">
      <formula>"Acción Correctiva"</formula>
    </cfRule>
  </conditionalFormatting>
  <conditionalFormatting sqref="T39">
    <cfRule type="cellIs" dxfId="360" priority="688" operator="equal">
      <formula>"Corrección"</formula>
    </cfRule>
  </conditionalFormatting>
  <conditionalFormatting sqref="T82">
    <cfRule type="cellIs" dxfId="359" priority="685" operator="equal">
      <formula>"Plan Mejoramiento"</formula>
    </cfRule>
    <cfRule type="cellIs" dxfId="358" priority="686" operator="equal">
      <formula>"Acción Preventiva"</formula>
    </cfRule>
    <cfRule type="cellIs" dxfId="357" priority="687" operator="equal">
      <formula>"Acción Correctiva"</formula>
    </cfRule>
  </conditionalFormatting>
  <conditionalFormatting sqref="T82">
    <cfRule type="cellIs" dxfId="356" priority="684" operator="equal">
      <formula>"Corrección"</formula>
    </cfRule>
  </conditionalFormatting>
  <conditionalFormatting sqref="T78">
    <cfRule type="cellIs" dxfId="355" priority="681" operator="equal">
      <formula>"Plan Mejoramiento"</formula>
    </cfRule>
    <cfRule type="cellIs" dxfId="354" priority="682" operator="equal">
      <formula>"Acción Preventiva"</formula>
    </cfRule>
    <cfRule type="cellIs" dxfId="353" priority="683" operator="equal">
      <formula>"Acción Correctiva"</formula>
    </cfRule>
  </conditionalFormatting>
  <conditionalFormatting sqref="T78">
    <cfRule type="cellIs" dxfId="352" priority="679" operator="equal">
      <formula>"Cerrada"</formula>
    </cfRule>
    <cfRule type="cellIs" dxfId="351" priority="680" operator="equal">
      <formula>"Abierta"</formula>
    </cfRule>
  </conditionalFormatting>
  <conditionalFormatting sqref="T78">
    <cfRule type="cellIs" dxfId="350" priority="678" operator="equal">
      <formula>"Corrección"</formula>
    </cfRule>
  </conditionalFormatting>
  <conditionalFormatting sqref="T79">
    <cfRule type="cellIs" dxfId="349" priority="675" operator="equal">
      <formula>"Plan Mejoramiento"</formula>
    </cfRule>
    <cfRule type="cellIs" dxfId="348" priority="676" operator="equal">
      <formula>"Acción Preventiva"</formula>
    </cfRule>
    <cfRule type="cellIs" dxfId="347" priority="677" operator="equal">
      <formula>"Acción Correctiva"</formula>
    </cfRule>
  </conditionalFormatting>
  <conditionalFormatting sqref="T79">
    <cfRule type="cellIs" dxfId="346" priority="673" operator="equal">
      <formula>"Cerrada"</formula>
    </cfRule>
    <cfRule type="cellIs" dxfId="345" priority="674" operator="equal">
      <formula>"Abierta"</formula>
    </cfRule>
  </conditionalFormatting>
  <conditionalFormatting sqref="T79">
    <cfRule type="cellIs" dxfId="344" priority="672" operator="equal">
      <formula>"Corrección"</formula>
    </cfRule>
  </conditionalFormatting>
  <conditionalFormatting sqref="E202">
    <cfRule type="cellIs" dxfId="343" priority="641" operator="equal">
      <formula>"Institucional"</formula>
    </cfRule>
    <cfRule type="cellIs" dxfId="342" priority="642" operator="equal">
      <formula>"Proceso"</formula>
    </cfRule>
  </conditionalFormatting>
  <conditionalFormatting sqref="K202">
    <cfRule type="cellIs" dxfId="341" priority="635" operator="equal">
      <formula>"Plan Mejoramiento"</formula>
    </cfRule>
    <cfRule type="cellIs" dxfId="340" priority="636" operator="equal">
      <formula>"Acción Preventiva"</formula>
    </cfRule>
    <cfRule type="cellIs" dxfId="339" priority="637" operator="equal">
      <formula>"Acción Correctiva"</formula>
    </cfRule>
  </conditionalFormatting>
  <conditionalFormatting sqref="K202">
    <cfRule type="cellIs" dxfId="338" priority="634" operator="equal">
      <formula>"Corrección"</formula>
    </cfRule>
  </conditionalFormatting>
  <conditionalFormatting sqref="T32">
    <cfRule type="cellIs" dxfId="337" priority="621" operator="equal">
      <formula>"Plan Mejoramiento"</formula>
    </cfRule>
    <cfRule type="cellIs" dxfId="336" priority="622" operator="equal">
      <formula>"Acción Preventiva"</formula>
    </cfRule>
    <cfRule type="cellIs" dxfId="335" priority="623" operator="equal">
      <formula>"Acción Correctiva"</formula>
    </cfRule>
  </conditionalFormatting>
  <conditionalFormatting sqref="T32">
    <cfRule type="cellIs" dxfId="334" priority="620" operator="equal">
      <formula>"Corrección"</formula>
    </cfRule>
  </conditionalFormatting>
  <conditionalFormatting sqref="X33:X35">
    <cfRule type="cellIs" dxfId="333" priority="618" operator="equal">
      <formula>"Recomendación"</formula>
    </cfRule>
    <cfRule type="cellIs" dxfId="332" priority="619" operator="equal">
      <formula>"No Conformidad"</formula>
    </cfRule>
  </conditionalFormatting>
  <conditionalFormatting sqref="V33:V35">
    <cfRule type="cellIs" dxfId="331" priority="615" operator="equal">
      <formula>"No ha formulado PM"</formula>
    </cfRule>
    <cfRule type="cellIs" dxfId="330" priority="616" operator="equal">
      <formula>"Oportuno"</formula>
    </cfRule>
    <cfRule type="cellIs" dxfId="329" priority="617" operator="equal">
      <formula>"Inoportuno"</formula>
    </cfRule>
  </conditionalFormatting>
  <conditionalFormatting sqref="V81">
    <cfRule type="cellIs" dxfId="328" priority="612" operator="equal">
      <formula>"No ha formulado PM"</formula>
    </cfRule>
    <cfRule type="cellIs" dxfId="327" priority="613" operator="equal">
      <formula>"Oportuno"</formula>
    </cfRule>
    <cfRule type="cellIs" dxfId="326" priority="614" operator="equal">
      <formula>"Inoportuno"</formula>
    </cfRule>
  </conditionalFormatting>
  <conditionalFormatting sqref="V191">
    <cfRule type="cellIs" dxfId="325" priority="550" operator="equal">
      <formula>"No ha formulado PM"</formula>
    </cfRule>
    <cfRule type="cellIs" dxfId="324" priority="551" operator="equal">
      <formula>"Oportuno"</formula>
    </cfRule>
    <cfRule type="cellIs" dxfId="323" priority="552" operator="equal">
      <formula>"Inoportuno"</formula>
    </cfRule>
  </conditionalFormatting>
  <conditionalFormatting sqref="O192">
    <cfRule type="cellIs" dxfId="322" priority="547" operator="equal">
      <formula>"Plan Mejoramiento"</formula>
    </cfRule>
    <cfRule type="cellIs" dxfId="321" priority="548" operator="equal">
      <formula>"Acción Preventiva"</formula>
    </cfRule>
    <cfRule type="cellIs" dxfId="320" priority="549" operator="equal">
      <formula>"Acción Correctiva"</formula>
    </cfRule>
  </conditionalFormatting>
  <conditionalFormatting sqref="O192">
    <cfRule type="cellIs" dxfId="319" priority="546" operator="equal">
      <formula>"Corrección"</formula>
    </cfRule>
  </conditionalFormatting>
  <conditionalFormatting sqref="V196">
    <cfRule type="cellIs" dxfId="318" priority="543" operator="equal">
      <formula>"No ha formulado PM"</formula>
    </cfRule>
    <cfRule type="cellIs" dxfId="317" priority="544" operator="equal">
      <formula>"Oportuno"</formula>
    </cfRule>
    <cfRule type="cellIs" dxfId="316" priority="545" operator="equal">
      <formula>"Inoportuno"</formula>
    </cfRule>
  </conditionalFormatting>
  <conditionalFormatting sqref="H178:H179">
    <cfRule type="cellIs" dxfId="315" priority="537" operator="equal">
      <formula>"Plan Mejoramiento"</formula>
    </cfRule>
    <cfRule type="cellIs" dxfId="314" priority="538" operator="equal">
      <formula>"Acción Preventiva"</formula>
    </cfRule>
    <cfRule type="cellIs" dxfId="313" priority="539" operator="equal">
      <formula>"Acción Correctiva"</formula>
    </cfRule>
  </conditionalFormatting>
  <conditionalFormatting sqref="H178:H179">
    <cfRule type="cellIs" dxfId="312" priority="536" operator="equal">
      <formula>"Corrección"</formula>
    </cfRule>
  </conditionalFormatting>
  <conditionalFormatting sqref="V178:V179">
    <cfRule type="cellIs" dxfId="311" priority="533" operator="equal">
      <formula>"No ha formulado PM"</formula>
    </cfRule>
    <cfRule type="cellIs" dxfId="310" priority="534" operator="equal">
      <formula>"Oportuno"</formula>
    </cfRule>
    <cfRule type="cellIs" dxfId="309" priority="535" operator="equal">
      <formula>"Inoportuno"</formula>
    </cfRule>
  </conditionalFormatting>
  <conditionalFormatting sqref="T55">
    <cfRule type="cellIs" dxfId="308" priority="530" operator="equal">
      <formula>"Plan Mejoramiento"</formula>
    </cfRule>
    <cfRule type="cellIs" dxfId="307" priority="531" operator="equal">
      <formula>"Acción Preventiva"</formula>
    </cfRule>
    <cfRule type="cellIs" dxfId="306" priority="532" operator="equal">
      <formula>"Acción Correctiva"</formula>
    </cfRule>
  </conditionalFormatting>
  <conditionalFormatting sqref="T55">
    <cfRule type="cellIs" dxfId="305" priority="529" operator="equal">
      <formula>"Corrección"</formula>
    </cfRule>
  </conditionalFormatting>
  <conditionalFormatting sqref="T54">
    <cfRule type="cellIs" dxfId="304" priority="526" operator="equal">
      <formula>"Plan Mejoramiento"</formula>
    </cfRule>
    <cfRule type="cellIs" dxfId="303" priority="527" operator="equal">
      <formula>"Acción Preventiva"</formula>
    </cfRule>
    <cfRule type="cellIs" dxfId="302" priority="528" operator="equal">
      <formula>"Acción Correctiva"</formula>
    </cfRule>
  </conditionalFormatting>
  <conditionalFormatting sqref="T54">
    <cfRule type="cellIs" dxfId="301" priority="525" operator="equal">
      <formula>"Corrección"</formula>
    </cfRule>
  </conditionalFormatting>
  <conditionalFormatting sqref="T127">
    <cfRule type="cellIs" dxfId="300" priority="522" operator="equal">
      <formula>"Plan Mejoramiento"</formula>
    </cfRule>
    <cfRule type="cellIs" dxfId="299" priority="523" operator="equal">
      <formula>"Acción Preventiva"</formula>
    </cfRule>
    <cfRule type="cellIs" dxfId="298" priority="524" operator="equal">
      <formula>"Acción Correctiva"</formula>
    </cfRule>
  </conditionalFormatting>
  <conditionalFormatting sqref="T127">
    <cfRule type="cellIs" dxfId="297" priority="521" operator="equal">
      <formula>"Corrección"</formula>
    </cfRule>
  </conditionalFormatting>
  <conditionalFormatting sqref="T128">
    <cfRule type="cellIs" dxfId="296" priority="518" operator="equal">
      <formula>"Plan Mejoramiento"</formula>
    </cfRule>
    <cfRule type="cellIs" dxfId="295" priority="519" operator="equal">
      <formula>"Acción Preventiva"</formula>
    </cfRule>
    <cfRule type="cellIs" dxfId="294" priority="520" operator="equal">
      <formula>"Acción Correctiva"</formula>
    </cfRule>
  </conditionalFormatting>
  <conditionalFormatting sqref="T128">
    <cfRule type="cellIs" dxfId="293" priority="517" operator="equal">
      <formula>"Corrección"</formula>
    </cfRule>
  </conditionalFormatting>
  <conditionalFormatting sqref="T129">
    <cfRule type="cellIs" dxfId="292" priority="514" operator="equal">
      <formula>"Plan Mejoramiento"</formula>
    </cfRule>
    <cfRule type="cellIs" dxfId="291" priority="515" operator="equal">
      <formula>"Acción Preventiva"</formula>
    </cfRule>
    <cfRule type="cellIs" dxfId="290" priority="516" operator="equal">
      <formula>"Acción Correctiva"</formula>
    </cfRule>
  </conditionalFormatting>
  <conditionalFormatting sqref="T129">
    <cfRule type="cellIs" dxfId="289" priority="513" operator="equal">
      <formula>"Corrección"</formula>
    </cfRule>
  </conditionalFormatting>
  <conditionalFormatting sqref="T130">
    <cfRule type="cellIs" dxfId="288" priority="510" operator="equal">
      <formula>"Plan Mejoramiento"</formula>
    </cfRule>
    <cfRule type="cellIs" dxfId="287" priority="511" operator="equal">
      <formula>"Acción Preventiva"</formula>
    </cfRule>
    <cfRule type="cellIs" dxfId="286" priority="512" operator="equal">
      <formula>"Acción Correctiva"</formula>
    </cfRule>
  </conditionalFormatting>
  <conditionalFormatting sqref="T130">
    <cfRule type="cellIs" dxfId="285" priority="509" operator="equal">
      <formula>"Corrección"</formula>
    </cfRule>
  </conditionalFormatting>
  <conditionalFormatting sqref="T131">
    <cfRule type="cellIs" dxfId="284" priority="506" operator="equal">
      <formula>"Plan Mejoramiento"</formula>
    </cfRule>
    <cfRule type="cellIs" dxfId="283" priority="507" operator="equal">
      <formula>"Acción Preventiva"</formula>
    </cfRule>
    <cfRule type="cellIs" dxfId="282" priority="508" operator="equal">
      <formula>"Acción Correctiva"</formula>
    </cfRule>
  </conditionalFormatting>
  <conditionalFormatting sqref="T131">
    <cfRule type="cellIs" dxfId="281" priority="505" operator="equal">
      <formula>"Corrección"</formula>
    </cfRule>
  </conditionalFormatting>
  <conditionalFormatting sqref="Q203:Q204 L203:O204 H203:H204 H208 M208:O208 Q208">
    <cfRule type="cellIs" dxfId="280" priority="502" operator="equal">
      <formula>"Plan Mejoramiento"</formula>
    </cfRule>
    <cfRule type="cellIs" dxfId="279" priority="503" operator="equal">
      <formula>"Acción Preventiva"</formula>
    </cfRule>
    <cfRule type="cellIs" dxfId="278" priority="504" operator="equal">
      <formula>"Acción Correctiva"</formula>
    </cfRule>
  </conditionalFormatting>
  <conditionalFormatting sqref="R203:R204 R208">
    <cfRule type="cellIs" dxfId="277" priority="500" operator="equal">
      <formula>"Cerrada"</formula>
    </cfRule>
    <cfRule type="cellIs" dxfId="276" priority="501" operator="equal">
      <formula>"Abierta"</formula>
    </cfRule>
  </conditionalFormatting>
  <conditionalFormatting sqref="Q203:Q204 M203:O204 H203:H204 H208 M208:O208 Q208">
    <cfRule type="cellIs" dxfId="275" priority="499" operator="equal">
      <formula>"Corrección"</formula>
    </cfRule>
  </conditionalFormatting>
  <conditionalFormatting sqref="J208">
    <cfRule type="cellIs" dxfId="274" priority="497" operator="equal">
      <formula>"Hallazgo Cerrado"</formula>
    </cfRule>
    <cfRule type="cellIs" dxfId="273" priority="498" operator="equal">
      <formula>"Hallazgo Abierto"</formula>
    </cfRule>
  </conditionalFormatting>
  <conditionalFormatting sqref="I208">
    <cfRule type="cellIs" dxfId="272" priority="491" operator="equal">
      <formula>"Oportunidad de mejora"</formula>
    </cfRule>
    <cfRule type="cellIs" dxfId="271" priority="492" operator="equal">
      <formula>"Recomendación"</formula>
    </cfRule>
    <cfRule type="cellIs" dxfId="270" priority="493" operator="equal">
      <formula>"No Conformidad"</formula>
    </cfRule>
  </conditionalFormatting>
  <conditionalFormatting sqref="E208">
    <cfRule type="cellIs" dxfId="269" priority="489" operator="equal">
      <formula>"Institucional"</formula>
    </cfRule>
    <cfRule type="cellIs" dxfId="268" priority="490" operator="equal">
      <formula>"Proceso"</formula>
    </cfRule>
  </conditionalFormatting>
  <conditionalFormatting sqref="K208">
    <cfRule type="cellIs" dxfId="267" priority="486" operator="equal">
      <formula>"Plan Mejoramiento"</formula>
    </cfRule>
    <cfRule type="cellIs" dxfId="266" priority="487" operator="equal">
      <formula>"Acción Preventiva"</formula>
    </cfRule>
    <cfRule type="cellIs" dxfId="265" priority="488" operator="equal">
      <formula>"Acción Correctiva"</formula>
    </cfRule>
  </conditionalFormatting>
  <conditionalFormatting sqref="K208">
    <cfRule type="cellIs" dxfId="264" priority="485" operator="equal">
      <formula>"Corrección"</formula>
    </cfRule>
  </conditionalFormatting>
  <conditionalFormatting sqref="O202">
    <cfRule type="cellIs" dxfId="263" priority="463" operator="equal">
      <formula>"Plan Mejoramiento"</formula>
    </cfRule>
    <cfRule type="cellIs" dxfId="262" priority="464" operator="equal">
      <formula>"Acción Preventiva"</formula>
    </cfRule>
    <cfRule type="cellIs" dxfId="261" priority="465" operator="equal">
      <formula>"Acción Correctiva"</formula>
    </cfRule>
  </conditionalFormatting>
  <conditionalFormatting sqref="O202">
    <cfRule type="cellIs" dxfId="260" priority="462" operator="equal">
      <formula>"Corrección"</formula>
    </cfRule>
  </conditionalFormatting>
  <conditionalFormatting sqref="T125">
    <cfRule type="cellIs" dxfId="259" priority="459" operator="equal">
      <formula>"Plan Mejoramiento"</formula>
    </cfRule>
    <cfRule type="cellIs" dxfId="258" priority="460" operator="equal">
      <formula>"Acción Preventiva"</formula>
    </cfRule>
    <cfRule type="cellIs" dxfId="257" priority="461" operator="equal">
      <formula>"Acción Correctiva"</formula>
    </cfRule>
  </conditionalFormatting>
  <conditionalFormatting sqref="T125">
    <cfRule type="cellIs" dxfId="256" priority="458" operator="equal">
      <formula>"Corrección"</formula>
    </cfRule>
  </conditionalFormatting>
  <conditionalFormatting sqref="T126">
    <cfRule type="cellIs" dxfId="255" priority="455" operator="equal">
      <formula>"Plan Mejoramiento"</formula>
    </cfRule>
    <cfRule type="cellIs" dxfId="254" priority="456" operator="equal">
      <formula>"Acción Preventiva"</formula>
    </cfRule>
    <cfRule type="cellIs" dxfId="253" priority="457" operator="equal">
      <formula>"Acción Correctiva"</formula>
    </cfRule>
  </conditionalFormatting>
  <conditionalFormatting sqref="T126">
    <cfRule type="cellIs" dxfId="252" priority="454" operator="equal">
      <formula>"Corrección"</formula>
    </cfRule>
  </conditionalFormatting>
  <conditionalFormatting sqref="E203:E204">
    <cfRule type="cellIs" dxfId="251" priority="448" operator="equal">
      <formula>"Institucional"</formula>
    </cfRule>
    <cfRule type="cellIs" dxfId="250" priority="449" operator="equal">
      <formula>"Proceso"</formula>
    </cfRule>
  </conditionalFormatting>
  <conditionalFormatting sqref="J203:J204">
    <cfRule type="cellIs" dxfId="249" priority="446" operator="equal">
      <formula>"Hallazgo Cerrado"</formula>
    </cfRule>
    <cfRule type="cellIs" dxfId="248" priority="447" operator="equal">
      <formula>"Hallazgo Abierto"</formula>
    </cfRule>
  </conditionalFormatting>
  <conditionalFormatting sqref="I203:I204">
    <cfRule type="cellIs" dxfId="247" priority="443" operator="equal">
      <formula>"Oportunidad de mejora"</formula>
    </cfRule>
    <cfRule type="cellIs" dxfId="246" priority="444" operator="equal">
      <formula>"Recomendación"</formula>
    </cfRule>
    <cfRule type="cellIs" dxfId="245" priority="445" operator="equal">
      <formula>"No Conformidad"</formula>
    </cfRule>
  </conditionalFormatting>
  <conditionalFormatting sqref="K203:K204">
    <cfRule type="cellIs" dxfId="244" priority="440" operator="equal">
      <formula>"Plan Mejoramiento"</formula>
    </cfRule>
    <cfRule type="cellIs" dxfId="243" priority="441" operator="equal">
      <formula>"Acción Preventiva"</formula>
    </cfRule>
    <cfRule type="cellIs" dxfId="242" priority="442" operator="equal">
      <formula>"Acción Correctiva"</formula>
    </cfRule>
  </conditionalFormatting>
  <conditionalFormatting sqref="K203:K204">
    <cfRule type="cellIs" dxfId="241" priority="439" operator="equal">
      <formula>"Corrección"</formula>
    </cfRule>
  </conditionalFormatting>
  <conditionalFormatting sqref="H223:H225 L223:O225 Q223:Q225">
    <cfRule type="cellIs" dxfId="240" priority="436" operator="equal">
      <formula>"Plan Mejoramiento"</formula>
    </cfRule>
    <cfRule type="cellIs" dxfId="239" priority="437" operator="equal">
      <formula>"Acción Preventiva"</formula>
    </cfRule>
    <cfRule type="cellIs" dxfId="238" priority="438" operator="equal">
      <formula>"Acción Correctiva"</formula>
    </cfRule>
  </conditionalFormatting>
  <conditionalFormatting sqref="R223:R225">
    <cfRule type="cellIs" dxfId="237" priority="434" operator="equal">
      <formula>"Cerrada"</formula>
    </cfRule>
    <cfRule type="cellIs" dxfId="236" priority="435" operator="equal">
      <formula>"Abierta"</formula>
    </cfRule>
  </conditionalFormatting>
  <conditionalFormatting sqref="H223:H225 M223:O225 Q223:Q225">
    <cfRule type="cellIs" dxfId="235" priority="433" operator="equal">
      <formula>"Corrección"</formula>
    </cfRule>
  </conditionalFormatting>
  <conditionalFormatting sqref="J223:J225">
    <cfRule type="cellIs" dxfId="234" priority="431" operator="equal">
      <formula>"Hallazgo Cerrado"</formula>
    </cfRule>
    <cfRule type="cellIs" dxfId="233" priority="432" operator="equal">
      <formula>"Hallazgo Abierto"</formula>
    </cfRule>
  </conditionalFormatting>
  <conditionalFormatting sqref="I223:I225">
    <cfRule type="cellIs" dxfId="232" priority="425" operator="equal">
      <formula>"Oportunidad de mejora"</formula>
    </cfRule>
    <cfRule type="cellIs" dxfId="231" priority="426" operator="equal">
      <formula>"Recomendación"</formula>
    </cfRule>
    <cfRule type="cellIs" dxfId="230" priority="427" operator="equal">
      <formula>"No Conformidad"</formula>
    </cfRule>
  </conditionalFormatting>
  <conditionalFormatting sqref="E223:E225">
    <cfRule type="cellIs" dxfId="229" priority="423" operator="equal">
      <formula>"Institucional"</formula>
    </cfRule>
    <cfRule type="cellIs" dxfId="228" priority="424" operator="equal">
      <formula>"Proceso"</formula>
    </cfRule>
  </conditionalFormatting>
  <conditionalFormatting sqref="K223:K225">
    <cfRule type="cellIs" dxfId="227" priority="420" operator="equal">
      <formula>"Plan Mejoramiento"</formula>
    </cfRule>
    <cfRule type="cellIs" dxfId="226" priority="421" operator="equal">
      <formula>"Acción Preventiva"</formula>
    </cfRule>
    <cfRule type="cellIs" dxfId="225" priority="422" operator="equal">
      <formula>"Acción Correctiva"</formula>
    </cfRule>
  </conditionalFormatting>
  <conditionalFormatting sqref="K223:K225">
    <cfRule type="cellIs" dxfId="224" priority="419" operator="equal">
      <formula>"Corrección"</formula>
    </cfRule>
  </conditionalFormatting>
  <conditionalFormatting sqref="E200">
    <cfRule type="cellIs" dxfId="223" priority="417" operator="equal">
      <formula>"Institucional"</formula>
    </cfRule>
    <cfRule type="cellIs" dxfId="222" priority="418" operator="equal">
      <formula>"Proceso"</formula>
    </cfRule>
  </conditionalFormatting>
  <conditionalFormatting sqref="E201">
    <cfRule type="cellIs" dxfId="221" priority="415" operator="equal">
      <formula>"Institucional"</formula>
    </cfRule>
    <cfRule type="cellIs" dxfId="220" priority="416" operator="equal">
      <formula>"Proceso"</formula>
    </cfRule>
  </conditionalFormatting>
  <conditionalFormatting sqref="Q200:Q201 L200:N201">
    <cfRule type="cellIs" dxfId="219" priority="390" operator="equal">
      <formula>"Plan Mejoramiento"</formula>
    </cfRule>
    <cfRule type="cellIs" dxfId="218" priority="391" operator="equal">
      <formula>"Acción Preventiva"</formula>
    </cfRule>
    <cfRule type="cellIs" dxfId="217" priority="392" operator="equal">
      <formula>"Acción Correctiva"</formula>
    </cfRule>
  </conditionalFormatting>
  <conditionalFormatting sqref="R200:R201">
    <cfRule type="cellIs" dxfId="216" priority="388" operator="equal">
      <formula>"Cerrada"</formula>
    </cfRule>
    <cfRule type="cellIs" dxfId="215" priority="389" operator="equal">
      <formula>"Abierta"</formula>
    </cfRule>
  </conditionalFormatting>
  <conditionalFormatting sqref="M200:N201 Q200:Q201">
    <cfRule type="cellIs" dxfId="214" priority="387" operator="equal">
      <formula>"Corrección"</formula>
    </cfRule>
  </conditionalFormatting>
  <conditionalFormatting sqref="J200:J201">
    <cfRule type="cellIs" dxfId="213" priority="385" operator="equal">
      <formula>"Hallazgo Cerrado"</formula>
    </cfRule>
    <cfRule type="cellIs" dxfId="212" priority="386" operator="equal">
      <formula>"Hallazgo Abierto"</formula>
    </cfRule>
  </conditionalFormatting>
  <conditionalFormatting sqref="I200:I201">
    <cfRule type="cellIs" dxfId="211" priority="379" operator="equal">
      <formula>"Oportunidad de mejora"</formula>
    </cfRule>
    <cfRule type="cellIs" dxfId="210" priority="380" operator="equal">
      <formula>"Recomendación"</formula>
    </cfRule>
    <cfRule type="cellIs" dxfId="209" priority="381" operator="equal">
      <formula>"No Conformidad"</formula>
    </cfRule>
  </conditionalFormatting>
  <conditionalFormatting sqref="K200:K201">
    <cfRule type="cellIs" dxfId="208" priority="376" operator="equal">
      <formula>"Plan Mejoramiento"</formula>
    </cfRule>
    <cfRule type="cellIs" dxfId="207" priority="377" operator="equal">
      <formula>"Acción Preventiva"</formula>
    </cfRule>
    <cfRule type="cellIs" dxfId="206" priority="378" operator="equal">
      <formula>"Acción Correctiva"</formula>
    </cfRule>
  </conditionalFormatting>
  <conditionalFormatting sqref="K200:K201">
    <cfRule type="cellIs" dxfId="205" priority="375" operator="equal">
      <formula>"Corrección"</formula>
    </cfRule>
  </conditionalFormatting>
  <conditionalFormatting sqref="O200:O201">
    <cfRule type="cellIs" dxfId="204" priority="372" operator="equal">
      <formula>"Plan Mejoramiento"</formula>
    </cfRule>
    <cfRule type="cellIs" dxfId="203" priority="373" operator="equal">
      <formula>"Acción Preventiva"</formula>
    </cfRule>
    <cfRule type="cellIs" dxfId="202" priority="374" operator="equal">
      <formula>"Acción Correctiva"</formula>
    </cfRule>
  </conditionalFormatting>
  <conditionalFormatting sqref="O200:O201">
    <cfRule type="cellIs" dxfId="201" priority="371" operator="equal">
      <formula>"Corrección"</formula>
    </cfRule>
  </conditionalFormatting>
  <conditionalFormatting sqref="V208 V223:V225">
    <cfRule type="cellIs" dxfId="200" priority="368" operator="equal">
      <formula>"No ha formulado PM"</formula>
    </cfRule>
    <cfRule type="cellIs" dxfId="199" priority="369" operator="equal">
      <formula>"Oportuno"</formula>
    </cfRule>
    <cfRule type="cellIs" dxfId="198" priority="370" operator="equal">
      <formula>"Inoportuno"</formula>
    </cfRule>
  </conditionalFormatting>
  <conditionalFormatting sqref="T12">
    <cfRule type="cellIs" dxfId="197" priority="365" operator="equal">
      <formula>"Plan Mejoramiento"</formula>
    </cfRule>
    <cfRule type="cellIs" dxfId="196" priority="366" operator="equal">
      <formula>"Acción Preventiva"</formula>
    </cfRule>
    <cfRule type="cellIs" dxfId="195" priority="367" operator="equal">
      <formula>"Acción Correctiva"</formula>
    </cfRule>
  </conditionalFormatting>
  <conditionalFormatting sqref="T12">
    <cfRule type="cellIs" dxfId="194" priority="364" operator="equal">
      <formula>"Corrección"</formula>
    </cfRule>
  </conditionalFormatting>
  <conditionalFormatting sqref="T13">
    <cfRule type="cellIs" dxfId="193" priority="361" operator="equal">
      <formula>"Plan Mejoramiento"</formula>
    </cfRule>
    <cfRule type="cellIs" dxfId="192" priority="362" operator="equal">
      <formula>"Acción Preventiva"</formula>
    </cfRule>
    <cfRule type="cellIs" dxfId="191" priority="363" operator="equal">
      <formula>"Acción Correctiva"</formula>
    </cfRule>
  </conditionalFormatting>
  <conditionalFormatting sqref="T13">
    <cfRule type="cellIs" dxfId="190" priority="360" operator="equal">
      <formula>"Corrección"</formula>
    </cfRule>
  </conditionalFormatting>
  <conditionalFormatting sqref="T16">
    <cfRule type="cellIs" dxfId="189" priority="357" operator="equal">
      <formula>"Plan Mejoramiento"</formula>
    </cfRule>
    <cfRule type="cellIs" dxfId="188" priority="358" operator="equal">
      <formula>"Acción Preventiva"</formula>
    </cfRule>
    <cfRule type="cellIs" dxfId="187" priority="359" operator="equal">
      <formula>"Acción Correctiva"</formula>
    </cfRule>
  </conditionalFormatting>
  <conditionalFormatting sqref="T16">
    <cfRule type="cellIs" dxfId="186" priority="356" operator="equal">
      <formula>"Corrección"</formula>
    </cfRule>
  </conditionalFormatting>
  <conditionalFormatting sqref="T17">
    <cfRule type="cellIs" dxfId="185" priority="353" operator="equal">
      <formula>"Plan Mejoramiento"</formula>
    </cfRule>
    <cfRule type="cellIs" dxfId="184" priority="354" operator="equal">
      <formula>"Acción Preventiva"</formula>
    </cfRule>
    <cfRule type="cellIs" dxfId="183" priority="355" operator="equal">
      <formula>"Acción Correctiva"</formula>
    </cfRule>
  </conditionalFormatting>
  <conditionalFormatting sqref="T17">
    <cfRule type="cellIs" dxfId="182" priority="352" operator="equal">
      <formula>"Corrección"</formula>
    </cfRule>
  </conditionalFormatting>
  <conditionalFormatting sqref="T25">
    <cfRule type="cellIs" dxfId="181" priority="349" operator="equal">
      <formula>"Plan Mejoramiento"</formula>
    </cfRule>
    <cfRule type="cellIs" dxfId="180" priority="350" operator="equal">
      <formula>"Acción Preventiva"</formula>
    </cfRule>
    <cfRule type="cellIs" dxfId="179" priority="351" operator="equal">
      <formula>"Acción Correctiva"</formula>
    </cfRule>
  </conditionalFormatting>
  <conditionalFormatting sqref="T25">
    <cfRule type="cellIs" dxfId="178" priority="348" operator="equal">
      <formula>"Corrección"</formula>
    </cfRule>
  </conditionalFormatting>
  <conditionalFormatting sqref="T27">
    <cfRule type="cellIs" dxfId="177" priority="345" operator="equal">
      <formula>"Plan Mejoramiento"</formula>
    </cfRule>
    <cfRule type="cellIs" dxfId="176" priority="346" operator="equal">
      <formula>"Acción Preventiva"</formula>
    </cfRule>
    <cfRule type="cellIs" dxfId="175" priority="347" operator="equal">
      <formula>"Acción Correctiva"</formula>
    </cfRule>
  </conditionalFormatting>
  <conditionalFormatting sqref="T27">
    <cfRule type="cellIs" dxfId="174" priority="344" operator="equal">
      <formula>"Corrección"</formula>
    </cfRule>
  </conditionalFormatting>
  <conditionalFormatting sqref="T50">
    <cfRule type="cellIs" dxfId="173" priority="341" operator="equal">
      <formula>"Plan Mejoramiento"</formula>
    </cfRule>
    <cfRule type="cellIs" dxfId="172" priority="342" operator="equal">
      <formula>"Acción Preventiva"</formula>
    </cfRule>
    <cfRule type="cellIs" dxfId="171" priority="343" operator="equal">
      <formula>"Acción Correctiva"</formula>
    </cfRule>
  </conditionalFormatting>
  <conditionalFormatting sqref="T50">
    <cfRule type="cellIs" dxfId="170" priority="340" operator="equal">
      <formula>"Corrección"</formula>
    </cfRule>
  </conditionalFormatting>
  <conditionalFormatting sqref="T68">
    <cfRule type="cellIs" dxfId="169" priority="337" operator="equal">
      <formula>"Plan Mejoramiento"</formula>
    </cfRule>
    <cfRule type="cellIs" dxfId="168" priority="338" operator="equal">
      <formula>"Acción Preventiva"</formula>
    </cfRule>
    <cfRule type="cellIs" dxfId="167" priority="339" operator="equal">
      <formula>"Acción Correctiva"</formula>
    </cfRule>
  </conditionalFormatting>
  <conditionalFormatting sqref="T68">
    <cfRule type="cellIs" dxfId="166" priority="336" operator="equal">
      <formula>"Corrección"</formula>
    </cfRule>
  </conditionalFormatting>
  <conditionalFormatting sqref="Q69">
    <cfRule type="cellIs" dxfId="165" priority="333" operator="equal">
      <formula>"Plan Mejoramiento"</formula>
    </cfRule>
    <cfRule type="cellIs" dxfId="164" priority="334" operator="equal">
      <formula>"Acción Preventiva"</formula>
    </cfRule>
    <cfRule type="cellIs" dxfId="163" priority="335" operator="equal">
      <formula>"Acción Correctiva"</formula>
    </cfRule>
  </conditionalFormatting>
  <conditionalFormatting sqref="R69">
    <cfRule type="cellIs" dxfId="162" priority="331" operator="equal">
      <formula>"Cerrada"</formula>
    </cfRule>
    <cfRule type="cellIs" dxfId="161" priority="332" operator="equal">
      <formula>"Abierta"</formula>
    </cfRule>
  </conditionalFormatting>
  <conditionalFormatting sqref="Q69">
    <cfRule type="cellIs" dxfId="160" priority="330" operator="equal">
      <formula>"Corrección"</formula>
    </cfRule>
  </conditionalFormatting>
  <conditionalFormatting sqref="Q70">
    <cfRule type="cellIs" dxfId="159" priority="327" operator="equal">
      <formula>"Plan Mejoramiento"</formula>
    </cfRule>
    <cfRule type="cellIs" dxfId="158" priority="328" operator="equal">
      <formula>"Acción Preventiva"</formula>
    </cfRule>
    <cfRule type="cellIs" dxfId="157" priority="329" operator="equal">
      <formula>"Acción Correctiva"</formula>
    </cfRule>
  </conditionalFormatting>
  <conditionalFormatting sqref="Q70">
    <cfRule type="cellIs" dxfId="156" priority="326" operator="equal">
      <formula>"Corrección"</formula>
    </cfRule>
  </conditionalFormatting>
  <conditionalFormatting sqref="Q71">
    <cfRule type="cellIs" dxfId="155" priority="323" operator="equal">
      <formula>"Plan Mejoramiento"</formula>
    </cfRule>
    <cfRule type="cellIs" dxfId="154" priority="324" operator="equal">
      <formula>"Acción Preventiva"</formula>
    </cfRule>
    <cfRule type="cellIs" dxfId="153" priority="325" operator="equal">
      <formula>"Acción Correctiva"</formula>
    </cfRule>
  </conditionalFormatting>
  <conditionalFormatting sqref="Q71">
    <cfRule type="cellIs" dxfId="152" priority="322" operator="equal">
      <formula>"Corrección"</formula>
    </cfRule>
  </conditionalFormatting>
  <conditionalFormatting sqref="Q72">
    <cfRule type="cellIs" dxfId="151" priority="319" operator="equal">
      <formula>"Plan Mejoramiento"</formula>
    </cfRule>
    <cfRule type="cellIs" dxfId="150" priority="320" operator="equal">
      <formula>"Acción Preventiva"</formula>
    </cfRule>
    <cfRule type="cellIs" dxfId="149" priority="321" operator="equal">
      <formula>"Acción Correctiva"</formula>
    </cfRule>
  </conditionalFormatting>
  <conditionalFormatting sqref="Q72">
    <cfRule type="cellIs" dxfId="148" priority="318" operator="equal">
      <formula>"Corrección"</formula>
    </cfRule>
  </conditionalFormatting>
  <conditionalFormatting sqref="R85">
    <cfRule type="cellIs" dxfId="147" priority="304" operator="equal">
      <formula>"Cerrada"</formula>
    </cfRule>
    <cfRule type="cellIs" dxfId="146" priority="305" operator="equal">
      <formula>"Abierta"</formula>
    </cfRule>
  </conditionalFormatting>
  <conditionalFormatting sqref="R86">
    <cfRule type="cellIs" dxfId="145" priority="302" operator="equal">
      <formula>"Cerrada"</formula>
    </cfRule>
    <cfRule type="cellIs" dxfId="144" priority="303" operator="equal">
      <formula>"Abierta"</formula>
    </cfRule>
  </conditionalFormatting>
  <conditionalFormatting sqref="T87">
    <cfRule type="cellIs" dxfId="143" priority="299" operator="equal">
      <formula>"Plan Mejoramiento"</formula>
    </cfRule>
    <cfRule type="cellIs" dxfId="142" priority="300" operator="equal">
      <formula>"Acción Preventiva"</formula>
    </cfRule>
    <cfRule type="cellIs" dxfId="141" priority="301" operator="equal">
      <formula>"Acción Correctiva"</formula>
    </cfRule>
  </conditionalFormatting>
  <conditionalFormatting sqref="T87">
    <cfRule type="cellIs" dxfId="140" priority="298" operator="equal">
      <formula>"Corrección"</formula>
    </cfRule>
  </conditionalFormatting>
  <conditionalFormatting sqref="X86:X90">
    <cfRule type="cellIs" dxfId="139" priority="296" operator="equal">
      <formula>"Recomendación"</formula>
    </cfRule>
    <cfRule type="cellIs" dxfId="138" priority="297" operator="equal">
      <formula>"No Conformidad"</formula>
    </cfRule>
  </conditionalFormatting>
  <conditionalFormatting sqref="V86 V90">
    <cfRule type="cellIs" dxfId="137" priority="293" operator="equal">
      <formula>"No ha formulado PM"</formula>
    </cfRule>
    <cfRule type="cellIs" dxfId="136" priority="294" operator="equal">
      <formula>"Oportuno"</formula>
    </cfRule>
    <cfRule type="cellIs" dxfId="135" priority="295" operator="equal">
      <formula>"Inoportuno"</formula>
    </cfRule>
  </conditionalFormatting>
  <conditionalFormatting sqref="V87:V89">
    <cfRule type="cellIs" dxfId="134" priority="290" operator="equal">
      <formula>"No ha formulado PM"</formula>
    </cfRule>
    <cfRule type="cellIs" dxfId="133" priority="291" operator="equal">
      <formula>"Oportuno"</formula>
    </cfRule>
    <cfRule type="cellIs" dxfId="132" priority="292" operator="equal">
      <formula>"Inoportuno"</formula>
    </cfRule>
  </conditionalFormatting>
  <conditionalFormatting sqref="H210 L210:N211">
    <cfRule type="cellIs" dxfId="131" priority="269" operator="equal">
      <formula>"Plan Mejoramiento"</formula>
    </cfRule>
    <cfRule type="cellIs" dxfId="130" priority="270" operator="equal">
      <formula>"Acción Preventiva"</formula>
    </cfRule>
    <cfRule type="cellIs" dxfId="129" priority="271" operator="equal">
      <formula>"Acción Correctiva"</formula>
    </cfRule>
  </conditionalFormatting>
  <conditionalFormatting sqref="R210:R211">
    <cfRule type="cellIs" dxfId="128" priority="267" operator="equal">
      <formula>"Cerrada"</formula>
    </cfRule>
    <cfRule type="cellIs" dxfId="127" priority="268" operator="equal">
      <formula>"Abierta"</formula>
    </cfRule>
  </conditionalFormatting>
  <conditionalFormatting sqref="H210 M210:N211">
    <cfRule type="cellIs" dxfId="126" priority="266" operator="equal">
      <formula>"Corrección"</formula>
    </cfRule>
  </conditionalFormatting>
  <conditionalFormatting sqref="J210">
    <cfRule type="cellIs" dxfId="125" priority="264" operator="equal">
      <formula>"Hallazgo Cerrado"</formula>
    </cfRule>
    <cfRule type="cellIs" dxfId="124" priority="265" operator="equal">
      <formula>"Hallazgo Abierto"</formula>
    </cfRule>
  </conditionalFormatting>
  <conditionalFormatting sqref="I210">
    <cfRule type="cellIs" dxfId="123" priority="261" operator="equal">
      <formula>"Oportunidad de mejora"</formula>
    </cfRule>
    <cfRule type="cellIs" dxfId="122" priority="262" operator="equal">
      <formula>"Recomendación"</formula>
    </cfRule>
    <cfRule type="cellIs" dxfId="121" priority="263" operator="equal">
      <formula>"No Conformidad"</formula>
    </cfRule>
  </conditionalFormatting>
  <conditionalFormatting sqref="E210">
    <cfRule type="cellIs" dxfId="120" priority="259" operator="equal">
      <formula>"Institucional"</formula>
    </cfRule>
    <cfRule type="cellIs" dxfId="119" priority="260" operator="equal">
      <formula>"Proceso"</formula>
    </cfRule>
  </conditionalFormatting>
  <conditionalFormatting sqref="K210">
    <cfRule type="cellIs" dxfId="118" priority="256" operator="equal">
      <formula>"Plan Mejoramiento"</formula>
    </cfRule>
    <cfRule type="cellIs" dxfId="117" priority="257" operator="equal">
      <formula>"Acción Preventiva"</formula>
    </cfRule>
    <cfRule type="cellIs" dxfId="116" priority="258" operator="equal">
      <formula>"Acción Correctiva"</formula>
    </cfRule>
  </conditionalFormatting>
  <conditionalFormatting sqref="K210">
    <cfRule type="cellIs" dxfId="115" priority="255" operator="equal">
      <formula>"Corrección"</formula>
    </cfRule>
  </conditionalFormatting>
  <conditionalFormatting sqref="V210:V211">
    <cfRule type="cellIs" dxfId="114" priority="252" operator="equal">
      <formula>"No ha formulado PM"</formula>
    </cfRule>
    <cfRule type="cellIs" dxfId="113" priority="253" operator="equal">
      <formula>"Oportuno"</formula>
    </cfRule>
    <cfRule type="cellIs" dxfId="112" priority="254" operator="equal">
      <formula>"Inoportuno"</formula>
    </cfRule>
  </conditionalFormatting>
  <conditionalFormatting sqref="M209:O209">
    <cfRule type="cellIs" dxfId="111" priority="249" operator="equal">
      <formula>"Plan Mejoramiento"</formula>
    </cfRule>
    <cfRule type="cellIs" dxfId="110" priority="250" operator="equal">
      <formula>"Acción Preventiva"</formula>
    </cfRule>
    <cfRule type="cellIs" dxfId="109" priority="251" operator="equal">
      <formula>"Acción Correctiva"</formula>
    </cfRule>
  </conditionalFormatting>
  <conditionalFormatting sqref="L44:N44">
    <cfRule type="cellIs" dxfId="108" priority="189" operator="equal">
      <formula>"Plan Mejoramiento"</formula>
    </cfRule>
    <cfRule type="cellIs" dxfId="107" priority="190" operator="equal">
      <formula>"Acción Preventiva"</formula>
    </cfRule>
    <cfRule type="cellIs" dxfId="106" priority="191" operator="equal">
      <formula>"Acción Correctiva"</formula>
    </cfRule>
  </conditionalFormatting>
  <conditionalFormatting sqref="L44:N44">
    <cfRule type="cellIs" dxfId="105" priority="188" operator="equal">
      <formula>"Corrección"</formula>
    </cfRule>
  </conditionalFormatting>
  <conditionalFormatting sqref="R44">
    <cfRule type="cellIs" dxfId="104" priority="186" operator="equal">
      <formula>"Cerrada"</formula>
    </cfRule>
    <cfRule type="cellIs" dxfId="103" priority="187" operator="equal">
      <formula>"Abierta"</formula>
    </cfRule>
  </conditionalFormatting>
  <conditionalFormatting sqref="T63">
    <cfRule type="cellIs" dxfId="102" priority="183" operator="equal">
      <formula>"Plan Mejoramiento"</formula>
    </cfRule>
    <cfRule type="cellIs" dxfId="101" priority="184" operator="equal">
      <formula>"Acción Preventiva"</formula>
    </cfRule>
    <cfRule type="cellIs" dxfId="100" priority="185" operator="equal">
      <formula>"Acción Correctiva"</formula>
    </cfRule>
  </conditionalFormatting>
  <conditionalFormatting sqref="T63">
    <cfRule type="cellIs" dxfId="99" priority="182" operator="equal">
      <formula>"Corrección"</formula>
    </cfRule>
  </conditionalFormatting>
  <conditionalFormatting sqref="H211">
    <cfRule type="cellIs" dxfId="98" priority="179" operator="equal">
      <formula>"Plan Mejoramiento"</formula>
    </cfRule>
    <cfRule type="cellIs" dxfId="97" priority="180" operator="equal">
      <formula>"Acción Preventiva"</formula>
    </cfRule>
    <cfRule type="cellIs" dxfId="96" priority="181" operator="equal">
      <formula>"Acción Correctiva"</formula>
    </cfRule>
  </conditionalFormatting>
  <conditionalFormatting sqref="H211">
    <cfRule type="cellIs" dxfId="95" priority="178" operator="equal">
      <formula>"Corrección"</formula>
    </cfRule>
  </conditionalFormatting>
  <conditionalFormatting sqref="J211">
    <cfRule type="cellIs" dxfId="94" priority="176" operator="equal">
      <formula>"Hallazgo Cerrado"</formula>
    </cfRule>
    <cfRule type="cellIs" dxfId="93" priority="177" operator="equal">
      <formula>"Hallazgo Abierto"</formula>
    </cfRule>
  </conditionalFormatting>
  <conditionalFormatting sqref="I211">
    <cfRule type="cellIs" dxfId="92" priority="173" operator="equal">
      <formula>"Oportunidad de mejora"</formula>
    </cfRule>
    <cfRule type="cellIs" dxfId="91" priority="174" operator="equal">
      <formula>"Recomendación"</formula>
    </cfRule>
    <cfRule type="cellIs" dxfId="90" priority="175" operator="equal">
      <formula>"No Conformidad"</formula>
    </cfRule>
  </conditionalFormatting>
  <conditionalFormatting sqref="E211">
    <cfRule type="cellIs" dxfId="89" priority="171" operator="equal">
      <formula>"Institucional"</formula>
    </cfRule>
    <cfRule type="cellIs" dxfId="88" priority="172" operator="equal">
      <formula>"Proceso"</formula>
    </cfRule>
  </conditionalFormatting>
  <conditionalFormatting sqref="K211">
    <cfRule type="cellIs" dxfId="87" priority="168" operator="equal">
      <formula>"Plan Mejoramiento"</formula>
    </cfRule>
    <cfRule type="cellIs" dxfId="86" priority="169" operator="equal">
      <formula>"Acción Preventiva"</formula>
    </cfRule>
    <cfRule type="cellIs" dxfId="85" priority="170" operator="equal">
      <formula>"Acción Correctiva"</formula>
    </cfRule>
  </conditionalFormatting>
  <conditionalFormatting sqref="K211">
    <cfRule type="cellIs" dxfId="84" priority="167" operator="equal">
      <formula>"Corrección"</formula>
    </cfRule>
  </conditionalFormatting>
  <conditionalFormatting sqref="M212:O213">
    <cfRule type="cellIs" dxfId="83" priority="164" operator="equal">
      <formula>"Plan Mejoramiento"</formula>
    </cfRule>
    <cfRule type="cellIs" dxfId="82" priority="165" operator="equal">
      <formula>"Acción Preventiva"</formula>
    </cfRule>
    <cfRule type="cellIs" dxfId="81" priority="166" operator="equal">
      <formula>"Acción Correctiva"</formula>
    </cfRule>
  </conditionalFormatting>
  <conditionalFormatting sqref="H219:H222">
    <cfRule type="cellIs" dxfId="80" priority="140" operator="equal">
      <formula>"Plan Mejoramiento"</formula>
    </cfRule>
    <cfRule type="cellIs" dxfId="79" priority="141" operator="equal">
      <formula>"Acción Preventiva"</formula>
    </cfRule>
    <cfRule type="cellIs" dxfId="78" priority="142" operator="equal">
      <formula>"Acción Correctiva"</formula>
    </cfRule>
  </conditionalFormatting>
  <conditionalFormatting sqref="H219:H222">
    <cfRule type="cellIs" dxfId="77" priority="137" operator="equal">
      <formula>"Corrección"</formula>
    </cfRule>
  </conditionalFormatting>
  <conditionalFormatting sqref="J214:J222">
    <cfRule type="cellIs" dxfId="76" priority="135" operator="equal">
      <formula>"Hallazgo Cerrado"</formula>
    </cfRule>
    <cfRule type="cellIs" dxfId="75" priority="136" operator="equal">
      <formula>"Hallazgo Abierto"</formula>
    </cfRule>
  </conditionalFormatting>
  <conditionalFormatting sqref="I214:I222">
    <cfRule type="cellIs" dxfId="74" priority="132" operator="equal">
      <formula>"Oportunidad de mejora"</formula>
    </cfRule>
    <cfRule type="cellIs" dxfId="73" priority="133" operator="equal">
      <formula>"Recomendación"</formula>
    </cfRule>
    <cfRule type="cellIs" dxfId="72" priority="134" operator="equal">
      <formula>"No Conformidad"</formula>
    </cfRule>
  </conditionalFormatting>
  <conditionalFormatting sqref="E214:E222">
    <cfRule type="cellIs" dxfId="71" priority="130" operator="equal">
      <formula>"Institucional"</formula>
    </cfRule>
    <cfRule type="cellIs" dxfId="70" priority="131" operator="equal">
      <formula>"Proceso"</formula>
    </cfRule>
  </conditionalFormatting>
  <conditionalFormatting sqref="K214:K222">
    <cfRule type="cellIs" dxfId="69" priority="127" operator="equal">
      <formula>"Plan Mejoramiento"</formula>
    </cfRule>
    <cfRule type="cellIs" dxfId="68" priority="128" operator="equal">
      <formula>"Acción Preventiva"</formula>
    </cfRule>
    <cfRule type="cellIs" dxfId="67" priority="129" operator="equal">
      <formula>"Acción Correctiva"</formula>
    </cfRule>
  </conditionalFormatting>
  <conditionalFormatting sqref="K214:K222">
    <cfRule type="cellIs" dxfId="66" priority="126" operator="equal">
      <formula>"Corrección"</formula>
    </cfRule>
  </conditionalFormatting>
  <conditionalFormatting sqref="Q190">
    <cfRule type="cellIs" dxfId="65" priority="100" operator="equal">
      <formula>"Plan Mejoramiento"</formula>
    </cfRule>
    <cfRule type="cellIs" dxfId="64" priority="101" operator="equal">
      <formula>"Acción Preventiva"</formula>
    </cfRule>
    <cfRule type="cellIs" dxfId="63" priority="102" operator="equal">
      <formula>"Acción Correctiva"</formula>
    </cfRule>
  </conditionalFormatting>
  <conditionalFormatting sqref="Q190">
    <cfRule type="cellIs" dxfId="62" priority="99" operator="equal">
      <formula>"Corrección"</formula>
    </cfRule>
  </conditionalFormatting>
  <conditionalFormatting sqref="Q191">
    <cfRule type="cellIs" dxfId="61" priority="96" operator="equal">
      <formula>"Plan Mejoramiento"</formula>
    </cfRule>
    <cfRule type="cellIs" dxfId="60" priority="97" operator="equal">
      <formula>"Acción Preventiva"</formula>
    </cfRule>
    <cfRule type="cellIs" dxfId="59" priority="98" operator="equal">
      <formula>"Acción Correctiva"</formula>
    </cfRule>
  </conditionalFormatting>
  <conditionalFormatting sqref="Q191">
    <cfRule type="cellIs" dxfId="58" priority="95" operator="equal">
      <formula>"Corrección"</formula>
    </cfRule>
  </conditionalFormatting>
  <conditionalFormatting sqref="Q192">
    <cfRule type="cellIs" dxfId="57" priority="92" operator="equal">
      <formula>"Plan Mejoramiento"</formula>
    </cfRule>
    <cfRule type="cellIs" dxfId="56" priority="93" operator="equal">
      <formula>"Acción Preventiva"</formula>
    </cfRule>
    <cfRule type="cellIs" dxfId="55" priority="94" operator="equal">
      <formula>"Acción Correctiva"</formula>
    </cfRule>
  </conditionalFormatting>
  <conditionalFormatting sqref="Q192">
    <cfRule type="cellIs" dxfId="54" priority="91" operator="equal">
      <formula>"Corrección"</formula>
    </cfRule>
  </conditionalFormatting>
  <conditionalFormatting sqref="Q193">
    <cfRule type="cellIs" dxfId="53" priority="88" operator="equal">
      <formula>"Plan Mejoramiento"</formula>
    </cfRule>
    <cfRule type="cellIs" dxfId="52" priority="89" operator="equal">
      <formula>"Acción Preventiva"</formula>
    </cfRule>
    <cfRule type="cellIs" dxfId="51" priority="90" operator="equal">
      <formula>"Acción Correctiva"</formula>
    </cfRule>
  </conditionalFormatting>
  <conditionalFormatting sqref="Q193">
    <cfRule type="cellIs" dxfId="50" priority="87" operator="equal">
      <formula>"Corrección"</formula>
    </cfRule>
  </conditionalFormatting>
  <conditionalFormatting sqref="Q194">
    <cfRule type="cellIs" dxfId="49" priority="84" operator="equal">
      <formula>"Plan Mejoramiento"</formula>
    </cfRule>
    <cfRule type="cellIs" dxfId="48" priority="85" operator="equal">
      <formula>"Acción Preventiva"</formula>
    </cfRule>
    <cfRule type="cellIs" dxfId="47" priority="86" operator="equal">
      <formula>"Acción Correctiva"</formula>
    </cfRule>
  </conditionalFormatting>
  <conditionalFormatting sqref="Q194">
    <cfRule type="cellIs" dxfId="46" priority="83" operator="equal">
      <formula>"Corrección"</formula>
    </cfRule>
  </conditionalFormatting>
  <conditionalFormatting sqref="Q195">
    <cfRule type="cellIs" dxfId="45" priority="80" operator="equal">
      <formula>"Plan Mejoramiento"</formula>
    </cfRule>
    <cfRule type="cellIs" dxfId="44" priority="81" operator="equal">
      <formula>"Acción Preventiva"</formula>
    </cfRule>
    <cfRule type="cellIs" dxfId="43" priority="82" operator="equal">
      <formula>"Acción Correctiva"</formula>
    </cfRule>
  </conditionalFormatting>
  <conditionalFormatting sqref="Q195">
    <cfRule type="cellIs" dxfId="42" priority="79" operator="equal">
      <formula>"Corrección"</formula>
    </cfRule>
  </conditionalFormatting>
  <conditionalFormatting sqref="Q196">
    <cfRule type="cellIs" dxfId="41" priority="76" operator="equal">
      <formula>"Plan Mejoramiento"</formula>
    </cfRule>
    <cfRule type="cellIs" dxfId="40" priority="77" operator="equal">
      <formula>"Acción Preventiva"</formula>
    </cfRule>
    <cfRule type="cellIs" dxfId="39" priority="78" operator="equal">
      <formula>"Acción Correctiva"</formula>
    </cfRule>
  </conditionalFormatting>
  <conditionalFormatting sqref="Q196">
    <cfRule type="cellIs" dxfId="38" priority="75" operator="equal">
      <formula>"Corrección"</formula>
    </cfRule>
  </conditionalFormatting>
  <conditionalFormatting sqref="T43">
    <cfRule type="cellIs" dxfId="37" priority="33" operator="equal">
      <formula>"Plan Mejoramiento"</formula>
    </cfRule>
    <cfRule type="cellIs" dxfId="36" priority="34" operator="equal">
      <formula>"Acción Preventiva"</formula>
    </cfRule>
    <cfRule type="cellIs" dxfId="35" priority="35" operator="equal">
      <formula>"Acción Correctiva"</formula>
    </cfRule>
  </conditionalFormatting>
  <conditionalFormatting sqref="T43">
    <cfRule type="cellIs" dxfId="34" priority="32" operator="equal">
      <formula>"Corrección"</formula>
    </cfRule>
  </conditionalFormatting>
  <conditionalFormatting sqref="Q210">
    <cfRule type="cellIs" dxfId="33" priority="29" operator="equal">
      <formula>"Plan Mejoramiento"</formula>
    </cfRule>
    <cfRule type="cellIs" dxfId="32" priority="30" operator="equal">
      <formula>"Acción Preventiva"</formula>
    </cfRule>
    <cfRule type="cellIs" dxfId="31" priority="31" operator="equal">
      <formula>"Acción Correctiva"</formula>
    </cfRule>
  </conditionalFormatting>
  <conditionalFormatting sqref="Q210">
    <cfRule type="cellIs" dxfId="30" priority="28" operator="equal">
      <formula>"Corrección"</formula>
    </cfRule>
  </conditionalFormatting>
  <conditionalFormatting sqref="Q211">
    <cfRule type="cellIs" dxfId="29" priority="25" operator="equal">
      <formula>"Plan Mejoramiento"</formula>
    </cfRule>
    <cfRule type="cellIs" dxfId="28" priority="26" operator="equal">
      <formula>"Acción Preventiva"</formula>
    </cfRule>
    <cfRule type="cellIs" dxfId="27" priority="27" operator="equal">
      <formula>"Acción Correctiva"</formula>
    </cfRule>
  </conditionalFormatting>
  <conditionalFormatting sqref="Q211">
    <cfRule type="cellIs" dxfId="26" priority="24" operator="equal">
      <formula>"Corrección"</formula>
    </cfRule>
  </conditionalFormatting>
  <conditionalFormatting sqref="I172:I173">
    <cfRule type="cellIs" dxfId="25" priority="17" operator="equal">
      <formula>"Oportunidad de mejora"</formula>
    </cfRule>
    <cfRule type="cellIs" dxfId="24" priority="18" operator="equal">
      <formula>"Recomendación"</formula>
    </cfRule>
    <cfRule type="cellIs" dxfId="23" priority="19" operator="equal">
      <formula>"No Conformidad"</formula>
    </cfRule>
  </conditionalFormatting>
  <conditionalFormatting sqref="O173">
    <cfRule type="cellIs" dxfId="22" priority="14" operator="equal">
      <formula>"Plan Mejoramiento"</formula>
    </cfRule>
    <cfRule type="cellIs" dxfId="21" priority="15" operator="equal">
      <formula>"Acción Preventiva"</formula>
    </cfRule>
    <cfRule type="cellIs" dxfId="20" priority="16" operator="equal">
      <formula>"Acción Correctiva"</formula>
    </cfRule>
  </conditionalFormatting>
  <conditionalFormatting sqref="O173">
    <cfRule type="cellIs" dxfId="19" priority="13" operator="equal">
      <formula>"Corrección"</formula>
    </cfRule>
  </conditionalFormatting>
  <conditionalFormatting sqref="J172">
    <cfRule type="cellIs" dxfId="18" priority="10" operator="equal">
      <formula>"Oportunidad de mejora"</formula>
    </cfRule>
    <cfRule type="cellIs" dxfId="17" priority="11" operator="equal">
      <formula>"Recomendación"</formula>
    </cfRule>
    <cfRule type="cellIs" dxfId="16" priority="12" operator="equal">
      <formula>"No Conformidad"</formula>
    </cfRule>
  </conditionalFormatting>
  <conditionalFormatting sqref="L208:L209">
    <cfRule type="cellIs" dxfId="15" priority="7" operator="equal">
      <formula>"Plan Mejoramiento"</formula>
    </cfRule>
    <cfRule type="cellIs" dxfId="14" priority="8" operator="equal">
      <formula>"Acción Preventiva"</formula>
    </cfRule>
    <cfRule type="cellIs" dxfId="13" priority="9" operator="equal">
      <formula>"Acción Correctiva"</formula>
    </cfRule>
  </conditionalFormatting>
  <conditionalFormatting sqref="L212">
    <cfRule type="cellIs" dxfId="12" priority="4" operator="equal">
      <formula>"Plan Mejoramiento"</formula>
    </cfRule>
    <cfRule type="cellIs" dxfId="11" priority="5" operator="equal">
      <formula>"Acción Preventiva"</formula>
    </cfRule>
    <cfRule type="cellIs" dxfId="10" priority="6" operator="equal">
      <formula>"Acción Correctiva"</formula>
    </cfRule>
  </conditionalFormatting>
  <conditionalFormatting sqref="L213">
    <cfRule type="cellIs" dxfId="9" priority="1" operator="equal">
      <formula>"Plan Mejoramiento"</formula>
    </cfRule>
    <cfRule type="cellIs" dxfId="8" priority="2" operator="equal">
      <formula>"Acción Preventiva"</formula>
    </cfRule>
    <cfRule type="cellIs" dxfId="7" priority="3" operator="equal">
      <formula>"Acción Correctiva"</formula>
    </cfRule>
  </conditionalFormatting>
  <dataValidations count="13">
    <dataValidation type="list" allowBlank="1" showInputMessage="1" showErrorMessage="1" sqref="G258 M26 M28:M49 M4:M23 M54:M226">
      <formula1>"Corrección,Acción Correctiva,Acción Preventiva,Acción Mejora"</formula1>
    </dataValidation>
    <dataValidation type="list" allowBlank="1" showInputMessage="1" showErrorMessage="1" sqref="R230 D192 D125 D149 D4:D5 D54 D70 D72:D74 D60 D101:D103 D107 D110 D87 D18:D28 D56 D65:D68 D36:D50 D90:D94 D98:D99 D116:D118 D194 D188 D32 D78:D80 D190 E238:I238 D7:D12 D76 D82:D85 D120:D121 D127 D130:D142 D144:D147 D155:D171 D174:D177 D197:D226 D180:D184 D186">
      <formula1>"Auditoria,Informes,Especial,Autocontrol"</formula1>
    </dataValidation>
    <dataValidation type="list" allowBlank="1" showInputMessage="1" showErrorMessage="1" sqref="P231:P232 R4:R226">
      <formula1>"Abierta,Cerrada"</formula1>
    </dataValidation>
    <dataValidation type="list" allowBlank="1" showInputMessage="1" showErrorMessage="1" sqref="I192 I149 I125 P238 H233 C233 I54 I70 I72:I74 I60 I101:I103 I107 I110 I87 I18:I28 I56 I65:I68 I36:I50 I90:I94 I98:I99 I116:I118 I188 I194 I32 I78:I80 I190 I4:I5 I7:I12 I76 I82:I85 I120:I121 I127 I130:I142 I144:I147 I155:I171 I174:I177 I197:I226 I180:I184 I186">
      <formula1>"No Conformidad,Recomendación, Oportunidad de mejora"</formula1>
    </dataValidation>
    <dataValidation type="list" allowBlank="1" showInputMessage="1" showErrorMessage="1" sqref="K192 K54 K125 K149 K70 K72:K74 K60 K101:K103 K107 K110 K87 K18:K28 K56 K65:K68 K36:K50 K90:K94 K98:K99 K116:K118 K188 K194 K32 K78:K80 K190 K4:K5 K7:K12 K76 K82:K85 K120:K121 K127 K130:K142 K144:K147 K155:K171 K174:K177 K197:K226 K180:K184 K186">
      <formula1>"No,Si"</formula1>
    </dataValidation>
    <dataValidation type="list" allowBlank="1" showInputMessage="1" showErrorMessage="1" sqref="J54 J192 J149 J125 J70 J72:J74 J101:J103 J107 J110 J87 J60 J56 J65:J68 J36:J51 J90:J94 J98:J99 J116:J118 J188 J194 J32 J78:J80 J190 J4:J28 J76 J82:J85 J120:J121 J127 J130:J142 J144:J147 J155:J171 J174:J177 J197:J226 J180:J184 J186">
      <formula1>"Hallazgo Abierto,Hallazgo Cerrado"</formula1>
    </dataValidation>
    <dataValidation type="list" allowBlank="1" showInputMessage="1" showErrorMessage="1" sqref="C238:D238 E192 E125 E149 E101:E103 E107 E110 E54 E60 E72:E74 E87 E70 E18:E28 E56 E65:E68 E36:E50 E90:E94 E98:E99 E116:E118 E194 E188 E32 E78:E80 E190 E4 E7:E12 E76 E82:E85 E120:E121 E127 E130:E142 E144:E147 E155:E171 E174:E177 E197:E226 E180:E184 E186">
      <formula1>"Institucional,Proceso"</formula1>
    </dataValidation>
    <dataValidation type="list" allowBlank="1" showInputMessage="1" showErrorMessage="1" sqref="B248:B249 B241 C259:C271 B261 B268:B269 B4:B226">
      <formula1>Proceso</formula1>
    </dataValidation>
    <dataValidation type="list" allowBlank="1" showInputMessage="1" showErrorMessage="1" sqref="M27 M24:M25 M50:M53">
      <formula1>"Corrección,Acción Correctiva,Acción Preventiva, Plan Mejoramiento"</formula1>
    </dataValidation>
    <dataValidation type="textLength" allowBlank="1" showInputMessage="1" showErrorMessage="1" error="Escriba un texto " promptTitle="Cualquier contenido" sqref="N60:N64 C60:C64 H60">
      <formula1>0</formula1>
      <formula2>3500</formula2>
    </dataValidation>
    <dataValidation showDropDown="1" showInputMessage="1" showErrorMessage="1" sqref="O53"/>
    <dataValidation type="custom" allowBlank="1" showInputMessage="1" showErrorMessage="1" sqref="J173">
      <formula1>"Hallazgo Abierto;Hallazgo Cerrado"</formula1>
    </dataValidation>
    <dataValidation type="list" allowBlank="1" showInputMessage="1" showErrorMessage="1" sqref="F4:F226">
      <formula1>Auditores</formula1>
    </dataValidation>
  </dataValidations>
  <pageMargins left="1.2598425196850394" right="0.23622047244094491" top="0.63" bottom="0.51181102362204722" header="0.31496062992125984" footer="0.31496062992125984"/>
  <pageSetup paperSize="5" scale="36" fitToHeight="0" orientation="landscape" r:id="rId1"/>
  <headerFooter>
    <oddHeader>&amp;L&amp;G&amp;C&amp;"Arial Black,Normal"&amp;12Seguimiento Acciones Plan Mejoramiento
Caja de la Vivienda Popular</oddHeader>
    <oddFooter>&amp;L&amp;A&amp;CHoja &amp;P de &amp;N</oddFoot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19"/>
  <sheetViews>
    <sheetView topLeftCell="B1" zoomScaleNormal="100" workbookViewId="0">
      <selection activeCell="L5" sqref="L5"/>
    </sheetView>
  </sheetViews>
  <sheetFormatPr baseColWidth="10" defaultRowHeight="14.25" x14ac:dyDescent="0.2"/>
  <cols>
    <col min="1" max="1" width="3.140625" style="241" customWidth="1"/>
    <col min="2" max="2" width="32.85546875" style="241" customWidth="1"/>
    <col min="3" max="3" width="11.28515625" style="241" customWidth="1"/>
    <col min="4" max="4" width="11.5703125" style="241" customWidth="1"/>
    <col min="5" max="5" width="13.7109375" style="241" customWidth="1"/>
    <col min="6" max="6" width="11.85546875" style="241" customWidth="1"/>
    <col min="7" max="7" width="11.28515625" style="241" customWidth="1"/>
    <col min="8" max="8" width="11.42578125" style="241" customWidth="1"/>
    <col min="9" max="9" width="9.85546875" style="241" customWidth="1"/>
    <col min="10" max="10" width="10.28515625" style="241" customWidth="1"/>
    <col min="11" max="11" width="14.28515625" style="241" customWidth="1"/>
    <col min="12" max="13" width="11.42578125" style="241"/>
    <col min="14" max="14" width="3.28515625" style="241" customWidth="1"/>
    <col min="15" max="15" width="15.140625" style="241" customWidth="1"/>
    <col min="16" max="16384" width="11.42578125" style="241"/>
  </cols>
  <sheetData>
    <row r="1" spans="1:15" ht="21" thickBot="1" x14ac:dyDescent="0.35">
      <c r="B1" s="521" t="s">
        <v>571</v>
      </c>
      <c r="C1" s="522"/>
      <c r="D1" s="522"/>
      <c r="E1" s="522"/>
      <c r="F1" s="522"/>
      <c r="G1" s="522"/>
      <c r="H1" s="522"/>
      <c r="I1" s="522"/>
      <c r="J1" s="522"/>
      <c r="K1" s="522" t="s">
        <v>592</v>
      </c>
      <c r="L1" s="522"/>
      <c r="M1" s="523"/>
    </row>
    <row r="2" spans="1:15" ht="28.5" customHeight="1" x14ac:dyDescent="0.2">
      <c r="B2" s="528" t="s">
        <v>0</v>
      </c>
      <c r="C2" s="526" t="s">
        <v>574</v>
      </c>
      <c r="D2" s="517" t="s">
        <v>92</v>
      </c>
      <c r="E2" s="530"/>
      <c r="F2" s="530"/>
      <c r="G2" s="519" t="s">
        <v>573</v>
      </c>
      <c r="H2" s="520"/>
      <c r="I2" s="517" t="s">
        <v>130</v>
      </c>
      <c r="J2" s="518"/>
      <c r="K2" s="524" t="s">
        <v>572</v>
      </c>
      <c r="L2" s="524"/>
      <c r="M2" s="525"/>
    </row>
    <row r="3" spans="1:15" ht="27" customHeight="1" thickBot="1" x14ac:dyDescent="0.25">
      <c r="B3" s="529"/>
      <c r="C3" s="527"/>
      <c r="D3" s="226" t="s">
        <v>75</v>
      </c>
      <c r="E3" s="227" t="s">
        <v>50</v>
      </c>
      <c r="F3" s="230" t="s">
        <v>365</v>
      </c>
      <c r="G3" s="231" t="s">
        <v>76</v>
      </c>
      <c r="H3" s="232" t="s">
        <v>77</v>
      </c>
      <c r="I3" s="229" t="s">
        <v>131</v>
      </c>
      <c r="J3" s="223" t="s">
        <v>132</v>
      </c>
      <c r="K3" s="240" t="s">
        <v>505</v>
      </c>
      <c r="L3" s="96" t="s">
        <v>48</v>
      </c>
      <c r="M3" s="221" t="s">
        <v>52</v>
      </c>
      <c r="O3" s="249" t="s">
        <v>591</v>
      </c>
    </row>
    <row r="4" spans="1:15" ht="15" thickTop="1" x14ac:dyDescent="0.2">
      <c r="A4" s="241">
        <v>1</v>
      </c>
      <c r="B4" s="242" t="s">
        <v>46</v>
      </c>
      <c r="C4" s="310">
        <f>'PM 2016'!J239</f>
        <v>34</v>
      </c>
      <c r="D4" s="311">
        <f>'PM 2016'!N239</f>
        <v>34</v>
      </c>
      <c r="E4" s="312">
        <f>'PM 2016'!O239</f>
        <v>0</v>
      </c>
      <c r="F4" s="313">
        <f>'PM 2016'!P239</f>
        <v>0</v>
      </c>
      <c r="G4" s="314">
        <f>'PM 2016'!Q239</f>
        <v>34</v>
      </c>
      <c r="H4" s="315">
        <f>'PM 2016'!R239</f>
        <v>0</v>
      </c>
      <c r="I4" s="314">
        <f>'PM 2016'!L239</f>
        <v>29</v>
      </c>
      <c r="J4" s="316">
        <f>'PM 2016'!M239</f>
        <v>5</v>
      </c>
      <c r="K4" s="317">
        <f>'PM 2016'!J259</f>
        <v>50</v>
      </c>
      <c r="L4" s="318">
        <f>'PM 2016'!K259</f>
        <v>33</v>
      </c>
      <c r="M4" s="319">
        <f>'PM 2016'!L259</f>
        <v>17</v>
      </c>
      <c r="O4" s="251">
        <f>M4/K4</f>
        <v>0.34</v>
      </c>
    </row>
    <row r="5" spans="1:15" ht="15.75" customHeight="1" x14ac:dyDescent="0.2">
      <c r="A5" s="241">
        <v>2</v>
      </c>
      <c r="B5" s="243" t="s">
        <v>9</v>
      </c>
      <c r="C5" s="310">
        <f>'PM 2016'!J240</f>
        <v>17</v>
      </c>
      <c r="D5" s="320">
        <f>'PM 2016'!N240</f>
        <v>17</v>
      </c>
      <c r="E5" s="318">
        <f>'PM 2016'!O240</f>
        <v>0</v>
      </c>
      <c r="F5" s="321">
        <f>'PM 2016'!P240</f>
        <v>0</v>
      </c>
      <c r="G5" s="314">
        <f>'PM 2016'!Q240</f>
        <v>17</v>
      </c>
      <c r="H5" s="315">
        <f>'PM 2016'!R240</f>
        <v>0</v>
      </c>
      <c r="I5" s="320">
        <f>'PM 2016'!L240</f>
        <v>17</v>
      </c>
      <c r="J5" s="321">
        <f>'PM 2016'!M240</f>
        <v>0</v>
      </c>
      <c r="K5" s="318">
        <f>'PM 2016'!J260</f>
        <v>17</v>
      </c>
      <c r="L5" s="318">
        <f>'PM 2016'!K260</f>
        <v>17</v>
      </c>
      <c r="M5" s="319">
        <f>'PM 2016'!L260</f>
        <v>0</v>
      </c>
      <c r="O5" s="248">
        <f t="shared" ref="O5:O16" si="0">M5/K5</f>
        <v>0</v>
      </c>
    </row>
    <row r="6" spans="1:15" ht="29.25" customHeight="1" x14ac:dyDescent="0.2">
      <c r="A6" s="241">
        <v>3</v>
      </c>
      <c r="B6" s="243" t="s">
        <v>333</v>
      </c>
      <c r="C6" s="310">
        <f>'PM 2016'!J241</f>
        <v>19</v>
      </c>
      <c r="D6" s="320">
        <f>'PM 2016'!N241</f>
        <v>19</v>
      </c>
      <c r="E6" s="318">
        <f>'PM 2016'!O241</f>
        <v>0</v>
      </c>
      <c r="F6" s="321">
        <f>'PM 2016'!P241</f>
        <v>0</v>
      </c>
      <c r="G6" s="314">
        <f>'PM 2016'!Q241</f>
        <v>19</v>
      </c>
      <c r="H6" s="315">
        <f>'PM 2016'!R241</f>
        <v>0</v>
      </c>
      <c r="I6" s="320">
        <f>'PM 2016'!L241</f>
        <v>9</v>
      </c>
      <c r="J6" s="321">
        <f>'PM 2016'!M241</f>
        <v>10</v>
      </c>
      <c r="K6" s="318">
        <f>'PM 2016'!J261</f>
        <v>34</v>
      </c>
      <c r="L6" s="318">
        <f>'PM 2016'!K261</f>
        <v>14</v>
      </c>
      <c r="M6" s="319">
        <f>'PM 2016'!L261</f>
        <v>20</v>
      </c>
      <c r="O6" s="248">
        <f t="shared" si="0"/>
        <v>0.58823529411764708</v>
      </c>
    </row>
    <row r="7" spans="1:15" ht="16.5" customHeight="1" x14ac:dyDescent="0.2">
      <c r="A7" s="241">
        <v>4</v>
      </c>
      <c r="B7" s="244" t="s">
        <v>2</v>
      </c>
      <c r="C7" s="310">
        <f>'PM 2016'!J242</f>
        <v>6</v>
      </c>
      <c r="D7" s="320">
        <f>'PM 2016'!N242</f>
        <v>6</v>
      </c>
      <c r="E7" s="318">
        <f>'PM 2016'!O242</f>
        <v>0</v>
      </c>
      <c r="F7" s="321">
        <f>'PM 2016'!P242</f>
        <v>0</v>
      </c>
      <c r="G7" s="314">
        <f>'PM 2016'!Q242</f>
        <v>6</v>
      </c>
      <c r="H7" s="315">
        <f>'PM 2016'!R242</f>
        <v>0</v>
      </c>
      <c r="I7" s="320">
        <f>'PM 2016'!L242</f>
        <v>6</v>
      </c>
      <c r="J7" s="321">
        <f>'PM 2016'!M242</f>
        <v>0</v>
      </c>
      <c r="K7" s="318">
        <f>'PM 2016'!J262</f>
        <v>7</v>
      </c>
      <c r="L7" s="318">
        <f>'PM 2016'!K262</f>
        <v>7</v>
      </c>
      <c r="M7" s="319">
        <f>'PM 2016'!L262</f>
        <v>0</v>
      </c>
      <c r="O7" s="248">
        <f t="shared" si="0"/>
        <v>0</v>
      </c>
    </row>
    <row r="8" spans="1:15" ht="16.5" customHeight="1" x14ac:dyDescent="0.2">
      <c r="A8" s="241">
        <v>5</v>
      </c>
      <c r="B8" s="244" t="s">
        <v>21</v>
      </c>
      <c r="C8" s="310">
        <f>'PM 2016'!J243</f>
        <v>8</v>
      </c>
      <c r="D8" s="320">
        <f>'PM 2016'!N243</f>
        <v>8</v>
      </c>
      <c r="E8" s="318">
        <f>'PM 2016'!O243</f>
        <v>0</v>
      </c>
      <c r="F8" s="321">
        <f>'PM 2016'!P243</f>
        <v>0</v>
      </c>
      <c r="G8" s="314">
        <f>'PM 2016'!Q243</f>
        <v>8</v>
      </c>
      <c r="H8" s="315">
        <f>'PM 2016'!R243</f>
        <v>0</v>
      </c>
      <c r="I8" s="320">
        <f>'PM 2016'!L243</f>
        <v>6</v>
      </c>
      <c r="J8" s="321">
        <f>'PM 2016'!M243</f>
        <v>2</v>
      </c>
      <c r="K8" s="318">
        <f>'PM 2016'!J263</f>
        <v>15</v>
      </c>
      <c r="L8" s="318">
        <f>'PM 2016'!K263</f>
        <v>9</v>
      </c>
      <c r="M8" s="319">
        <f>'PM 2016'!L263</f>
        <v>6</v>
      </c>
      <c r="O8" s="248">
        <f t="shared" si="0"/>
        <v>0.4</v>
      </c>
    </row>
    <row r="9" spans="1:15" x14ac:dyDescent="0.2">
      <c r="A9" s="241">
        <v>6</v>
      </c>
      <c r="B9" s="244" t="s">
        <v>34</v>
      </c>
      <c r="C9" s="310">
        <f>'PM 2016'!J244</f>
        <v>4</v>
      </c>
      <c r="D9" s="320">
        <f>'PM 2016'!N244</f>
        <v>4</v>
      </c>
      <c r="E9" s="318">
        <f>'PM 2016'!O244</f>
        <v>0</v>
      </c>
      <c r="F9" s="321">
        <f>'PM 2016'!P244</f>
        <v>0</v>
      </c>
      <c r="G9" s="314">
        <f>'PM 2016'!Q244</f>
        <v>4</v>
      </c>
      <c r="H9" s="315">
        <f>'PM 2016'!R244</f>
        <v>0</v>
      </c>
      <c r="I9" s="320">
        <f>'PM 2016'!L244</f>
        <v>4</v>
      </c>
      <c r="J9" s="321">
        <f>'PM 2016'!M244</f>
        <v>0</v>
      </c>
      <c r="K9" s="318">
        <f>'PM 2016'!J264</f>
        <v>5</v>
      </c>
      <c r="L9" s="318">
        <f>'PM 2016'!K264</f>
        <v>4</v>
      </c>
      <c r="M9" s="319">
        <f>'PM 2016'!L264</f>
        <v>1</v>
      </c>
      <c r="O9" s="248">
        <f t="shared" si="0"/>
        <v>0.2</v>
      </c>
    </row>
    <row r="10" spans="1:15" x14ac:dyDescent="0.2">
      <c r="A10" s="241">
        <v>7</v>
      </c>
      <c r="B10" s="244" t="s">
        <v>33</v>
      </c>
      <c r="C10" s="310">
        <f>'PM 2016'!J245</f>
        <v>7</v>
      </c>
      <c r="D10" s="320">
        <f>'PM 2016'!N245</f>
        <v>7</v>
      </c>
      <c r="E10" s="318">
        <f>'PM 2016'!O245</f>
        <v>0</v>
      </c>
      <c r="F10" s="321">
        <f>'PM 2016'!P245</f>
        <v>0</v>
      </c>
      <c r="G10" s="314">
        <f>'PM 2016'!Q245</f>
        <v>7</v>
      </c>
      <c r="H10" s="315">
        <f>'PM 2016'!R245</f>
        <v>0</v>
      </c>
      <c r="I10" s="320">
        <f>'PM 2016'!L245</f>
        <v>7</v>
      </c>
      <c r="J10" s="321">
        <f>'PM 2016'!M245</f>
        <v>0</v>
      </c>
      <c r="K10" s="318">
        <f>'PM 2016'!J265</f>
        <v>7</v>
      </c>
      <c r="L10" s="318">
        <f>'PM 2016'!K265</f>
        <v>7</v>
      </c>
      <c r="M10" s="319">
        <f>'PM 2016'!L265</f>
        <v>0</v>
      </c>
      <c r="O10" s="248">
        <f t="shared" si="0"/>
        <v>0</v>
      </c>
    </row>
    <row r="11" spans="1:15" x14ac:dyDescent="0.2">
      <c r="A11" s="241">
        <v>8</v>
      </c>
      <c r="B11" s="244" t="s">
        <v>263</v>
      </c>
      <c r="C11" s="310">
        <f>'PM 2016'!J246</f>
        <v>7</v>
      </c>
      <c r="D11" s="320">
        <f>'PM 2016'!N246</f>
        <v>7</v>
      </c>
      <c r="E11" s="318">
        <f>'PM 2016'!O246</f>
        <v>0</v>
      </c>
      <c r="F11" s="321">
        <f>'PM 2016'!P246</f>
        <v>0</v>
      </c>
      <c r="G11" s="314">
        <f>'PM 2016'!Q246</f>
        <v>7</v>
      </c>
      <c r="H11" s="315">
        <f>'PM 2016'!R246</f>
        <v>0</v>
      </c>
      <c r="I11" s="320">
        <f>'PM 2016'!L246</f>
        <v>7</v>
      </c>
      <c r="J11" s="321">
        <f>'PM 2016'!M246</f>
        <v>0</v>
      </c>
      <c r="K11" s="318">
        <f>'PM 2016'!J266</f>
        <v>12</v>
      </c>
      <c r="L11" s="318">
        <f>'PM 2016'!K266</f>
        <v>9</v>
      </c>
      <c r="M11" s="319">
        <f>'PM 2016'!L266</f>
        <v>3</v>
      </c>
      <c r="O11" s="248">
        <f t="shared" si="0"/>
        <v>0.25</v>
      </c>
    </row>
    <row r="12" spans="1:15" ht="28.5" x14ac:dyDescent="0.2">
      <c r="A12" s="241">
        <v>9</v>
      </c>
      <c r="B12" s="245" t="s">
        <v>59</v>
      </c>
      <c r="C12" s="310">
        <f>'PM 2016'!J247</f>
        <v>4</v>
      </c>
      <c r="D12" s="320">
        <f>'PM 2016'!N247</f>
        <v>4</v>
      </c>
      <c r="E12" s="318">
        <f>'PM 2016'!O247</f>
        <v>0</v>
      </c>
      <c r="F12" s="321">
        <f>'PM 2016'!P247</f>
        <v>0</v>
      </c>
      <c r="G12" s="314">
        <f>'PM 2016'!Q247</f>
        <v>4</v>
      </c>
      <c r="H12" s="315">
        <f>'PM 2016'!R247</f>
        <v>0</v>
      </c>
      <c r="I12" s="320">
        <f>'PM 2016'!L247</f>
        <v>4</v>
      </c>
      <c r="J12" s="321">
        <f>'PM 2016'!M247</f>
        <v>0</v>
      </c>
      <c r="K12" s="318">
        <f>'PM 2016'!J267</f>
        <v>4</v>
      </c>
      <c r="L12" s="318">
        <f>'PM 2016'!K267</f>
        <v>4</v>
      </c>
      <c r="M12" s="319">
        <f>'PM 2016'!L267</f>
        <v>0</v>
      </c>
      <c r="O12" s="248">
        <f t="shared" si="0"/>
        <v>0</v>
      </c>
    </row>
    <row r="13" spans="1:15" x14ac:dyDescent="0.2">
      <c r="A13" s="241">
        <v>10</v>
      </c>
      <c r="B13" s="245" t="s">
        <v>60</v>
      </c>
      <c r="C13" s="310">
        <f>'PM 2016'!J248</f>
        <v>9</v>
      </c>
      <c r="D13" s="320">
        <f>'PM 2016'!N248</f>
        <v>9</v>
      </c>
      <c r="E13" s="318">
        <f>'PM 2016'!O248</f>
        <v>0</v>
      </c>
      <c r="F13" s="321">
        <f>'PM 2016'!P248</f>
        <v>0</v>
      </c>
      <c r="G13" s="314">
        <f>'PM 2016'!Q248</f>
        <v>8</v>
      </c>
      <c r="H13" s="315">
        <f>'PM 2016'!R248</f>
        <v>1</v>
      </c>
      <c r="I13" s="320">
        <f>'PM 2016'!L248</f>
        <v>9</v>
      </c>
      <c r="J13" s="321">
        <f>'PM 2016'!M248</f>
        <v>0</v>
      </c>
      <c r="K13" s="318">
        <f>'PM 2016'!J268</f>
        <v>17</v>
      </c>
      <c r="L13" s="318">
        <f>'PM 2016'!K268</f>
        <v>17</v>
      </c>
      <c r="M13" s="319">
        <f>'PM 2016'!L268</f>
        <v>0</v>
      </c>
      <c r="O13" s="248">
        <f t="shared" si="0"/>
        <v>0</v>
      </c>
    </row>
    <row r="14" spans="1:15" x14ac:dyDescent="0.2">
      <c r="A14" s="241">
        <v>11</v>
      </c>
      <c r="B14" s="245" t="s">
        <v>331</v>
      </c>
      <c r="C14" s="310">
        <f>'PM 2016'!J249</f>
        <v>19</v>
      </c>
      <c r="D14" s="320">
        <f>'PM 2016'!N249</f>
        <v>19</v>
      </c>
      <c r="E14" s="318">
        <f>'PM 2016'!O249</f>
        <v>0</v>
      </c>
      <c r="F14" s="321">
        <f>'PM 2016'!P249</f>
        <v>0</v>
      </c>
      <c r="G14" s="314">
        <f>'PM 2016'!Q249</f>
        <v>16</v>
      </c>
      <c r="H14" s="315">
        <f>'PM 2016'!R249</f>
        <v>3</v>
      </c>
      <c r="I14" s="320">
        <f>'PM 2016'!L249</f>
        <v>12</v>
      </c>
      <c r="J14" s="321">
        <f>'PM 2016'!M249</f>
        <v>7</v>
      </c>
      <c r="K14" s="318">
        <f>'PM 2016'!J269</f>
        <v>20</v>
      </c>
      <c r="L14" s="318">
        <f>'PM 2016'!K269</f>
        <v>11</v>
      </c>
      <c r="M14" s="319">
        <f>'PM 2016'!L269</f>
        <v>9</v>
      </c>
      <c r="O14" s="248">
        <f t="shared" si="0"/>
        <v>0.45</v>
      </c>
    </row>
    <row r="15" spans="1:15" x14ac:dyDescent="0.2">
      <c r="A15" s="241">
        <v>12</v>
      </c>
      <c r="B15" s="245" t="s">
        <v>58</v>
      </c>
      <c r="C15" s="310">
        <f>'PM 2016'!J250</f>
        <v>5</v>
      </c>
      <c r="D15" s="320">
        <f>'PM 2016'!N250</f>
        <v>5</v>
      </c>
      <c r="E15" s="318">
        <f>'PM 2016'!O250</f>
        <v>0</v>
      </c>
      <c r="F15" s="321">
        <f>'PM 2016'!P250</f>
        <v>0</v>
      </c>
      <c r="G15" s="314">
        <f>'PM 2016'!Q250</f>
        <v>5</v>
      </c>
      <c r="H15" s="315">
        <f>'PM 2016'!R250</f>
        <v>0</v>
      </c>
      <c r="I15" s="320">
        <f>'PM 2016'!L250</f>
        <v>5</v>
      </c>
      <c r="J15" s="321">
        <f>'PM 2016'!M250</f>
        <v>0</v>
      </c>
      <c r="K15" s="318">
        <f>'PM 2016'!J270</f>
        <v>12</v>
      </c>
      <c r="L15" s="318">
        <f>'PM 2016'!K270</f>
        <v>12</v>
      </c>
      <c r="M15" s="319">
        <f>'PM 2016'!L270</f>
        <v>0</v>
      </c>
      <c r="O15" s="248">
        <f t="shared" si="0"/>
        <v>0</v>
      </c>
    </row>
    <row r="16" spans="1:15" ht="15" thickBot="1" x14ac:dyDescent="0.25">
      <c r="A16" s="241">
        <v>13</v>
      </c>
      <c r="B16" s="246" t="s">
        <v>62</v>
      </c>
      <c r="C16" s="322">
        <f>'PM 2016'!J251</f>
        <v>6</v>
      </c>
      <c r="D16" s="323">
        <f>'PM 2016'!N251</f>
        <v>6</v>
      </c>
      <c r="E16" s="324">
        <f>'PM 2016'!O251</f>
        <v>0</v>
      </c>
      <c r="F16" s="253">
        <f>'PM 2016'!P251</f>
        <v>0</v>
      </c>
      <c r="G16" s="323">
        <f>'PM 2016'!Q251</f>
        <v>6</v>
      </c>
      <c r="H16" s="325">
        <f>'PM 2016'!R251</f>
        <v>0</v>
      </c>
      <c r="I16" s="323">
        <f>'PM 2016'!L251</f>
        <v>2</v>
      </c>
      <c r="J16" s="253">
        <f>'PM 2016'!M251</f>
        <v>4</v>
      </c>
      <c r="K16" s="324">
        <f>'PM 2016'!J271</f>
        <v>11</v>
      </c>
      <c r="L16" s="324">
        <f>'PM 2016'!K271</f>
        <v>4</v>
      </c>
      <c r="M16" s="326">
        <f>'PM 2016'!L271</f>
        <v>7</v>
      </c>
      <c r="O16" s="252">
        <f t="shared" si="0"/>
        <v>0.63636363636363635</v>
      </c>
    </row>
    <row r="17" spans="2:15" ht="18.75" thickBot="1" x14ac:dyDescent="0.3">
      <c r="B17" s="222" t="s">
        <v>83</v>
      </c>
      <c r="C17" s="276">
        <f>SUM(C4:C16)</f>
        <v>145</v>
      </c>
      <c r="D17" s="277">
        <f>SUM(D4:D16)</f>
        <v>145</v>
      </c>
      <c r="E17" s="277">
        <f t="shared" ref="E17:F17" si="1">SUM(E4:E16)</f>
        <v>0</v>
      </c>
      <c r="F17" s="278">
        <f t="shared" si="1"/>
        <v>0</v>
      </c>
      <c r="G17" s="233">
        <f t="shared" ref="G17:M17" si="2">SUM(G4:G16)</f>
        <v>141</v>
      </c>
      <c r="H17" s="234">
        <f>SUM(H4:H16)</f>
        <v>4</v>
      </c>
      <c r="I17" s="233">
        <f t="shared" si="2"/>
        <v>117</v>
      </c>
      <c r="J17" s="235">
        <f t="shared" si="2"/>
        <v>28</v>
      </c>
      <c r="K17" s="238">
        <f t="shared" si="2"/>
        <v>211</v>
      </c>
      <c r="L17" s="228">
        <f t="shared" si="2"/>
        <v>148</v>
      </c>
      <c r="M17" s="239">
        <f t="shared" si="2"/>
        <v>63</v>
      </c>
      <c r="O17" s="250">
        <f>M17/K17</f>
        <v>0.29857819905213268</v>
      </c>
    </row>
    <row r="18" spans="2:15" ht="5.25" customHeight="1" thickBot="1" x14ac:dyDescent="0.25"/>
    <row r="19" spans="2:15" ht="16.5" thickBot="1" x14ac:dyDescent="0.3">
      <c r="B19" s="120" t="s">
        <v>570</v>
      </c>
      <c r="C19" s="247">
        <f>'PM 2016'!N1</f>
        <v>42643</v>
      </c>
    </row>
  </sheetData>
  <mergeCells count="8">
    <mergeCell ref="I2:J2"/>
    <mergeCell ref="G2:H2"/>
    <mergeCell ref="B1:J1"/>
    <mergeCell ref="K1:M1"/>
    <mergeCell ref="K2:M2"/>
    <mergeCell ref="C2:C3"/>
    <mergeCell ref="B2:B3"/>
    <mergeCell ref="D2:F2"/>
  </mergeCells>
  <conditionalFormatting sqref="F3">
    <cfRule type="cellIs" dxfId="6" priority="5" operator="equal">
      <formula>"Oportunidad de mejora"</formula>
    </cfRule>
    <cfRule type="cellIs" dxfId="5" priority="6" operator="equal">
      <formula>"Recomendación"</formula>
    </cfRule>
    <cfRule type="cellIs" dxfId="4" priority="7" operator="equal">
      <formula>"No Conformidad"</formula>
    </cfRule>
  </conditionalFormatting>
  <conditionalFormatting sqref="L3:M3">
    <cfRule type="cellIs" dxfId="3" priority="3" operator="equal">
      <formula>"Cerrada"</formula>
    </cfRule>
    <cfRule type="cellIs" dxfId="2" priority="4" operator="equal">
      <formula>"Abierta"</formula>
    </cfRule>
  </conditionalFormatting>
  <conditionalFormatting sqref="I3:J3">
    <cfRule type="cellIs" dxfId="1" priority="1" operator="equal">
      <formula>"Hallazgo Cerrado"</formula>
    </cfRule>
    <cfRule type="cellIs" dxfId="0" priority="2" operator="equal">
      <formula>"Hallazgo Abierto"</formula>
    </cfRule>
  </conditionalFormatting>
  <pageMargins left="0.51181102362204722" right="0.43307086614173229" top="1.1023622047244095" bottom="0.74803149606299213" header="0.31496062992125984" footer="0.31496062992125984"/>
  <pageSetup scale="78" orientation="landscape" r:id="rId1"/>
  <headerFooter>
    <oddHeader>&amp;L&amp;G&amp;C&amp;"Arial Black,Normal"&amp;12Seguimiento consolidado Plan de Mejoramiento por procesos.
Caja de la Vivienda Popular
Control Interno</oddHeader>
    <oddFooter>&amp;L&amp;A&amp;R&amp;F</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Parametros</vt:lpstr>
      <vt:lpstr>PM FORMATO V1 Mar 2014</vt:lpstr>
      <vt:lpstr>PM 2016</vt:lpstr>
      <vt:lpstr>Resumen Vig2016</vt:lpstr>
      <vt:lpstr>'PM 2016'!Área_de_impresión</vt:lpstr>
      <vt:lpstr>'Resumen Vig2016'!Área_de_impresión</vt:lpstr>
      <vt:lpstr>Auditores</vt:lpstr>
      <vt:lpstr>Proceso</vt:lpstr>
      <vt:lpstr>'PM 2016'!Títulos_a_imprimir</vt:lpstr>
      <vt:lpstr>'PM FORMATO V1 Mar 2014'!Títulos_a_imprimir</vt:lpstr>
    </vt:vector>
  </TitlesOfParts>
  <Company>Caja de la Vivienda Popular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Mejoramiento</dc:title>
  <dc:creator>CVP Control Interno</dc:creator>
  <cp:keywords>Seguimiento Plan de Mejoramiento</cp:keywords>
  <cp:lastModifiedBy>Claudia Marcela García</cp:lastModifiedBy>
  <cp:lastPrinted>2016-09-23T14:06:08Z</cp:lastPrinted>
  <dcterms:created xsi:type="dcterms:W3CDTF">2012-12-10T14:26:22Z</dcterms:created>
  <dcterms:modified xsi:type="dcterms:W3CDTF">2016-12-07T16:43:47Z</dcterms:modified>
</cp:coreProperties>
</file>