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serv-cv11\calidad\20. CONSOLIDADO PLANES DE MEJORAMIENTO\PROCESOS\2017\"/>
    </mc:Choice>
  </mc:AlternateContent>
  <bookViews>
    <workbookView xWindow="0" yWindow="0" windowWidth="10500" windowHeight="7200" firstSheet="2" activeTab="7"/>
  </bookViews>
  <sheets>
    <sheet name="Parametros" sheetId="16" state="hidden" r:id="rId1"/>
    <sheet name="PM FORMATO V1 Mar 2014" sheetId="17" state="hidden" r:id="rId2"/>
    <sheet name="recibo PM" sheetId="11" r:id="rId3"/>
    <sheet name="ControlCambiosHerra" sheetId="22" r:id="rId4"/>
    <sheet name="PM 2017" sheetId="18" r:id="rId5"/>
    <sheet name="coherencia" sheetId="20" r:id="rId6"/>
    <sheet name="HyRsinplan" sheetId="21" r:id="rId7"/>
    <sheet name="Resumen Vig2017" sheetId="23" r:id="rId8"/>
  </sheets>
  <externalReferences>
    <externalReference r:id="rId9"/>
  </externalReferences>
  <definedNames>
    <definedName name="_xlnm._FilterDatabase" localSheetId="6" hidden="1">HyRsinplan!$A$3:$K$36</definedName>
    <definedName name="_xlnm._FilterDatabase" localSheetId="4" hidden="1">'PM 2017'!$A$3:$Y$333</definedName>
    <definedName name="_xlnm._FilterDatabase" localSheetId="1" hidden="1">'PM FORMATO V1 Mar 2014'!$A$3:$R$129</definedName>
    <definedName name="Administración_de_la_Información">'PM 2017'!$B$231</definedName>
    <definedName name="_xlnm.Print_Area" localSheetId="4">'PM 2017'!$A$1:$T$315</definedName>
    <definedName name="_xlnm.Print_Area" localSheetId="7">'Resumen Vig2017'!$A$1:$M$19</definedName>
    <definedName name="Auditores">Parametros!$E$2:$E$15</definedName>
    <definedName name="Estado">'[1]LISTAS SOPORTE'!$A$2:$A$3</definedName>
    <definedName name="Proceso">Parametros!$A$2:$A$14</definedName>
    <definedName name="Procesos">#REF!</definedName>
    <definedName name="_xlnm.Print_Titles" localSheetId="4">'PM 2017'!$A:$B,'PM 2017'!$1:$3</definedName>
    <definedName name="_xlnm.Print_Titles" localSheetId="1">'PM FORMATO V1 Mar 2014'!$A:$B,'PM FORMATO V1 Mar 2014'!$1:$3</definedName>
    <definedName name="_xlnm.Print_Titles" localSheetId="2">'recibo PM'!$1:$1</definedName>
  </definedNames>
  <calcPr calcId="171027"/>
</workbook>
</file>

<file path=xl/calcChain.xml><?xml version="1.0" encoding="utf-8"?>
<calcChain xmlns="http://schemas.openxmlformats.org/spreadsheetml/2006/main">
  <c r="W260" i="18" l="1"/>
  <c r="W261" i="18"/>
  <c r="W262" i="18"/>
  <c r="W263" i="18"/>
  <c r="W264" i="18"/>
  <c r="W265" i="18"/>
  <c r="W266" i="18"/>
  <c r="W267" i="18"/>
  <c r="W268" i="18"/>
  <c r="W269" i="18"/>
  <c r="W270" i="18"/>
  <c r="W271" i="18"/>
  <c r="W274" i="18"/>
  <c r="W275" i="18"/>
  <c r="W276" i="18"/>
  <c r="W277" i="18"/>
  <c r="W278" i="18"/>
  <c r="W279" i="18"/>
  <c r="W280" i="18"/>
  <c r="W281" i="18"/>
  <c r="W282" i="18"/>
  <c r="W283" i="18"/>
  <c r="W284" i="18"/>
  <c r="W285" i="18"/>
  <c r="W286" i="18"/>
  <c r="W287" i="18"/>
  <c r="W288" i="18"/>
  <c r="W289" i="18"/>
  <c r="U291" i="18"/>
  <c r="U292" i="18"/>
  <c r="U293" i="18"/>
  <c r="U294" i="18"/>
  <c r="U295" i="18"/>
  <c r="U297" i="18"/>
  <c r="U236" i="18"/>
  <c r="U237" i="18"/>
  <c r="U238" i="18"/>
  <c r="U239" i="18"/>
  <c r="U240" i="18"/>
  <c r="U241" i="18"/>
  <c r="V241" i="18" s="1"/>
  <c r="U242" i="18"/>
  <c r="V242" i="18" s="1"/>
  <c r="U243" i="18"/>
  <c r="V243" i="18" s="1"/>
  <c r="U244" i="18"/>
  <c r="U245" i="18"/>
  <c r="V245" i="18" s="1"/>
  <c r="U246" i="18"/>
  <c r="U247" i="18"/>
  <c r="U248" i="18"/>
  <c r="U249" i="18"/>
  <c r="U250" i="18"/>
  <c r="U251" i="18"/>
  <c r="U252" i="18"/>
  <c r="V252" i="18" s="1"/>
  <c r="U253" i="18"/>
  <c r="U254" i="18"/>
  <c r="U255" i="18"/>
  <c r="U256" i="18"/>
  <c r="U257" i="18"/>
  <c r="U258" i="18"/>
  <c r="U259" i="18"/>
  <c r="U260" i="18"/>
  <c r="U261" i="18"/>
  <c r="U262" i="18"/>
  <c r="U263" i="18"/>
  <c r="U264" i="18"/>
  <c r="U265" i="18"/>
  <c r="U266" i="18"/>
  <c r="U267" i="18"/>
  <c r="U268" i="18"/>
  <c r="U269" i="18"/>
  <c r="U270" i="18"/>
  <c r="U271" i="18"/>
  <c r="V271" i="18" s="1"/>
  <c r="U274" i="18"/>
  <c r="V274" i="18" s="1"/>
  <c r="U275" i="18"/>
  <c r="V275" i="18" s="1"/>
  <c r="U276" i="18"/>
  <c r="V276" i="18" s="1"/>
  <c r="U277" i="18"/>
  <c r="V277" i="18" s="1"/>
  <c r="U278" i="18"/>
  <c r="V278" i="18" s="1"/>
  <c r="U279" i="18"/>
  <c r="V279" i="18" s="1"/>
  <c r="U280" i="18"/>
  <c r="V280" i="18" s="1"/>
  <c r="U281" i="18"/>
  <c r="V281" i="18" s="1"/>
  <c r="U282" i="18"/>
  <c r="V282" i="18" s="1"/>
  <c r="U283" i="18"/>
  <c r="V283" i="18" s="1"/>
  <c r="U284" i="18"/>
  <c r="V284" i="18" s="1"/>
  <c r="U285" i="18"/>
  <c r="V285" i="18" s="1"/>
  <c r="U286" i="18"/>
  <c r="V286" i="18" s="1"/>
  <c r="U287" i="18"/>
  <c r="V287" i="18" s="1"/>
  <c r="U288" i="18"/>
  <c r="V288" i="18" s="1"/>
  <c r="U289" i="18"/>
  <c r="V289" i="18" s="1"/>
  <c r="W219" i="18"/>
  <c r="W220" i="18"/>
  <c r="W221" i="18"/>
  <c r="W222" i="18"/>
  <c r="W223" i="18"/>
  <c r="W224" i="18"/>
  <c r="W225" i="18"/>
  <c r="W226" i="18"/>
  <c r="W227" i="18"/>
  <c r="W228" i="18"/>
  <c r="W229" i="18"/>
  <c r="W230" i="18"/>
  <c r="W231" i="18"/>
  <c r="W232" i="18"/>
  <c r="W233" i="18"/>
  <c r="W211" i="18"/>
  <c r="W171" i="18"/>
  <c r="W172" i="18"/>
  <c r="W173" i="18"/>
  <c r="W174" i="18"/>
  <c r="W175" i="18"/>
  <c r="W176" i="18"/>
  <c r="W177" i="18"/>
  <c r="W178" i="18"/>
  <c r="W179" i="18"/>
  <c r="W180" i="18"/>
  <c r="W181" i="18"/>
  <c r="W182" i="18"/>
  <c r="W183" i="18"/>
  <c r="W184" i="18"/>
  <c r="W166" i="18"/>
  <c r="W157" i="18"/>
  <c r="W158" i="18"/>
  <c r="W144" i="18"/>
  <c r="W7" i="18"/>
  <c r="W259" i="18"/>
  <c r="W258" i="18"/>
  <c r="W257" i="18"/>
  <c r="W256" i="18"/>
  <c r="W255" i="18"/>
  <c r="W254" i="18"/>
  <c r="W253" i="18"/>
  <c r="W252" i="18"/>
  <c r="W251" i="18"/>
  <c r="W250" i="18"/>
  <c r="W249" i="18"/>
  <c r="W248" i="18"/>
  <c r="W247" i="18"/>
  <c r="W246" i="18"/>
  <c r="W245" i="18"/>
  <c r="W243" i="18"/>
  <c r="W242" i="18"/>
  <c r="W241" i="18"/>
  <c r="W240" i="18"/>
  <c r="W238" i="18"/>
  <c r="W236" i="18"/>
  <c r="W235" i="18"/>
  <c r="W234" i="18"/>
  <c r="V251" i="18" l="1"/>
  <c r="V250" i="18"/>
  <c r="U298" i="18" l="1"/>
  <c r="U299" i="18"/>
  <c r="U303" i="18"/>
  <c r="U304" i="18"/>
  <c r="U305" i="18"/>
  <c r="U306" i="18"/>
  <c r="V259" i="18"/>
  <c r="V260" i="18"/>
  <c r="V261" i="18"/>
  <c r="V262" i="18"/>
  <c r="V263" i="18"/>
  <c r="V264" i="18"/>
  <c r="V265" i="18"/>
  <c r="V266" i="18"/>
  <c r="V267" i="18"/>
  <c r="V268" i="18"/>
  <c r="V269" i="18"/>
  <c r="V270" i="18"/>
  <c r="V253" i="18"/>
  <c r="V254" i="18"/>
  <c r="V255" i="18"/>
  <c r="V256" i="18"/>
  <c r="V257" i="18"/>
  <c r="V247" i="18"/>
  <c r="V248" i="18"/>
  <c r="V249" i="18"/>
  <c r="V246" i="18"/>
  <c r="U143" i="18"/>
  <c r="U93" i="18"/>
  <c r="U87" i="18"/>
  <c r="U86" i="18"/>
  <c r="U55" i="18"/>
  <c r="U53" i="18"/>
  <c r="U49" i="18"/>
  <c r="U28" i="18"/>
  <c r="U18" i="18"/>
  <c r="U12" i="18"/>
  <c r="U234" i="18" l="1"/>
  <c r="V234" i="18" s="1"/>
  <c r="U235" i="18"/>
  <c r="V235" i="18" s="1"/>
  <c r="V237" i="18"/>
  <c r="V239" i="18"/>
  <c r="V240" i="18"/>
  <c r="U226" i="18"/>
  <c r="V226" i="18" s="1"/>
  <c r="U227" i="18"/>
  <c r="V227" i="18" s="1"/>
  <c r="U228" i="18"/>
  <c r="V228" i="18" s="1"/>
  <c r="U229" i="18"/>
  <c r="V229" i="18" s="1"/>
  <c r="U230" i="18"/>
  <c r="V230" i="18" s="1"/>
  <c r="U231" i="18"/>
  <c r="V231" i="18" s="1"/>
  <c r="U232" i="18"/>
  <c r="V232" i="18" s="1"/>
  <c r="U233" i="18"/>
  <c r="V233" i="18" s="1"/>
  <c r="U222" i="18"/>
  <c r="V222" i="18" s="1"/>
  <c r="U220" i="18"/>
  <c r="V220" i="18" s="1"/>
  <c r="U219" i="18"/>
  <c r="V219" i="18" s="1"/>
  <c r="U211" i="18"/>
  <c r="U176" i="18"/>
  <c r="U172" i="18"/>
  <c r="V172" i="18" s="1"/>
  <c r="U171" i="18"/>
  <c r="V171" i="18" s="1"/>
  <c r="U166" i="18"/>
  <c r="V166" i="18" s="1"/>
  <c r="U164" i="18"/>
  <c r="V164" i="18" s="1"/>
  <c r="U162" i="18"/>
  <c r="U160" i="18"/>
  <c r="U158" i="18"/>
  <c r="U148" i="18"/>
  <c r="U146" i="18"/>
  <c r="U142" i="18"/>
  <c r="U141" i="18"/>
  <c r="U140" i="18"/>
  <c r="U139" i="18"/>
  <c r="U126" i="18"/>
  <c r="U125" i="18"/>
  <c r="U124" i="18"/>
  <c r="U120" i="18"/>
  <c r="U117" i="18"/>
  <c r="U109" i="18"/>
  <c r="U106" i="18"/>
  <c r="U102" i="18"/>
  <c r="U98" i="18"/>
  <c r="U84" i="18"/>
  <c r="U79" i="18"/>
  <c r="U75" i="18"/>
  <c r="U73" i="18"/>
  <c r="U69" i="18"/>
  <c r="U67" i="18"/>
  <c r="U59" i="18"/>
  <c r="U33" i="18"/>
  <c r="A10" i="18" l="1"/>
  <c r="U193" i="18"/>
  <c r="U191" i="18"/>
  <c r="U189" i="18"/>
  <c r="U187" i="18"/>
  <c r="U183" i="18"/>
  <c r="U4" i="18"/>
  <c r="C19" i="23" l="1"/>
  <c r="A175" i="18" l="1"/>
  <c r="K339" i="18" l="1"/>
  <c r="A21" i="18" l="1"/>
  <c r="A22" i="18" s="1"/>
  <c r="A23" i="18" s="1"/>
  <c r="A24" i="18" s="1"/>
  <c r="A25" i="18" s="1"/>
  <c r="A26" i="18" s="1"/>
  <c r="A27" i="18" s="1"/>
  <c r="U174" i="18" l="1"/>
  <c r="V174" i="18" s="1"/>
  <c r="W164" i="18" l="1"/>
  <c r="W162" i="18"/>
  <c r="W160" i="18"/>
  <c r="V160" i="18"/>
  <c r="N325" i="18" l="1"/>
  <c r="U224" i="18" l="1"/>
  <c r="V224" i="18" s="1"/>
  <c r="U223" i="18"/>
  <c r="V223" i="18" s="1"/>
  <c r="U221" i="18"/>
  <c r="V221" i="18" s="1"/>
  <c r="W218" i="18"/>
  <c r="U218" i="18"/>
  <c r="V218" i="18" s="1"/>
  <c r="W217" i="18"/>
  <c r="U217" i="18"/>
  <c r="W216" i="18"/>
  <c r="U216" i="18"/>
  <c r="W215" i="18"/>
  <c r="U215" i="18"/>
  <c r="W214" i="18"/>
  <c r="U214" i="18"/>
  <c r="W213" i="18"/>
  <c r="U213" i="18"/>
  <c r="W212" i="18"/>
  <c r="U212" i="18"/>
  <c r="W206" i="18" l="1"/>
  <c r="U206" i="18"/>
  <c r="V206" i="18" s="1"/>
  <c r="W205" i="18"/>
  <c r="U205" i="18"/>
  <c r="V205" i="18" s="1"/>
  <c r="W204" i="18"/>
  <c r="U204" i="18"/>
  <c r="V204" i="18" s="1"/>
  <c r="W208" i="18" l="1"/>
  <c r="U208" i="18"/>
  <c r="V208" i="18" s="1"/>
  <c r="W210" i="18"/>
  <c r="U210" i="18"/>
  <c r="V210" i="18" s="1"/>
  <c r="W209" i="18"/>
  <c r="U209" i="18"/>
  <c r="V209" i="18" s="1"/>
  <c r="W88" i="18"/>
  <c r="U88" i="18"/>
  <c r="V88" i="18" s="1"/>
  <c r="W87" i="18"/>
  <c r="V87" i="18"/>
  <c r="W86" i="18"/>
  <c r="V86" i="18"/>
  <c r="W89" i="18"/>
  <c r="U89" i="18"/>
  <c r="V89" i="18" s="1"/>
  <c r="W85" i="18"/>
  <c r="U85" i="18"/>
  <c r="V85" i="18" s="1"/>
  <c r="V258" i="18" l="1"/>
  <c r="U225" i="18"/>
  <c r="V225" i="18" s="1"/>
  <c r="W207" i="18"/>
  <c r="U207" i="18"/>
  <c r="V207" i="18" s="1"/>
  <c r="W203" i="18"/>
  <c r="U203" i="18"/>
  <c r="V203" i="18" s="1"/>
  <c r="W202" i="18"/>
  <c r="U202" i="18"/>
  <c r="V202" i="18" s="1"/>
  <c r="W201" i="18"/>
  <c r="U201" i="18"/>
  <c r="V201" i="18" s="1"/>
  <c r="W200" i="18"/>
  <c r="U200" i="18"/>
  <c r="V200" i="18" s="1"/>
  <c r="W199" i="18"/>
  <c r="U199" i="18"/>
  <c r="V199" i="18" s="1"/>
  <c r="W198" i="18"/>
  <c r="U198" i="18"/>
  <c r="V198" i="18" s="1"/>
  <c r="W197" i="18"/>
  <c r="U197" i="18"/>
  <c r="V197" i="18" s="1"/>
  <c r="W196" i="18"/>
  <c r="U196" i="18"/>
  <c r="V196" i="18" s="1"/>
  <c r="Y309" i="18" l="1"/>
  <c r="D339" i="18"/>
  <c r="U178" i="18" l="1"/>
  <c r="V178" i="18" s="1"/>
  <c r="U177" i="18"/>
  <c r="V177" i="18" s="1"/>
  <c r="D346" i="18" l="1"/>
  <c r="D331" i="18"/>
  <c r="W195" i="18"/>
  <c r="U195" i="18"/>
  <c r="V195" i="18" s="1"/>
  <c r="W190" i="18"/>
  <c r="U190" i="18"/>
  <c r="V190" i="18" s="1"/>
  <c r="W80" i="18" l="1"/>
  <c r="U80" i="18"/>
  <c r="V80" i="18" s="1"/>
  <c r="W35" i="18"/>
  <c r="U35" i="18"/>
  <c r="V35" i="18" s="1"/>
  <c r="W34" i="18"/>
  <c r="U34" i="18"/>
  <c r="V34" i="18" s="1"/>
  <c r="W33" i="18"/>
  <c r="V33" i="18"/>
  <c r="W194" i="18" l="1"/>
  <c r="U194" i="18"/>
  <c r="V194" i="18" s="1"/>
  <c r="W192" i="18"/>
  <c r="U192" i="18"/>
  <c r="V192" i="18" s="1"/>
  <c r="W193" i="18"/>
  <c r="V193" i="18"/>
  <c r="W191" i="18"/>
  <c r="V191" i="18"/>
  <c r="W189" i="18"/>
  <c r="V189" i="18"/>
  <c r="W188" i="18"/>
  <c r="U188" i="18"/>
  <c r="V188" i="18" s="1"/>
  <c r="W187" i="18"/>
  <c r="V187" i="18"/>
  <c r="W186" i="18" l="1"/>
  <c r="U186" i="18"/>
  <c r="V186" i="18" s="1"/>
  <c r="W185" i="18"/>
  <c r="U185" i="18"/>
  <c r="V185" i="18" s="1"/>
  <c r="U184" i="18"/>
  <c r="V184" i="18" s="1"/>
  <c r="V183" i="18"/>
  <c r="U182" i="18"/>
  <c r="V182" i="18" s="1"/>
  <c r="U181" i="18"/>
  <c r="V181" i="18" s="1"/>
  <c r="D313" i="18" l="1"/>
  <c r="E342" i="18" l="1"/>
  <c r="D342" i="18"/>
  <c r="U180" i="18"/>
  <c r="V180" i="18" s="1"/>
  <c r="W153" i="18"/>
  <c r="U153" i="18"/>
  <c r="V153" i="18" s="1"/>
  <c r="W152" i="18"/>
  <c r="U152" i="18"/>
  <c r="V152" i="18" s="1"/>
  <c r="W151" i="18"/>
  <c r="U151" i="18"/>
  <c r="V151" i="18" s="1"/>
  <c r="W150" i="18"/>
  <c r="U150" i="18"/>
  <c r="V150" i="18" s="1"/>
  <c r="W149" i="18"/>
  <c r="U149" i="18"/>
  <c r="V149" i="18" s="1"/>
  <c r="W148" i="18"/>
  <c r="V148" i="18"/>
  <c r="W147" i="18"/>
  <c r="U147" i="18"/>
  <c r="V147" i="18" s="1"/>
  <c r="W146" i="18"/>
  <c r="V146" i="18"/>
  <c r="W76" i="18"/>
  <c r="U76" i="18"/>
  <c r="V76" i="18" s="1"/>
  <c r="W75" i="18"/>
  <c r="V75" i="18"/>
  <c r="W168" i="18"/>
  <c r="U168" i="18"/>
  <c r="V168" i="18" s="1"/>
  <c r="W167" i="18"/>
  <c r="U167" i="18"/>
  <c r="V167" i="18" s="1"/>
  <c r="W165" i="18"/>
  <c r="U165" i="18"/>
  <c r="V165" i="18" s="1"/>
  <c r="W163" i="18"/>
  <c r="U163" i="18"/>
  <c r="V163" i="18" s="1"/>
  <c r="W161" i="18"/>
  <c r="U161" i="18"/>
  <c r="V161" i="18" s="1"/>
  <c r="W159" i="18"/>
  <c r="U159" i="18"/>
  <c r="V159" i="18" s="1"/>
  <c r="U157" i="18"/>
  <c r="V157" i="18" s="1"/>
  <c r="W156" i="18"/>
  <c r="U156" i="18"/>
  <c r="V156" i="18" s="1"/>
  <c r="W155" i="18"/>
  <c r="U155" i="18"/>
  <c r="V155" i="18" s="1"/>
  <c r="W154" i="18"/>
  <c r="U154" i="18"/>
  <c r="V154" i="18" s="1"/>
  <c r="W170" i="18"/>
  <c r="U170" i="18"/>
  <c r="V170" i="18" s="1"/>
  <c r="W169" i="18"/>
  <c r="U169" i="18"/>
  <c r="V169" i="18" s="1"/>
  <c r="U173" i="18"/>
  <c r="V173" i="18" s="1"/>
  <c r="P331" i="18"/>
  <c r="F16" i="23" s="1"/>
  <c r="P330" i="18"/>
  <c r="F15" i="23" s="1"/>
  <c r="P329" i="18"/>
  <c r="F14" i="23" s="1"/>
  <c r="P328" i="18"/>
  <c r="F13" i="23" s="1"/>
  <c r="P327" i="18"/>
  <c r="F12" i="23" s="1"/>
  <c r="P326" i="18"/>
  <c r="F11" i="23" s="1"/>
  <c r="P325" i="18"/>
  <c r="F10" i="23" s="1"/>
  <c r="P324" i="18"/>
  <c r="F9" i="23" s="1"/>
  <c r="P323" i="18"/>
  <c r="F8" i="23" s="1"/>
  <c r="P322" i="18"/>
  <c r="F7" i="23" s="1"/>
  <c r="P321" i="18"/>
  <c r="F6" i="23" s="1"/>
  <c r="P320" i="18"/>
  <c r="F5" i="23" s="1"/>
  <c r="P319" i="18"/>
  <c r="F4" i="23" s="1"/>
  <c r="I331" i="18"/>
  <c r="I330" i="18"/>
  <c r="I329" i="18"/>
  <c r="I328" i="18"/>
  <c r="I327" i="18"/>
  <c r="I326" i="18"/>
  <c r="I325" i="18"/>
  <c r="I324" i="18"/>
  <c r="I323" i="18"/>
  <c r="I322" i="18"/>
  <c r="I321" i="18"/>
  <c r="I320" i="18"/>
  <c r="I319" i="18"/>
  <c r="L313" i="18"/>
  <c r="L312" i="18"/>
  <c r="L311" i="18"/>
  <c r="D330" i="18"/>
  <c r="D329" i="18"/>
  <c r="D328" i="18"/>
  <c r="D327" i="18"/>
  <c r="D326" i="18"/>
  <c r="D325" i="18"/>
  <c r="D324" i="18"/>
  <c r="D323" i="18"/>
  <c r="D322" i="18"/>
  <c r="D321" i="18"/>
  <c r="D320" i="18"/>
  <c r="D319" i="18"/>
  <c r="E326" i="18"/>
  <c r="E319" i="18"/>
  <c r="U179" i="18"/>
  <c r="V179" i="18" s="1"/>
  <c r="V176" i="18"/>
  <c r="U175" i="18"/>
  <c r="V175" i="18" s="1"/>
  <c r="W145" i="18"/>
  <c r="U145" i="18"/>
  <c r="V145" i="18" s="1"/>
  <c r="U144" i="18"/>
  <c r="V144" i="18" s="1"/>
  <c r="K313" i="18"/>
  <c r="J313" i="18"/>
  <c r="I313" i="18"/>
  <c r="V141" i="18"/>
  <c r="V143" i="18"/>
  <c r="W141" i="18"/>
  <c r="W139" i="18"/>
  <c r="W142" i="18"/>
  <c r="W116" i="18"/>
  <c r="U116" i="18"/>
  <c r="V116" i="18" s="1"/>
  <c r="W83" i="18"/>
  <c r="U83" i="18"/>
  <c r="V83" i="18" s="1"/>
  <c r="K347" i="18"/>
  <c r="L12" i="23" s="1"/>
  <c r="L347" i="18"/>
  <c r="M12" i="23" s="1"/>
  <c r="K348" i="18"/>
  <c r="L13" i="23" s="1"/>
  <c r="L348" i="18"/>
  <c r="M13" i="23" s="1"/>
  <c r="K349" i="18"/>
  <c r="L14" i="23" s="1"/>
  <c r="L349" i="18"/>
  <c r="M14" i="23" s="1"/>
  <c r="K350" i="18"/>
  <c r="L15" i="23" s="1"/>
  <c r="L350" i="18"/>
  <c r="M15" i="23" s="1"/>
  <c r="K351" i="18"/>
  <c r="L16" i="23" s="1"/>
  <c r="L351" i="18"/>
  <c r="M16" i="23" s="1"/>
  <c r="K346" i="18"/>
  <c r="L11" i="23" s="1"/>
  <c r="L346" i="18"/>
  <c r="M11" i="23" s="1"/>
  <c r="E346" i="18"/>
  <c r="F346" i="18"/>
  <c r="G346" i="18"/>
  <c r="C326" i="18"/>
  <c r="F326" i="18"/>
  <c r="G326" i="18"/>
  <c r="L326" i="18"/>
  <c r="I11" i="23" s="1"/>
  <c r="M326" i="18"/>
  <c r="J11" i="23" s="1"/>
  <c r="N326" i="18"/>
  <c r="D11" i="23" s="1"/>
  <c r="O326" i="18"/>
  <c r="E11" i="23" s="1"/>
  <c r="Q326" i="18"/>
  <c r="G11" i="23" s="1"/>
  <c r="R326" i="18"/>
  <c r="H11" i="23" s="1"/>
  <c r="W140" i="18"/>
  <c r="A5" i="2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W30" i="18"/>
  <c r="U30" i="18"/>
  <c r="V30" i="18" s="1"/>
  <c r="W29" i="18"/>
  <c r="U29" i="18"/>
  <c r="V29" i="18" s="1"/>
  <c r="W28" i="18"/>
  <c r="V28" i="18"/>
  <c r="W123" i="18"/>
  <c r="U123" i="18"/>
  <c r="W122" i="18"/>
  <c r="U122" i="18"/>
  <c r="W121" i="18"/>
  <c r="U121" i="18"/>
  <c r="W125" i="18"/>
  <c r="W124" i="18"/>
  <c r="W143" i="18"/>
  <c r="W133" i="18"/>
  <c r="U133" i="18"/>
  <c r="V133" i="18" s="1"/>
  <c r="W132" i="18"/>
  <c r="U132" i="18"/>
  <c r="V132" i="18" s="1"/>
  <c r="W131" i="18"/>
  <c r="U131" i="18"/>
  <c r="V131" i="18" s="1"/>
  <c r="W82" i="18"/>
  <c r="U82" i="18"/>
  <c r="V82" i="18" s="1"/>
  <c r="U130" i="18"/>
  <c r="V130" i="18" s="1"/>
  <c r="U129" i="18"/>
  <c r="V129" i="18" s="1"/>
  <c r="U128" i="18"/>
  <c r="U127" i="18"/>
  <c r="W130" i="18"/>
  <c r="W129" i="18"/>
  <c r="W128" i="18"/>
  <c r="W127" i="18"/>
  <c r="W126" i="18"/>
  <c r="W117" i="18"/>
  <c r="V117" i="18"/>
  <c r="U134" i="18"/>
  <c r="V134" i="18" s="1"/>
  <c r="U135" i="18"/>
  <c r="V135" i="18" s="1"/>
  <c r="U136" i="18"/>
  <c r="V136" i="18" s="1"/>
  <c r="U137" i="18"/>
  <c r="V137" i="18" s="1"/>
  <c r="U138" i="18"/>
  <c r="V138" i="18" s="1"/>
  <c r="W138" i="18"/>
  <c r="W137" i="18"/>
  <c r="W136" i="18"/>
  <c r="W135" i="18"/>
  <c r="W134" i="18"/>
  <c r="W114" i="18"/>
  <c r="U114" i="18"/>
  <c r="V114" i="18" s="1"/>
  <c r="W113" i="18"/>
  <c r="U113" i="18"/>
  <c r="W112" i="18"/>
  <c r="U112" i="18"/>
  <c r="V112" i="18" s="1"/>
  <c r="W111" i="18"/>
  <c r="U111" i="18"/>
  <c r="V111" i="18" s="1"/>
  <c r="W110" i="18"/>
  <c r="U110" i="18"/>
  <c r="V110" i="18" s="1"/>
  <c r="W108" i="18"/>
  <c r="U108" i="18"/>
  <c r="V108" i="18" s="1"/>
  <c r="W107" i="18"/>
  <c r="U107" i="18"/>
  <c r="V107" i="18" s="1"/>
  <c r="W105" i="18"/>
  <c r="U105" i="18"/>
  <c r="V105" i="18" s="1"/>
  <c r="W104" i="18"/>
  <c r="U104" i="18"/>
  <c r="V104" i="18" s="1"/>
  <c r="W103" i="18"/>
  <c r="U103" i="18"/>
  <c r="V103" i="18" s="1"/>
  <c r="W59" i="18"/>
  <c r="V59" i="18"/>
  <c r="W63" i="18"/>
  <c r="U63" i="18"/>
  <c r="V63" i="18" s="1"/>
  <c r="W62" i="18"/>
  <c r="U62" i="18"/>
  <c r="V62" i="18" s="1"/>
  <c r="W61" i="18"/>
  <c r="U61" i="18"/>
  <c r="V61" i="18" s="1"/>
  <c r="W60" i="18"/>
  <c r="U60" i="18"/>
  <c r="V60" i="18" s="1"/>
  <c r="W99" i="18"/>
  <c r="U99" i="18"/>
  <c r="V99" i="18" s="1"/>
  <c r="W119" i="18"/>
  <c r="U119" i="18"/>
  <c r="V119" i="18" s="1"/>
  <c r="W118" i="18"/>
  <c r="U118" i="18"/>
  <c r="V118" i="18" s="1"/>
  <c r="W96" i="18"/>
  <c r="U96" i="18"/>
  <c r="V96" i="18" s="1"/>
  <c r="W95" i="18"/>
  <c r="U95" i="18"/>
  <c r="V95" i="18" s="1"/>
  <c r="W94" i="18"/>
  <c r="U94" i="18"/>
  <c r="V94" i="18" s="1"/>
  <c r="W93" i="18"/>
  <c r="V93" i="18"/>
  <c r="W91" i="18"/>
  <c r="U91" i="18"/>
  <c r="V91" i="18" s="1"/>
  <c r="W120" i="18"/>
  <c r="V120" i="18"/>
  <c r="W115" i="18"/>
  <c r="U115" i="18"/>
  <c r="V115" i="18" s="1"/>
  <c r="W109" i="18"/>
  <c r="V109" i="18"/>
  <c r="W106" i="18"/>
  <c r="V106" i="18"/>
  <c r="W102" i="18"/>
  <c r="V102" i="18"/>
  <c r="W101" i="18"/>
  <c r="U101" i="18"/>
  <c r="V101" i="18" s="1"/>
  <c r="W100" i="18"/>
  <c r="U100" i="18"/>
  <c r="V100" i="18" s="1"/>
  <c r="W98" i="18"/>
  <c r="V98" i="18"/>
  <c r="W97" i="18"/>
  <c r="U97" i="18"/>
  <c r="V97" i="18" s="1"/>
  <c r="W92" i="18"/>
  <c r="U92" i="18"/>
  <c r="V92" i="18" s="1"/>
  <c r="W90" i="18"/>
  <c r="U90" i="18"/>
  <c r="V90" i="18" s="1"/>
  <c r="W84" i="18"/>
  <c r="V84" i="18"/>
  <c r="U7" i="18"/>
  <c r="V7" i="18" s="1"/>
  <c r="W74" i="18"/>
  <c r="U74" i="18"/>
  <c r="V74" i="18" s="1"/>
  <c r="W73" i="18"/>
  <c r="V73" i="18"/>
  <c r="W72" i="18"/>
  <c r="U72" i="18"/>
  <c r="V72" i="18" s="1"/>
  <c r="W71" i="18"/>
  <c r="U71" i="18"/>
  <c r="V71" i="18" s="1"/>
  <c r="W70" i="18"/>
  <c r="U70" i="18"/>
  <c r="V70" i="18" s="1"/>
  <c r="W69" i="18"/>
  <c r="V69" i="18"/>
  <c r="W68" i="18"/>
  <c r="U68" i="18"/>
  <c r="V68" i="18" s="1"/>
  <c r="W67" i="18"/>
  <c r="V67" i="18"/>
  <c r="W66" i="18"/>
  <c r="U66" i="18"/>
  <c r="V66" i="18" s="1"/>
  <c r="W65" i="18"/>
  <c r="U65" i="18"/>
  <c r="V65" i="18" s="1"/>
  <c r="W78" i="18"/>
  <c r="U78" i="18"/>
  <c r="V78" i="18" s="1"/>
  <c r="W81" i="18"/>
  <c r="U81" i="18"/>
  <c r="V81" i="18" s="1"/>
  <c r="W79" i="18"/>
  <c r="W77" i="18"/>
  <c r="U77" i="18"/>
  <c r="V77" i="18" s="1"/>
  <c r="G331" i="18"/>
  <c r="F331" i="18"/>
  <c r="E331" i="18"/>
  <c r="C331" i="18"/>
  <c r="G330" i="18"/>
  <c r="F330" i="18"/>
  <c r="E330" i="18"/>
  <c r="C330" i="18"/>
  <c r="G329" i="18"/>
  <c r="F329" i="18"/>
  <c r="E329" i="18"/>
  <c r="C329" i="18"/>
  <c r="G328" i="18"/>
  <c r="F328" i="18"/>
  <c r="E328" i="18"/>
  <c r="C328" i="18"/>
  <c r="G327" i="18"/>
  <c r="F327" i="18"/>
  <c r="E327" i="18"/>
  <c r="C327" i="18"/>
  <c r="G325" i="18"/>
  <c r="F325" i="18"/>
  <c r="E325" i="18"/>
  <c r="C325" i="18"/>
  <c r="G324" i="18"/>
  <c r="F324" i="18"/>
  <c r="E324" i="18"/>
  <c r="C324" i="18"/>
  <c r="G323" i="18"/>
  <c r="F323" i="18"/>
  <c r="E323" i="18"/>
  <c r="C323" i="18"/>
  <c r="G322" i="18"/>
  <c r="F322" i="18"/>
  <c r="E322" i="18"/>
  <c r="C322" i="18"/>
  <c r="G321" i="18"/>
  <c r="F321" i="18"/>
  <c r="E321" i="18"/>
  <c r="C321" i="18"/>
  <c r="E320" i="18"/>
  <c r="C320" i="18"/>
  <c r="G319" i="18"/>
  <c r="F319" i="18"/>
  <c r="C319" i="18"/>
  <c r="R331" i="18"/>
  <c r="H16" i="23" s="1"/>
  <c r="Q331" i="18"/>
  <c r="G16" i="23" s="1"/>
  <c r="O331" i="18"/>
  <c r="E16" i="23" s="1"/>
  <c r="N331" i="18"/>
  <c r="D16" i="23" s="1"/>
  <c r="R330" i="18"/>
  <c r="H15" i="23" s="1"/>
  <c r="Q330" i="18"/>
  <c r="G15" i="23" s="1"/>
  <c r="O330" i="18"/>
  <c r="E15" i="23" s="1"/>
  <c r="N330" i="18"/>
  <c r="D15" i="23" s="1"/>
  <c r="R329" i="18"/>
  <c r="H14" i="23" s="1"/>
  <c r="Q329" i="18"/>
  <c r="G14" i="23" s="1"/>
  <c r="O329" i="18"/>
  <c r="E14" i="23" s="1"/>
  <c r="N329" i="18"/>
  <c r="D14" i="23" s="1"/>
  <c r="R328" i="18"/>
  <c r="H13" i="23" s="1"/>
  <c r="Q328" i="18"/>
  <c r="G13" i="23" s="1"/>
  <c r="O328" i="18"/>
  <c r="E13" i="23" s="1"/>
  <c r="N328" i="18"/>
  <c r="D13" i="23" s="1"/>
  <c r="R327" i="18"/>
  <c r="H12" i="23" s="1"/>
  <c r="Q327" i="18"/>
  <c r="G12" i="23" s="1"/>
  <c r="O327" i="18"/>
  <c r="E12" i="23" s="1"/>
  <c r="N327" i="18"/>
  <c r="D12" i="23" s="1"/>
  <c r="R325" i="18"/>
  <c r="H10" i="23" s="1"/>
  <c r="Q325" i="18"/>
  <c r="G10" i="23" s="1"/>
  <c r="O325" i="18"/>
  <c r="E10" i="23" s="1"/>
  <c r="D10" i="23"/>
  <c r="R324" i="18"/>
  <c r="H9" i="23" s="1"/>
  <c r="Q324" i="18"/>
  <c r="G9" i="23" s="1"/>
  <c r="O324" i="18"/>
  <c r="E9" i="23" s="1"/>
  <c r="N324" i="18"/>
  <c r="D9" i="23" s="1"/>
  <c r="R323" i="18"/>
  <c r="H8" i="23" s="1"/>
  <c r="Q323" i="18"/>
  <c r="G8" i="23" s="1"/>
  <c r="O323" i="18"/>
  <c r="E8" i="23" s="1"/>
  <c r="N323" i="18"/>
  <c r="D8" i="23" s="1"/>
  <c r="R322" i="18"/>
  <c r="H7" i="23" s="1"/>
  <c r="Q322" i="18"/>
  <c r="G7" i="23" s="1"/>
  <c r="O322" i="18"/>
  <c r="E7" i="23" s="1"/>
  <c r="N322" i="18"/>
  <c r="D7" i="23" s="1"/>
  <c r="R321" i="18"/>
  <c r="H6" i="23" s="1"/>
  <c r="Q321" i="18"/>
  <c r="G6" i="23" s="1"/>
  <c r="O321" i="18"/>
  <c r="E6" i="23" s="1"/>
  <c r="N321" i="18"/>
  <c r="D6" i="23" s="1"/>
  <c r="M331" i="18"/>
  <c r="J16" i="23" s="1"/>
  <c r="L331" i="18"/>
  <c r="I16" i="23" s="1"/>
  <c r="M330" i="18"/>
  <c r="J15" i="23" s="1"/>
  <c r="L330" i="18"/>
  <c r="I15" i="23" s="1"/>
  <c r="M329" i="18"/>
  <c r="J14" i="23" s="1"/>
  <c r="L329" i="18"/>
  <c r="I14" i="23" s="1"/>
  <c r="M328" i="18"/>
  <c r="J13" i="23" s="1"/>
  <c r="L328" i="18"/>
  <c r="I13" i="23" s="1"/>
  <c r="M327" i="18"/>
  <c r="J12" i="23" s="1"/>
  <c r="L327" i="18"/>
  <c r="I12" i="23" s="1"/>
  <c r="M325" i="18"/>
  <c r="J10" i="23" s="1"/>
  <c r="L325" i="18"/>
  <c r="I10" i="23" s="1"/>
  <c r="M324" i="18"/>
  <c r="J9" i="23" s="1"/>
  <c r="L324" i="18"/>
  <c r="I9" i="23" s="1"/>
  <c r="M323" i="18"/>
  <c r="J8" i="23" s="1"/>
  <c r="L323" i="18"/>
  <c r="I8" i="23" s="1"/>
  <c r="M322" i="18"/>
  <c r="J7" i="23" s="1"/>
  <c r="L322" i="18"/>
  <c r="I7" i="23" s="1"/>
  <c r="M321" i="18"/>
  <c r="J6" i="23" s="1"/>
  <c r="L321" i="18"/>
  <c r="I6" i="23" s="1"/>
  <c r="R320" i="18"/>
  <c r="H5" i="23" s="1"/>
  <c r="Q320" i="18"/>
  <c r="G5" i="23" s="1"/>
  <c r="O320" i="18"/>
  <c r="E5" i="23" s="1"/>
  <c r="N320" i="18"/>
  <c r="D5" i="23" s="1"/>
  <c r="M320" i="18"/>
  <c r="J5" i="23" s="1"/>
  <c r="L320" i="18"/>
  <c r="I5" i="23" s="1"/>
  <c r="R319" i="18"/>
  <c r="H4" i="23" s="1"/>
  <c r="Q319" i="18"/>
  <c r="G4" i="23" s="1"/>
  <c r="O319" i="18"/>
  <c r="E4" i="23" s="1"/>
  <c r="N319" i="18"/>
  <c r="D4" i="23" s="1"/>
  <c r="M319" i="18"/>
  <c r="J4" i="23" s="1"/>
  <c r="L319" i="18"/>
  <c r="I4" i="23" s="1"/>
  <c r="G351" i="18"/>
  <c r="F351" i="18"/>
  <c r="G350" i="18"/>
  <c r="F350" i="18"/>
  <c r="G349" i="18"/>
  <c r="F349" i="18"/>
  <c r="G348" i="18"/>
  <c r="F348" i="18"/>
  <c r="G347" i="18"/>
  <c r="F347" i="18"/>
  <c r="G345" i="18"/>
  <c r="F345" i="18"/>
  <c r="G344" i="18"/>
  <c r="F344" i="18"/>
  <c r="G343" i="18"/>
  <c r="F343" i="18"/>
  <c r="G342" i="18"/>
  <c r="F342" i="18"/>
  <c r="G341" i="18"/>
  <c r="F341" i="18"/>
  <c r="G340" i="18"/>
  <c r="F340" i="18"/>
  <c r="E351" i="18"/>
  <c r="E350" i="18"/>
  <c r="D350" i="18"/>
  <c r="E349" i="18"/>
  <c r="E348" i="18"/>
  <c r="D348" i="18"/>
  <c r="E347" i="18"/>
  <c r="E345" i="18"/>
  <c r="D345" i="18"/>
  <c r="E344" i="18"/>
  <c r="E343" i="18"/>
  <c r="D343" i="18"/>
  <c r="E341" i="18"/>
  <c r="D341" i="18"/>
  <c r="E340" i="18"/>
  <c r="D351" i="18"/>
  <c r="D349" i="18"/>
  <c r="D347" i="18"/>
  <c r="D344" i="18"/>
  <c r="D340" i="18"/>
  <c r="V4" i="18"/>
  <c r="U5" i="18"/>
  <c r="V5" i="18" s="1"/>
  <c r="U6" i="18"/>
  <c r="V6" i="18" s="1"/>
  <c r="U8" i="18"/>
  <c r="V8" i="18" s="1"/>
  <c r="U9" i="18"/>
  <c r="V9" i="18" s="1"/>
  <c r="U10" i="18"/>
  <c r="V10" i="18" s="1"/>
  <c r="U11" i="18"/>
  <c r="V11" i="18" s="1"/>
  <c r="V12" i="18"/>
  <c r="U13" i="18"/>
  <c r="V13" i="18" s="1"/>
  <c r="U14" i="18"/>
  <c r="V14" i="18" s="1"/>
  <c r="U15" i="18"/>
  <c r="V15" i="18" s="1"/>
  <c r="U16" i="18"/>
  <c r="V16" i="18" s="1"/>
  <c r="U17" i="18"/>
  <c r="V17" i="18" s="1"/>
  <c r="V18" i="18"/>
  <c r="U19" i="18"/>
  <c r="U20" i="18"/>
  <c r="V20" i="18" s="1"/>
  <c r="U21" i="18"/>
  <c r="V21" i="18" s="1"/>
  <c r="U22" i="18"/>
  <c r="V22" i="18" s="1"/>
  <c r="U23" i="18"/>
  <c r="V23" i="18" s="1"/>
  <c r="U24" i="18"/>
  <c r="V24" i="18" s="1"/>
  <c r="U25" i="18"/>
  <c r="V25" i="18" s="1"/>
  <c r="U26" i="18"/>
  <c r="V26" i="18" s="1"/>
  <c r="U27" i="18"/>
  <c r="V27" i="18" s="1"/>
  <c r="U31" i="18"/>
  <c r="V31" i="18" s="1"/>
  <c r="U32" i="18"/>
  <c r="V32" i="18" s="1"/>
  <c r="U36" i="18"/>
  <c r="V36" i="18" s="1"/>
  <c r="U37" i="18"/>
  <c r="V37" i="18" s="1"/>
  <c r="U38" i="18"/>
  <c r="V38" i="18" s="1"/>
  <c r="U39" i="18"/>
  <c r="V39" i="18" s="1"/>
  <c r="U40" i="18"/>
  <c r="V40" i="18" s="1"/>
  <c r="U41" i="18"/>
  <c r="V41" i="18" s="1"/>
  <c r="U42" i="18"/>
  <c r="V42" i="18" s="1"/>
  <c r="U43" i="18"/>
  <c r="V43" i="18" s="1"/>
  <c r="U44" i="18"/>
  <c r="V44" i="18" s="1"/>
  <c r="U45" i="18"/>
  <c r="V45" i="18" s="1"/>
  <c r="U46" i="18"/>
  <c r="V46" i="18" s="1"/>
  <c r="U47" i="18"/>
  <c r="V47" i="18" s="1"/>
  <c r="U48" i="18"/>
  <c r="V48" i="18" s="1"/>
  <c r="V49" i="18"/>
  <c r="U50" i="18"/>
  <c r="V50" i="18" s="1"/>
  <c r="U51" i="18"/>
  <c r="V51" i="18" s="1"/>
  <c r="U52" i="18"/>
  <c r="V52" i="18" s="1"/>
  <c r="V53" i="18"/>
  <c r="U54" i="18"/>
  <c r="V54" i="18" s="1"/>
  <c r="V55" i="18"/>
  <c r="U56" i="18"/>
  <c r="V56" i="18" s="1"/>
  <c r="U57" i="18"/>
  <c r="V57" i="18" s="1"/>
  <c r="U58" i="18"/>
  <c r="V58" i="18" s="1"/>
  <c r="U64" i="18"/>
  <c r="V64" i="18" s="1"/>
  <c r="F320" i="18"/>
  <c r="G320" i="18"/>
  <c r="G339" i="18"/>
  <c r="F339" i="18"/>
  <c r="E339" i="18"/>
  <c r="W64" i="18"/>
  <c r="W58" i="18"/>
  <c r="W57" i="18"/>
  <c r="W56" i="18"/>
  <c r="W55" i="18"/>
  <c r="W54" i="18"/>
  <c r="W53" i="18"/>
  <c r="W52" i="18"/>
  <c r="W51" i="18"/>
  <c r="W50" i="18"/>
  <c r="W49" i="18"/>
  <c r="W48" i="18"/>
  <c r="W47" i="18"/>
  <c r="W46" i="18"/>
  <c r="W45" i="18"/>
  <c r="W44" i="18"/>
  <c r="W43" i="18"/>
  <c r="W42" i="18"/>
  <c r="W41" i="18"/>
  <c r="W40" i="18"/>
  <c r="W39" i="18"/>
  <c r="W38" i="18"/>
  <c r="W37" i="18"/>
  <c r="W36" i="18"/>
  <c r="W32" i="18"/>
  <c r="W31" i="18"/>
  <c r="W27" i="18"/>
  <c r="W26" i="18"/>
  <c r="W25" i="18"/>
  <c r="W24" i="18"/>
  <c r="W23" i="18"/>
  <c r="W22" i="18"/>
  <c r="W21" i="18"/>
  <c r="W20" i="18"/>
  <c r="W19" i="18"/>
  <c r="W18" i="18"/>
  <c r="W17" i="18"/>
  <c r="W16" i="18"/>
  <c r="W15" i="18"/>
  <c r="W14" i="18"/>
  <c r="W13" i="18"/>
  <c r="W12" i="18"/>
  <c r="W11" i="18"/>
  <c r="W10" i="18"/>
  <c r="W9" i="18"/>
  <c r="W8" i="18"/>
  <c r="W6" i="18"/>
  <c r="W5" i="18"/>
  <c r="W4" i="18"/>
  <c r="K340" i="18"/>
  <c r="L5" i="23" s="1"/>
  <c r="L345" i="18"/>
  <c r="M10" i="23" s="1"/>
  <c r="L344" i="18"/>
  <c r="M9" i="23" s="1"/>
  <c r="L343" i="18"/>
  <c r="M8" i="23" s="1"/>
  <c r="L342" i="18"/>
  <c r="M7" i="23" s="1"/>
  <c r="L341" i="18"/>
  <c r="M6" i="23" s="1"/>
  <c r="L340" i="18"/>
  <c r="M5" i="23" s="1"/>
  <c r="K345" i="18"/>
  <c r="L10" i="23" s="1"/>
  <c r="K344" i="18"/>
  <c r="L9" i="23" s="1"/>
  <c r="K343" i="18"/>
  <c r="L8" i="23" s="1"/>
  <c r="K342" i="18"/>
  <c r="L7" i="23" s="1"/>
  <c r="K341" i="18"/>
  <c r="L6" i="23" s="1"/>
  <c r="L339" i="18"/>
  <c r="L4" i="23"/>
  <c r="D311" i="18"/>
  <c r="D316" i="18"/>
  <c r="K312" i="18"/>
  <c r="J312" i="18"/>
  <c r="I312" i="18"/>
  <c r="F312" i="18"/>
  <c r="D312" i="18"/>
  <c r="K311" i="18"/>
  <c r="J311" i="18"/>
  <c r="I311" i="18"/>
  <c r="F311" i="18"/>
  <c r="J144" i="17"/>
  <c r="I144" i="17"/>
  <c r="H144" i="17"/>
  <c r="E144" i="17"/>
  <c r="D144" i="17"/>
  <c r="C144" i="17"/>
  <c r="J143" i="17"/>
  <c r="I143" i="17"/>
  <c r="H143" i="17"/>
  <c r="E143" i="17"/>
  <c r="D143" i="17"/>
  <c r="C143" i="17"/>
  <c r="J142" i="17"/>
  <c r="I142" i="17"/>
  <c r="H142" i="17"/>
  <c r="E142" i="17"/>
  <c r="D142" i="17"/>
  <c r="C142" i="17"/>
  <c r="J141" i="17"/>
  <c r="I141" i="17"/>
  <c r="H141" i="17"/>
  <c r="E141" i="17"/>
  <c r="D141" i="17"/>
  <c r="C141" i="17"/>
  <c r="J140" i="17"/>
  <c r="I140" i="17"/>
  <c r="H140" i="17"/>
  <c r="E140" i="17"/>
  <c r="D140" i="17"/>
  <c r="C140" i="17"/>
  <c r="J139" i="17"/>
  <c r="I139" i="17"/>
  <c r="H139" i="17"/>
  <c r="E139" i="17"/>
  <c r="D139" i="17"/>
  <c r="C139" i="17"/>
  <c r="J138" i="17"/>
  <c r="I138" i="17"/>
  <c r="H138" i="17"/>
  <c r="E138" i="17"/>
  <c r="D138" i="17"/>
  <c r="C138" i="17"/>
  <c r="J137" i="17"/>
  <c r="I137" i="17"/>
  <c r="H137" i="17"/>
  <c r="E137" i="17"/>
  <c r="D137" i="17"/>
  <c r="C137" i="17"/>
  <c r="J136" i="17"/>
  <c r="I136" i="17"/>
  <c r="H136" i="17"/>
  <c r="E136" i="17"/>
  <c r="D136" i="17"/>
  <c r="C136" i="17"/>
  <c r="J135" i="17"/>
  <c r="I135" i="17"/>
  <c r="H135" i="17"/>
  <c r="E135" i="17"/>
  <c r="D135" i="17"/>
  <c r="C135" i="17"/>
  <c r="J134" i="17"/>
  <c r="I134" i="17"/>
  <c r="H134" i="17"/>
  <c r="E134" i="17"/>
  <c r="D134" i="17"/>
  <c r="C134" i="17"/>
  <c r="J133" i="17"/>
  <c r="I133" i="17"/>
  <c r="H133" i="17"/>
  <c r="E133" i="17"/>
  <c r="D133" i="17"/>
  <c r="C133" i="17"/>
  <c r="K127" i="17"/>
  <c r="J127" i="17"/>
  <c r="I127" i="17"/>
  <c r="H127" i="17"/>
  <c r="F127" i="17"/>
  <c r="E127" i="17"/>
  <c r="D127" i="17"/>
  <c r="C127" i="17"/>
  <c r="K126" i="17"/>
  <c r="J126" i="17"/>
  <c r="I126" i="17"/>
  <c r="H126" i="17"/>
  <c r="F126" i="17"/>
  <c r="E126" i="17"/>
  <c r="D126" i="17"/>
  <c r="C126" i="17"/>
  <c r="K125" i="17"/>
  <c r="J125" i="17"/>
  <c r="I125" i="17"/>
  <c r="H125" i="17"/>
  <c r="F125" i="17"/>
  <c r="E125" i="17"/>
  <c r="D125" i="17"/>
  <c r="C125" i="17"/>
  <c r="K124" i="17"/>
  <c r="J124" i="17"/>
  <c r="I124" i="17"/>
  <c r="H124" i="17"/>
  <c r="F124" i="17"/>
  <c r="E124" i="17"/>
  <c r="D124" i="17"/>
  <c r="C124" i="17"/>
  <c r="K123" i="17"/>
  <c r="J123" i="17"/>
  <c r="I123" i="17"/>
  <c r="H123" i="17"/>
  <c r="F123" i="17"/>
  <c r="E123" i="17"/>
  <c r="D123" i="17"/>
  <c r="C123" i="17"/>
  <c r="K122" i="17"/>
  <c r="J122" i="17"/>
  <c r="I122" i="17"/>
  <c r="H122" i="17"/>
  <c r="F122" i="17"/>
  <c r="E122" i="17"/>
  <c r="D122" i="17"/>
  <c r="C122" i="17"/>
  <c r="P121" i="17"/>
  <c r="O121" i="17"/>
  <c r="N121" i="17"/>
  <c r="K121" i="17"/>
  <c r="J121" i="17"/>
  <c r="I121" i="17"/>
  <c r="H121" i="17"/>
  <c r="F121" i="17"/>
  <c r="E121" i="17"/>
  <c r="D121" i="17"/>
  <c r="C121" i="17"/>
  <c r="P120" i="17"/>
  <c r="O120" i="17"/>
  <c r="N120" i="17"/>
  <c r="K120" i="17"/>
  <c r="J120" i="17"/>
  <c r="I120" i="17"/>
  <c r="H120" i="17"/>
  <c r="F120" i="17"/>
  <c r="E120" i="17"/>
  <c r="D120" i="17"/>
  <c r="C120" i="17"/>
  <c r="K119" i="17"/>
  <c r="J119" i="17"/>
  <c r="I119" i="17"/>
  <c r="H119" i="17"/>
  <c r="F119" i="17"/>
  <c r="E119" i="17"/>
  <c r="D119" i="17"/>
  <c r="C119" i="17"/>
  <c r="K118" i="17"/>
  <c r="J118" i="17"/>
  <c r="I118" i="17"/>
  <c r="H118" i="17"/>
  <c r="F118" i="17"/>
  <c r="E118" i="17"/>
  <c r="D118" i="17"/>
  <c r="C118" i="17"/>
  <c r="K117" i="17"/>
  <c r="J117" i="17"/>
  <c r="I117" i="17"/>
  <c r="H117" i="17"/>
  <c r="F117" i="17"/>
  <c r="E117" i="17"/>
  <c r="D117" i="17"/>
  <c r="C117" i="17"/>
  <c r="K116" i="17"/>
  <c r="J116" i="17"/>
  <c r="I116" i="17"/>
  <c r="H116" i="17"/>
  <c r="F116" i="17"/>
  <c r="E116" i="17"/>
  <c r="D116" i="17"/>
  <c r="C116" i="17"/>
  <c r="P114" i="17"/>
  <c r="O114" i="17"/>
  <c r="N114" i="17"/>
  <c r="P113" i="17"/>
  <c r="O113" i="17"/>
  <c r="N113" i="17"/>
  <c r="C113" i="17"/>
  <c r="Q109" i="17"/>
  <c r="P109" i="17"/>
  <c r="O109" i="17"/>
  <c r="N109" i="17"/>
  <c r="J109" i="17"/>
  <c r="I109" i="17"/>
  <c r="H109" i="17"/>
  <c r="F109" i="17"/>
  <c r="D109" i="17"/>
  <c r="Q108" i="17"/>
  <c r="P108" i="17"/>
  <c r="O108" i="17"/>
  <c r="N108" i="17"/>
  <c r="J108" i="17"/>
  <c r="I108" i="17"/>
  <c r="H108" i="17"/>
  <c r="F108" i="17"/>
  <c r="D108" i="17"/>
  <c r="R103" i="17"/>
  <c r="Q103" i="17"/>
  <c r="R102" i="17"/>
  <c r="Q102" i="17"/>
  <c r="R101" i="17"/>
  <c r="Q101" i="17"/>
  <c r="R100" i="17"/>
  <c r="Q100" i="17"/>
  <c r="R99" i="17"/>
  <c r="Q99" i="17"/>
  <c r="R98" i="17"/>
  <c r="Q98" i="17"/>
  <c r="R97" i="17"/>
  <c r="Q97" i="17"/>
  <c r="R96" i="17"/>
  <c r="Q96" i="17"/>
  <c r="R95" i="17"/>
  <c r="Q95" i="17"/>
  <c r="R94" i="17"/>
  <c r="Q94" i="17"/>
  <c r="R93" i="17"/>
  <c r="Q93" i="17"/>
  <c r="R92" i="17"/>
  <c r="Q92" i="17"/>
  <c r="R91" i="17"/>
  <c r="Q91" i="17"/>
  <c r="R90" i="17"/>
  <c r="Q90" i="17"/>
  <c r="R89" i="17"/>
  <c r="Q89" i="17"/>
  <c r="R88" i="17"/>
  <c r="Q88" i="17"/>
  <c r="R87" i="17"/>
  <c r="Q87" i="17"/>
  <c r="R86" i="17"/>
  <c r="Q86" i="17"/>
  <c r="R85" i="17"/>
  <c r="Q85" i="17"/>
  <c r="R84" i="17"/>
  <c r="Q84" i="17"/>
  <c r="R83" i="17"/>
  <c r="Q83" i="17"/>
  <c r="R82" i="17"/>
  <c r="Q82" i="17"/>
  <c r="R81" i="17"/>
  <c r="Q81" i="17"/>
  <c r="R80" i="17"/>
  <c r="Q80" i="17"/>
  <c r="R79" i="17"/>
  <c r="Q79" i="17"/>
  <c r="R78" i="17"/>
  <c r="Q78" i="17"/>
  <c r="R77" i="17"/>
  <c r="Q77" i="17"/>
  <c r="R76" i="17"/>
  <c r="Q76" i="17"/>
  <c r="R75" i="17"/>
  <c r="Q75" i="17"/>
  <c r="R74" i="17"/>
  <c r="Q74" i="17"/>
  <c r="R73" i="17"/>
  <c r="Q73" i="17"/>
  <c r="R72" i="17"/>
  <c r="Q72" i="17"/>
  <c r="R71" i="17"/>
  <c r="Q71" i="17"/>
  <c r="R70" i="17"/>
  <c r="Q70" i="17"/>
  <c r="R69" i="17"/>
  <c r="Q69" i="17"/>
  <c r="R68" i="17"/>
  <c r="Q68" i="17"/>
  <c r="R67" i="17"/>
  <c r="Q67" i="17"/>
  <c r="R66" i="17"/>
  <c r="Q66" i="17"/>
  <c r="R65" i="17"/>
  <c r="Q65" i="17"/>
  <c r="R64" i="17"/>
  <c r="Q64" i="17"/>
  <c r="R63" i="17"/>
  <c r="Q63" i="17"/>
  <c r="R62" i="17"/>
  <c r="Q62" i="17"/>
  <c r="R61" i="17"/>
  <c r="Q61" i="17"/>
  <c r="R60" i="17"/>
  <c r="Q60" i="17"/>
  <c r="R59" i="17"/>
  <c r="Q59" i="17"/>
  <c r="R58" i="17"/>
  <c r="Q58" i="17"/>
  <c r="R57" i="17"/>
  <c r="Q57" i="17"/>
  <c r="R56" i="17"/>
  <c r="Q56" i="17"/>
  <c r="R55" i="17"/>
  <c r="Q55" i="17"/>
  <c r="R54" i="17"/>
  <c r="Q54" i="17"/>
  <c r="R53" i="17"/>
  <c r="Q53" i="17"/>
  <c r="R52" i="17"/>
  <c r="Q52" i="17"/>
  <c r="R51" i="17"/>
  <c r="Q51" i="17"/>
  <c r="R50" i="17"/>
  <c r="Q50" i="17"/>
  <c r="R49" i="17"/>
  <c r="Q49" i="17"/>
  <c r="R48" i="17"/>
  <c r="Q48" i="17"/>
  <c r="R47" i="17"/>
  <c r="Q47" i="17"/>
  <c r="R46" i="17"/>
  <c r="Q46" i="17"/>
  <c r="R45" i="17"/>
  <c r="Q45" i="17"/>
  <c r="R44" i="17"/>
  <c r="Q44" i="17"/>
  <c r="R43" i="17"/>
  <c r="Q43" i="17"/>
  <c r="R42" i="17"/>
  <c r="Q42" i="17"/>
  <c r="R41" i="17"/>
  <c r="Q41" i="17"/>
  <c r="R40" i="17"/>
  <c r="Q40" i="17"/>
  <c r="R39" i="17"/>
  <c r="Q39" i="17"/>
  <c r="R38" i="17"/>
  <c r="Q38" i="17"/>
  <c r="R37" i="17"/>
  <c r="Q37" i="17"/>
  <c r="R36" i="17"/>
  <c r="Q36" i="17"/>
  <c r="R35" i="17"/>
  <c r="Q35" i="17"/>
  <c r="R34" i="17"/>
  <c r="Q34" i="17"/>
  <c r="R33" i="17"/>
  <c r="Q33" i="17"/>
  <c r="R32" i="17"/>
  <c r="Q32" i="17"/>
  <c r="R31" i="17"/>
  <c r="Q31" i="17"/>
  <c r="R30" i="17"/>
  <c r="Q30" i="17"/>
  <c r="R29" i="17"/>
  <c r="Q29" i="17"/>
  <c r="R28" i="17"/>
  <c r="Q28" i="17"/>
  <c r="R27" i="17"/>
  <c r="Q27" i="17"/>
  <c r="R26" i="17"/>
  <c r="Q26" i="17"/>
  <c r="R25" i="17"/>
  <c r="Q25" i="17"/>
  <c r="R24" i="17"/>
  <c r="Q24" i="17"/>
  <c r="R23" i="17"/>
  <c r="Q23" i="17"/>
  <c r="R22" i="17"/>
  <c r="Q22" i="17"/>
  <c r="R21" i="17"/>
  <c r="Q21" i="17"/>
  <c r="R20" i="17"/>
  <c r="Q20" i="17"/>
  <c r="R19" i="17"/>
  <c r="Q19" i="17"/>
  <c r="R18" i="17"/>
  <c r="Q18" i="17"/>
  <c r="R17" i="17"/>
  <c r="Q17" i="17"/>
  <c r="R16" i="17"/>
  <c r="Q16" i="17"/>
  <c r="R15" i="17"/>
  <c r="Q15" i="17"/>
  <c r="R14" i="17"/>
  <c r="Q14" i="17"/>
  <c r="R13" i="17"/>
  <c r="Q13" i="17"/>
  <c r="R12" i="17"/>
  <c r="Q12" i="17"/>
  <c r="R11" i="17"/>
  <c r="Q11" i="17"/>
  <c r="R10" i="17"/>
  <c r="Q10" i="17"/>
  <c r="R9" i="17"/>
  <c r="Q9" i="17"/>
  <c r="R8" i="17"/>
  <c r="Q8" i="17"/>
  <c r="R7" i="17"/>
  <c r="Q7" i="17"/>
  <c r="R6" i="17"/>
  <c r="Q6" i="17"/>
  <c r="R5" i="17"/>
  <c r="Q5" i="17"/>
  <c r="R4" i="17"/>
  <c r="Q4" i="17"/>
  <c r="I145" i="17" l="1"/>
  <c r="C145" i="17"/>
  <c r="F135" i="17" s="1"/>
  <c r="M4" i="23"/>
  <c r="M17" i="23" s="1"/>
  <c r="L352" i="18"/>
  <c r="D110" i="17"/>
  <c r="J110" i="17"/>
  <c r="P115" i="17"/>
  <c r="C128" i="17"/>
  <c r="N122" i="17"/>
  <c r="H110" i="17"/>
  <c r="F110" i="17"/>
  <c r="N110" i="17"/>
  <c r="N115" i="17"/>
  <c r="O122" i="17"/>
  <c r="E128" i="17"/>
  <c r="J128" i="17"/>
  <c r="P122" i="17"/>
  <c r="J339" i="18"/>
  <c r="K4" i="23" s="1"/>
  <c r="I128" i="17"/>
  <c r="F128" i="17"/>
  <c r="D145" i="17"/>
  <c r="E145" i="17"/>
  <c r="F139" i="17"/>
  <c r="R108" i="17"/>
  <c r="D128" i="17"/>
  <c r="H145" i="17"/>
  <c r="K142" i="17" s="1"/>
  <c r="I110" i="17"/>
  <c r="H111" i="17" s="1"/>
  <c r="O115" i="17"/>
  <c r="H128" i="17"/>
  <c r="R109" i="17"/>
  <c r="H17" i="23"/>
  <c r="D332" i="18"/>
  <c r="L17" i="23"/>
  <c r="I17" i="23"/>
  <c r="G17" i="23"/>
  <c r="J17" i="23"/>
  <c r="G332" i="18"/>
  <c r="J331" i="18"/>
  <c r="C16" i="23" s="1"/>
  <c r="J346" i="18"/>
  <c r="K11" i="23" s="1"/>
  <c r="O11" i="23" s="1"/>
  <c r="A37" i="18"/>
  <c r="A38" i="18" s="1"/>
  <c r="A39" i="18" s="1"/>
  <c r="A40" i="18" s="1"/>
  <c r="A41" i="18" s="1"/>
  <c r="A43" i="18" s="1"/>
  <c r="A44" i="18" s="1"/>
  <c r="A45" i="18" s="1"/>
  <c r="F17" i="23"/>
  <c r="D17" i="23"/>
  <c r="D314" i="18"/>
  <c r="E17" i="23"/>
  <c r="I332" i="18"/>
  <c r="F143" i="17"/>
  <c r="F144" i="17"/>
  <c r="J145" i="17"/>
  <c r="K138" i="17"/>
  <c r="K140" i="17"/>
  <c r="F134" i="17"/>
  <c r="K128" i="17"/>
  <c r="F138" i="17"/>
  <c r="K133" i="17"/>
  <c r="K135" i="17"/>
  <c r="K137" i="17"/>
  <c r="K143" i="17"/>
  <c r="J319" i="18"/>
  <c r="C4" i="23" s="1"/>
  <c r="J329" i="18"/>
  <c r="C14" i="23" s="1"/>
  <c r="J322" i="18"/>
  <c r="C7" i="23" s="1"/>
  <c r="J324" i="18"/>
  <c r="C9" i="23" s="1"/>
  <c r="P332" i="18"/>
  <c r="J327" i="18"/>
  <c r="C12" i="23" s="1"/>
  <c r="Q332" i="18"/>
  <c r="C332" i="18"/>
  <c r="J321" i="18"/>
  <c r="C6" i="23" s="1"/>
  <c r="J323" i="18"/>
  <c r="C8" i="23" s="1"/>
  <c r="J325" i="18"/>
  <c r="C10" i="23" s="1"/>
  <c r="J328" i="18"/>
  <c r="C13" i="23" s="1"/>
  <c r="J330" i="18"/>
  <c r="C15" i="23" s="1"/>
  <c r="J326" i="18"/>
  <c r="C11" i="23" s="1"/>
  <c r="G352" i="18"/>
  <c r="J341" i="18"/>
  <c r="K6" i="23" s="1"/>
  <c r="O6" i="23" s="1"/>
  <c r="J348" i="18"/>
  <c r="K13" i="23" s="1"/>
  <c r="O13" i="23" s="1"/>
  <c r="O332" i="18"/>
  <c r="E332" i="18"/>
  <c r="F332" i="18"/>
  <c r="J342" i="18"/>
  <c r="K7" i="23" s="1"/>
  <c r="O7" i="23" s="1"/>
  <c r="L314" i="18"/>
  <c r="J344" i="18"/>
  <c r="K9" i="23" s="1"/>
  <c r="O9" i="23" s="1"/>
  <c r="M332" i="18"/>
  <c r="R332" i="18"/>
  <c r="K314" i="18"/>
  <c r="J320" i="18"/>
  <c r="C5" i="23" s="1"/>
  <c r="J343" i="18"/>
  <c r="K8" i="23" s="1"/>
  <c r="O8" i="23" s="1"/>
  <c r="J350" i="18"/>
  <c r="K15" i="23" s="1"/>
  <c r="O15" i="23" s="1"/>
  <c r="J349" i="18"/>
  <c r="K14" i="23" s="1"/>
  <c r="O14" i="23" s="1"/>
  <c r="J351" i="18"/>
  <c r="K16" i="23" s="1"/>
  <c r="O16" i="23" s="1"/>
  <c r="F314" i="18"/>
  <c r="J314" i="18"/>
  <c r="J347" i="18"/>
  <c r="K12" i="23" s="1"/>
  <c r="O12" i="23" s="1"/>
  <c r="J345" i="18"/>
  <c r="K10" i="23" s="1"/>
  <c r="O10" i="23" s="1"/>
  <c r="L332" i="18"/>
  <c r="N332" i="18"/>
  <c r="I314" i="18"/>
  <c r="J340" i="18"/>
  <c r="K5" i="23" s="1"/>
  <c r="O5" i="23" s="1"/>
  <c r="D352" i="18"/>
  <c r="E352" i="18"/>
  <c r="K352" i="18"/>
  <c r="F352" i="18"/>
  <c r="K141" i="17" l="1"/>
  <c r="K136" i="17"/>
  <c r="F136" i="17"/>
  <c r="F133" i="17"/>
  <c r="K139" i="17"/>
  <c r="K144" i="17"/>
  <c r="K134" i="17"/>
  <c r="K145" i="17" s="1"/>
  <c r="F142" i="17"/>
  <c r="R110" i="17"/>
  <c r="F129" i="17"/>
  <c r="F140" i="17"/>
  <c r="N116" i="17"/>
  <c r="N123" i="17"/>
  <c r="F141" i="17"/>
  <c r="F137" i="17"/>
  <c r="O4" i="23"/>
  <c r="A46" i="18"/>
  <c r="A47" i="18" s="1"/>
  <c r="A48" i="18" s="1"/>
  <c r="K325" i="18"/>
  <c r="G333" i="18"/>
  <c r="K17" i="23"/>
  <c r="O17" i="23" s="1"/>
  <c r="C17" i="23"/>
  <c r="J332" i="18"/>
  <c r="J315" i="18"/>
  <c r="J352" i="18"/>
  <c r="L333" i="18"/>
  <c r="G353" i="18"/>
  <c r="F145" i="17" l="1"/>
  <c r="A65" i="18"/>
  <c r="A66" i="18" s="1"/>
  <c r="A72" i="18" s="1"/>
  <c r="A77" i="18" s="1"/>
  <c r="A78" i="18" s="1"/>
  <c r="A81" i="18" s="1"/>
  <c r="A49" i="18"/>
  <c r="A180" i="18"/>
  <c r="A82" i="18" l="1"/>
  <c r="A83" i="18" s="1"/>
  <c r="A89" i="18" s="1"/>
  <c r="A90" i="18" s="1"/>
  <c r="A91" i="18" s="1"/>
  <c r="A92" i="18" s="1"/>
  <c r="A97" i="18" s="1"/>
  <c r="A100" i="18" s="1"/>
  <c r="A101" i="18" s="1"/>
  <c r="A116" i="18" s="1"/>
  <c r="A119" i="18" s="1"/>
  <c r="A181" i="18"/>
  <c r="A129" i="18" l="1"/>
  <c r="A130" i="18" s="1"/>
  <c r="A131" i="18" s="1"/>
  <c r="A132" i="18" s="1"/>
  <c r="A133" i="18" s="1"/>
  <c r="A134" i="18" s="1"/>
  <c r="A135" i="18" s="1"/>
  <c r="A136" i="18" s="1"/>
  <c r="A137" i="18" s="1"/>
  <c r="A138" i="18" s="1"/>
  <c r="A189" i="18"/>
  <c r="A196" i="18" s="1"/>
  <c r="A197" i="18" s="1"/>
  <c r="A198" i="18" s="1"/>
  <c r="A199" i="18" s="1"/>
  <c r="A139" i="18" l="1"/>
  <c r="A140" i="18" s="1"/>
  <c r="A143" i="18" s="1"/>
  <c r="A200" i="18"/>
  <c r="A201" i="18" s="1"/>
  <c r="A202" i="18" s="1"/>
  <c r="A203" i="18" s="1"/>
  <c r="A144" i="18" l="1"/>
  <c r="A145" i="18" s="1"/>
  <c r="A204" i="18"/>
  <c r="A205" i="18" s="1"/>
  <c r="A206" i="18" s="1"/>
  <c r="A207" i="18" s="1"/>
  <c r="A208" i="18" s="1"/>
  <c r="A209" i="18" s="1"/>
  <c r="A210" i="18" s="1"/>
  <c r="A211" i="18" s="1"/>
  <c r="A213" i="18" s="1"/>
  <c r="A214" i="18" l="1"/>
  <c r="A215" i="18" s="1"/>
  <c r="A216" i="18" s="1"/>
  <c r="A217" i="18" s="1"/>
  <c r="A218" i="18" s="1"/>
  <c r="A219" i="18" s="1"/>
  <c r="A222" i="18" s="1"/>
  <c r="A224" i="18" s="1"/>
  <c r="A225" i="18" s="1"/>
  <c r="A226" i="18" s="1"/>
  <c r="A257" i="18" s="1"/>
  <c r="A258" i="18" s="1"/>
  <c r="A259" i="18" s="1"/>
  <c r="A261" i="18" s="1"/>
  <c r="A262" i="18" s="1"/>
  <c r="A265" i="18" s="1"/>
  <c r="A267" i="18" s="1"/>
  <c r="A270" i="18" s="1"/>
  <c r="A271" i="18" s="1"/>
  <c r="A272" i="18" s="1"/>
  <c r="A274" i="18" s="1"/>
  <c r="A283" i="18" s="1"/>
  <c r="A285" i="18" s="1"/>
  <c r="A287" i="18" s="1"/>
  <c r="A298" i="18" s="1"/>
  <c r="A299" i="18" s="1"/>
  <c r="A303" i="18" l="1"/>
  <c r="A304" i="18" s="1"/>
  <c r="A305" i="18" s="1"/>
  <c r="A300" i="18"/>
  <c r="A301" i="18" s="1"/>
  <c r="A302" i="18" s="1"/>
  <c r="A154" i="18"/>
  <c r="A155" i="18" s="1"/>
  <c r="A156" i="18" s="1"/>
  <c r="A157" i="18" s="1"/>
  <c r="A158" i="18" l="1"/>
  <c r="A160" i="18" s="1"/>
  <c r="A162" i="18" s="1"/>
  <c r="A164" i="18" s="1"/>
  <c r="A166" i="18" s="1"/>
  <c r="A170" i="18" l="1"/>
  <c r="A168" i="18"/>
</calcChain>
</file>

<file path=xl/comments1.xml><?xml version="1.0" encoding="utf-8"?>
<comments xmlns="http://schemas.openxmlformats.org/spreadsheetml/2006/main">
  <authors>
    <author>MARIA HELENA PEDRAZA</author>
    <author>CXHormaza</author>
  </authors>
  <commentList>
    <comment ref="I3" authorId="0" shapeId="0">
      <text>
        <r>
          <rPr>
            <b/>
            <sz val="9"/>
            <color indexed="81"/>
            <rFont val="Tahoma"/>
            <family val="2"/>
          </rPr>
          <t>Control Interno:</t>
        </r>
        <r>
          <rPr>
            <sz val="9"/>
            <color indexed="81"/>
            <rFont val="Tahoma"/>
            <family val="2"/>
          </rPr>
          <t xml:space="preserve">
Puede Combinarse, igual que la columna L, Presenta Plan de Mejoramiento</t>
        </r>
      </text>
    </comment>
    <comment ref="L32" authorId="0" shape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P120" authorId="1" shapeId="0">
      <text>
        <r>
          <rPr>
            <b/>
            <sz val="9"/>
            <color indexed="81"/>
            <rFont val="Tahoma"/>
            <family val="2"/>
          </rPr>
          <t>CXHormaza:</t>
        </r>
        <r>
          <rPr>
            <sz val="9"/>
            <color indexed="81"/>
            <rFont val="Tahoma"/>
            <family val="2"/>
          </rPr>
          <t xml:space="preserve">
Se ajusta fecha cambiando la inicial del 31 de marzo 2016.</t>
        </r>
      </text>
    </comment>
    <comment ref="O125" authorId="1" shapeId="0">
      <text>
        <r>
          <rPr>
            <b/>
            <sz val="9"/>
            <color indexed="81"/>
            <rFont val="Tahoma"/>
            <family val="2"/>
          </rPr>
          <t>CXHormaza:</t>
        </r>
        <r>
          <rPr>
            <sz val="9"/>
            <color indexed="81"/>
            <rFont val="Tahoma"/>
            <family val="2"/>
          </rPr>
          <t xml:space="preserve">
Se ajusto la numeración de la acción de 5 a 6</t>
        </r>
      </text>
    </comment>
    <comment ref="P169" authorId="0" shapeId="0">
      <text>
        <r>
          <rPr>
            <b/>
            <sz val="9"/>
            <color indexed="81"/>
            <rFont val="Tahoma"/>
            <family val="2"/>
          </rPr>
          <t>MARIA HELENA PEDRAZA:</t>
        </r>
        <r>
          <rPr>
            <sz val="9"/>
            <color indexed="81"/>
            <rFont val="Tahoma"/>
            <family val="2"/>
          </rPr>
          <t xml:space="preserve">
Se amplia fecha al 30may2016</t>
        </r>
      </text>
    </comment>
    <comment ref="P170" authorId="0" shapeId="0">
      <text>
        <r>
          <rPr>
            <b/>
            <sz val="9"/>
            <color indexed="81"/>
            <rFont val="Tahoma"/>
            <family val="2"/>
          </rPr>
          <t>MARIA HELENA PEDRAZA:</t>
        </r>
        <r>
          <rPr>
            <sz val="9"/>
            <color indexed="81"/>
            <rFont val="Tahoma"/>
            <family val="2"/>
          </rPr>
          <t xml:space="preserve">
Se amplia fecha al 30may2016</t>
        </r>
      </text>
    </comment>
  </commentList>
</comments>
</file>

<file path=xl/comments2.xml><?xml version="1.0" encoding="utf-8"?>
<comments xmlns="http://schemas.openxmlformats.org/spreadsheetml/2006/main">
  <authors>
    <author>Gloria Marcela Luna Riaño</author>
  </authors>
  <commentList>
    <comment ref="H4" authorId="0" shapeId="0">
      <text>
        <r>
          <rPr>
            <b/>
            <sz val="9"/>
            <color indexed="81"/>
            <rFont val="Tahoma"/>
            <family val="2"/>
          </rPr>
          <t>Gloria Marcela Luna Riaño:</t>
        </r>
        <r>
          <rPr>
            <sz val="9"/>
            <color indexed="81"/>
            <rFont val="Tahoma"/>
            <family val="2"/>
          </rPr>
          <t xml:space="preserve">
Oportunidad de mejora</t>
        </r>
      </text>
    </comment>
  </commentList>
</comments>
</file>

<file path=xl/sharedStrings.xml><?xml version="1.0" encoding="utf-8"?>
<sst xmlns="http://schemas.openxmlformats.org/spreadsheetml/2006/main" count="3941" uniqueCount="1104">
  <si>
    <t>Proceso</t>
  </si>
  <si>
    <t>Tema</t>
  </si>
  <si>
    <t>Reasentamientos Humanos</t>
  </si>
  <si>
    <t>Plan de Mejoramiento</t>
  </si>
  <si>
    <t>Fecha de Informe</t>
  </si>
  <si>
    <t>No se tienen documentados los incidentes en SIPROJWEB y las acciones de prevención del daño antijurídico.</t>
  </si>
  <si>
    <t>El registro y actualización de los procesos en SIPROJWEB carecen de supervisión.</t>
  </si>
  <si>
    <t>PIGA / PIRE</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</si>
  <si>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</si>
  <si>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PROCESO</t>
  </si>
  <si>
    <t>Comunicaciones</t>
  </si>
  <si>
    <t>Los arrendadores y arrendatarios manifiestan que dentro del pago mensual de arrendamiento, que es inferior al pactado  se incluye el valor de los servicios públicos.</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</si>
  <si>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</si>
  <si>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TEMA</t>
  </si>
  <si>
    <t>PIGA 2012: 3. Contratar la recolección y tratamiento de RAEES.</t>
  </si>
  <si>
    <t>Faltan de documentos soporte en algunas carpetas.</t>
  </si>
  <si>
    <t xml:space="preserve">Determinar el cumplimiento del procedimiento establecido en la Entidad para la vinculación, permanencia y retiro </t>
  </si>
  <si>
    <t>Fecha Recibo del Plan de Mejoramiento</t>
  </si>
  <si>
    <t>Fecha Recibo seguimiento del Plan de Mejoramiento</t>
  </si>
  <si>
    <t>No se encuentra registro documental que evidencie el cumplimiento del procedimiento 208-PLA-Pr-10 programa de criterios ambientales para las compras y la gestión contractual.</t>
  </si>
  <si>
    <t>No se han definido indicadores de gestión PIGA y PIRE en la entidad.</t>
  </si>
  <si>
    <t>Se observó que no se está dando cumplimiento al cronograma y las actividades establecidas en el Plan Institucional - PIGA</t>
  </si>
  <si>
    <t>No se evidencio la existencia del Plan de Acción PIRE vigencia 2012-2013</t>
  </si>
  <si>
    <t>Se evidenció que no se está dando cumplimiento a las actividades establecidas en el Plan Institucional de Respuesta a Emergencias de la CVP 208-PLA_Mn-05</t>
  </si>
  <si>
    <t>El porcentaje de avance en cumplimiento de metas no es acorde a la programación y a los tiempos en el Plan de Desarrollo “Bogotá Humana”.</t>
  </si>
  <si>
    <t>Mejoramiento de Vivienda</t>
  </si>
  <si>
    <t>Verificar el estado de los procesos de urbanización a cargo del Proyecto de Inversión y su debido registro documental.</t>
  </si>
  <si>
    <t>Al consultar los procesos registrados en SIPROJ se evidencia que algunos abogados no anexan los documentos PDF que soportan la gestión adelantada, generando un riesgo de pérdida de información pues los abogados no tienen vínculo permanente con la entidad.</t>
  </si>
  <si>
    <t>Existen 5 procesos a cargo de abogados que no tienen vínculo vigente con la Caja de la Vivienda Popular, 2 procesos que no han sido asignados a un abogado para la representación judicial.
Ver 2005-00476, 2010-00036, 1995-01418, 2013-01235, 19310797, 2013-01152, 2013-01546.</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</si>
  <si>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</si>
  <si>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t>Realizar de manera objetiva la evaluación de las actividades, operaciones y resultados en el proceso Prevención del Daño Antijurídico y Representación Judicial.</t>
  </si>
  <si>
    <t>No conformidad</t>
  </si>
  <si>
    <t>Seguimiento (indicar fecha de seguimiento)</t>
  </si>
  <si>
    <t>Acciones</t>
  </si>
  <si>
    <t>Estado</t>
  </si>
  <si>
    <t xml:space="preserve">Prevención del Daño antijurídico y Representación Judicial </t>
  </si>
  <si>
    <t>Urbanizaciones y Titulación</t>
  </si>
  <si>
    <t>Mejoramiento de Barrios</t>
  </si>
  <si>
    <t>Plan de Contratación</t>
  </si>
  <si>
    <t xml:space="preserve">Se evidencia que no se utiliza el aplicativo SI CAPITAL en el módulo SISCO,  incumpliendo el  literal  C. MANEJO PLAN DE CONTRATACIÓN </t>
  </si>
  <si>
    <t>No se tiene formulado un plan de mejoramiento producto del análisis de quejas de clientes (internos), resultado de análisis de datos, autoevaluación o gestión del riesgo para el proceso auditado.</t>
  </si>
  <si>
    <t>No se tiene formulado un plan de mejoramiento producto de la autoevaluación para el procedimiento auditado.</t>
  </si>
  <si>
    <t>Tipo Auditoria</t>
  </si>
  <si>
    <t>Auditoria</t>
  </si>
  <si>
    <t>Especial</t>
  </si>
  <si>
    <t>Tipo Hallazgo</t>
  </si>
  <si>
    <t>Informes</t>
  </si>
  <si>
    <t>Tipo Acción</t>
  </si>
  <si>
    <t>Auditores</t>
  </si>
  <si>
    <t>Gestión Estratégica</t>
  </si>
  <si>
    <t>Acción Correctiva</t>
  </si>
  <si>
    <t>Abierta</t>
  </si>
  <si>
    <t>Asesor Control Interno</t>
  </si>
  <si>
    <t>Recomendación</t>
  </si>
  <si>
    <t>Acción Preventiva</t>
  </si>
  <si>
    <t>Cerrada</t>
  </si>
  <si>
    <t>Ana Sofía Estupiñan</t>
  </si>
  <si>
    <t>Acción de Mejora</t>
  </si>
  <si>
    <t>Gloria Marcela Luna</t>
  </si>
  <si>
    <t>María Helena Pedraza</t>
  </si>
  <si>
    <t>José E. Orjuela</t>
  </si>
  <si>
    <t xml:space="preserve">Gestión Humana </t>
  </si>
  <si>
    <t xml:space="preserve">Administración y Control de Recursos </t>
  </si>
  <si>
    <t xml:space="preserve">Administración de la Información </t>
  </si>
  <si>
    <t xml:space="preserve">Adquisición de bienes y servicios </t>
  </si>
  <si>
    <t xml:space="preserve">Evaluación de la Gestión </t>
  </si>
  <si>
    <t>VIGENCIA:</t>
  </si>
  <si>
    <t>AÑO</t>
  </si>
  <si>
    <t>Ítem</t>
  </si>
  <si>
    <t>Auditor Responsable</t>
  </si>
  <si>
    <r>
      <t xml:space="preserve">Fecha de Informe
</t>
    </r>
    <r>
      <rPr>
        <sz val="8"/>
        <color theme="1"/>
        <rFont val="Arial"/>
        <family val="2"/>
      </rPr>
      <t>dd/mmm/yyyy</t>
    </r>
  </si>
  <si>
    <t>Hallazgo
No Conformidad/Recomendaciones</t>
  </si>
  <si>
    <t>Presenta Plan de Mejoramiento</t>
  </si>
  <si>
    <r>
      <t xml:space="preserve">Fecha 
Plan de Mejoramiento
</t>
    </r>
    <r>
      <rPr>
        <sz val="8"/>
        <color theme="1"/>
        <rFont val="Arial"/>
        <family val="2"/>
      </rPr>
      <t>dd/mmm/yyyy</t>
    </r>
  </si>
  <si>
    <r>
      <t xml:space="preserve">Fecha de Cierre acción
</t>
    </r>
    <r>
      <rPr>
        <sz val="8"/>
        <color theme="1"/>
        <rFont val="Arial"/>
        <family val="2"/>
      </rPr>
      <t>dd/mmm/yyyy</t>
    </r>
  </si>
  <si>
    <t>Revisión de la Eficacia de las acciones</t>
  </si>
  <si>
    <t>Control fecha informe Vs plan de mejoramiento</t>
  </si>
  <si>
    <t>Control plan de mejoramiento Vs fecha cierre</t>
  </si>
  <si>
    <t>No Conformidad</t>
  </si>
  <si>
    <t>Si</t>
  </si>
  <si>
    <t>No</t>
  </si>
  <si>
    <t>Copie fila vacía e Inserte filas sobre esta!!</t>
  </si>
  <si>
    <t>RESUMEN</t>
  </si>
  <si>
    <t>Tipos de Hallazgo</t>
  </si>
  <si>
    <t>Hallazgos por tipo de auditoria</t>
  </si>
  <si>
    <t>Estado Total de Acciones propuestas</t>
  </si>
  <si>
    <t>Total</t>
  </si>
  <si>
    <t>Total Suma</t>
  </si>
  <si>
    <t>Gran Total</t>
  </si>
  <si>
    <t>Resumen consolidado por procesos</t>
  </si>
  <si>
    <t>Acciones Cerradas / tipo de auditoria</t>
  </si>
  <si>
    <t>Vigencia:</t>
  </si>
  <si>
    <t>Cerrada por No Conformidad</t>
  </si>
  <si>
    <t>Plan de Mejoramiento por Tipo Auditoria</t>
  </si>
  <si>
    <t>Total T. Aud</t>
  </si>
  <si>
    <t>Tipo de hallazgo</t>
  </si>
  <si>
    <t>Planes de Mejoramiento por procesos</t>
  </si>
  <si>
    <t>Cerrada por Recomendación</t>
  </si>
  <si>
    <t>Acciones Abiertas / tipo de auditoria</t>
  </si>
  <si>
    <t>Abierta por No Conformidad</t>
  </si>
  <si>
    <t>Abierta por Recomendación</t>
  </si>
  <si>
    <t>% Abiertas</t>
  </si>
  <si>
    <t>% Cerradas</t>
  </si>
  <si>
    <t>Responsable</t>
  </si>
  <si>
    <t>Corrección</t>
  </si>
  <si>
    <t>INCLUIR INDICADOR</t>
  </si>
  <si>
    <r>
      <t xml:space="preserve">Fecha finalización programada de Cierre acción
</t>
    </r>
    <r>
      <rPr>
        <sz val="8"/>
        <color theme="1"/>
        <rFont val="Arial"/>
        <family val="2"/>
      </rPr>
      <t>dd/mmm/yyyy</t>
    </r>
  </si>
  <si>
    <t>Alexander Villalobos</t>
  </si>
  <si>
    <t>Dirección de Urbanizaciones</t>
  </si>
  <si>
    <t>Procedimiento urbanizaciones</t>
  </si>
  <si>
    <t>Proyecto de ajuste de procesos y procedimientos</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</si>
  <si>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</si>
  <si>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</si>
  <si>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Dirección de gestión Corporativa, Subdirección administrativa
Oficina Asesora de Planeación</t>
  </si>
  <si>
    <t xml:space="preserve">Gestionar de manera ambientalmente segura la disposición final de  los Residuos de Aparatos Eléctricos y Electrónicos - RAEES restantes y no recuperables con una entidad que cuente con licencia ambiental para su disposición final.
</t>
  </si>
  <si>
    <t>Oficina Asesora de Planeación</t>
  </si>
  <si>
    <t xml:space="preserve">Oficina Asesora de Planeación </t>
  </si>
  <si>
    <t>Oficina Asesora de Planeación 
Subdirección administrativa</t>
  </si>
  <si>
    <t>1. Realizar la revisión y/o    ajuste del procedimiento con las partes involucradas.
2.  Socialización e Implementación del procedimiento en cada una de las dependencias de la CVP.</t>
  </si>
  <si>
    <t>Oficina Asesora de Planeación 
Dirección Jurídica</t>
  </si>
  <si>
    <t>Se debe reformular el procedimiento especificando  las actividades para hacer un uso eficiente de la energía en la CVP.</t>
  </si>
  <si>
    <t>Formular y/o ajustar el Plan de Acción incluyendo indicadores que den cuenta del cumplimiento del PIGA y PIRE.</t>
  </si>
  <si>
    <t>1. Identificar referentes o enlaces ambientales por dependencia.
2. Socializar el Plan Institucional de Gestión Ambiental PIGA a los directivos y enlaces de cada dependencia.</t>
  </si>
  <si>
    <t xml:space="preserve">Oficina Asesora de Planeación 
Jefes de dependencia </t>
  </si>
  <si>
    <t>Oficina Asesora de Planeación 
Subdirección Administrativa</t>
  </si>
  <si>
    <t>1. Identificar referentes o enlaces  por dependencia.
2. Socializar el Plan Institucional de Respuesta a Emergencias PIRE a los directivos y enlaces de cada dependencia.</t>
  </si>
  <si>
    <t>Acción Mejora</t>
  </si>
  <si>
    <t>TOTAL</t>
  </si>
  <si>
    <t>Hallazgos por Tipo Auditoria</t>
  </si>
  <si>
    <t>RESUMEN HALLAZGOS</t>
  </si>
  <si>
    <t>RESUMEN DE ACCIONES</t>
  </si>
  <si>
    <t>Estado de acciones</t>
  </si>
  <si>
    <t>Estado del hallazgo</t>
  </si>
  <si>
    <t>Hallazgo Abierto</t>
  </si>
  <si>
    <t>Hallazgo Cerrado</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</si>
  <si>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</si>
  <si>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Dirección Jurídica</t>
  </si>
  <si>
    <t>Dirección Jurídica - Dirección Gestión Corporativa y CID y  Oficina Asesora de Planeación</t>
  </si>
  <si>
    <t>Dar traslado a las autoridades competentes de esta situación para que se adelanten las acciones a que haya lugar</t>
  </si>
  <si>
    <t>Dirección Jurídica y Oficina Asesora de Planeación</t>
  </si>
  <si>
    <t>Política del daño antijurídico</t>
  </si>
  <si>
    <t>Director de Reasentamientos</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</si>
  <si>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</si>
  <si>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Director Jurídica - Director de Mejoramiento de Barrios</t>
  </si>
  <si>
    <t>Director Jurídico</t>
  </si>
  <si>
    <t>Ajustar la obligación correspondiente a la responsabilidad de actualizar la información en el SIPROJ.</t>
  </si>
  <si>
    <t>SIPROJWEB no se encuentra actualizado.
No se lleva a cabo el procedimiento de Representación judicial</t>
  </si>
  <si>
    <t>RESUMEN ACCIONES</t>
  </si>
  <si>
    <t>Documentar las acciones de mejoras de acuerdo a establecido por el Sistema de Gestión de Calidad</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</si>
  <si>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</si>
  <si>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Directora de Gestión Corporativa y CID</t>
  </si>
  <si>
    <t>Subdirectora Administrativa</t>
  </si>
  <si>
    <t>Formalización de  política de administración de la información y su implementación , de su auditoria  y validación de los sistemas de información institucionales  lo cual ocasiona que la información no sea confiable, integra  y  disponible</t>
  </si>
  <si>
    <t xml:space="preserve">Definir la política de administración de la información 
</t>
  </si>
  <si>
    <t xml:space="preserve">Diseñar el proceso y el procedimiento de implementación de la política definida
</t>
  </si>
  <si>
    <t xml:space="preserve">Establecer los responsables y funciones para la administración de la información
</t>
  </si>
  <si>
    <t xml:space="preserve">Revisar e identificar del total (70 historias laborales) los documentos faltantes
</t>
  </si>
  <si>
    <t>Evaluación de Gestión por Dependencias</t>
  </si>
  <si>
    <t>Encuesta del Modelo de Control Interno del DAFP</t>
  </si>
  <si>
    <t>REVISIONES DE COHERENCIA DE LOS PLANES DE MEJORAMIENTO</t>
  </si>
  <si>
    <t>FECHA</t>
  </si>
  <si>
    <t>PERSONAL QUE PARTICIPO</t>
  </si>
  <si>
    <t>CONTROL INTERNO</t>
  </si>
  <si>
    <t>CONCLUSIONES</t>
  </si>
  <si>
    <t>HORA</t>
  </si>
  <si>
    <t>Los líderes o responsables de procesos no ejecutaron oportunamente la formulación, ejecución y avances de los planes de mejoramiento.</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</si>
  <si>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</si>
  <si>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Ente Certificador</t>
  </si>
  <si>
    <t xml:space="preserve">Todas las dependencias Misionales - Coordina Oficina Asesora de Planeación </t>
  </si>
  <si>
    <t xml:space="preserve">Incluir las metas intermedias que puedan evidenciar el cumplimiento de cada proyecto de inversión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</si>
  <si>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</si>
  <si>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 xml:space="preserve">Ajuste Procesos y procedimientos-  Realizar reuniones para concretar el mapa de procesos de la entidad </t>
  </si>
  <si>
    <t xml:space="preserve">Ajuste Procesos y procedimientos - Caracterizar los procesos </t>
  </si>
  <si>
    <t xml:space="preserve">Ajuste Procesos y procedimientos - Identificar y/o actualizar  los productos no conforme, derivados de las caracterizaciones de los procesos misionales </t>
  </si>
  <si>
    <t xml:space="preserve">Ajuste Procesos y procedimientos -Actualizar los procedimientos de cada uno de los procesos </t>
  </si>
  <si>
    <t xml:space="preserve">Ajuste Procesos y procedimientos -Formular los indicadores asociados a los procesos de la CVP </t>
  </si>
  <si>
    <t xml:space="preserve">Ajuste Procesos y procedimientos - Formular los mapas de riesgo  asociados  a los procesos de la CVP </t>
  </si>
  <si>
    <t xml:space="preserve">Todas las dependencias- Coordina Oficina Asesora de Planeación </t>
  </si>
  <si>
    <t>Definir las competencias de cada una de las áreas que participa en el cargue de la información en el SISCO</t>
  </si>
  <si>
    <t>Jefe de la Oficina Asesora de Planeación</t>
  </si>
  <si>
    <t xml:space="preserve">La entidad deberá formular la plataforma estratégica que permita visualizar sus apuestas institucionales al plan de desarrollo Bogotá Humana, en el marco del Proyecto de Ajuste Institucional  </t>
  </si>
  <si>
    <t xml:space="preserve">Realizar las reuniones para concretar misión, visión y objetivos estratégicos </t>
  </si>
  <si>
    <t xml:space="preserve">Consolidar el plan estratégico/Plan Institucional de la CVP </t>
  </si>
  <si>
    <t xml:space="preserve">Formular un procedimiento de planeación institucional, que permita visualizar las responsabilidades de los líderes de los procesos en la formulación de los planes de acción de gestión </t>
  </si>
  <si>
    <t>Autocontrol</t>
  </si>
  <si>
    <t>Evidenciar las acciones (reuniones, comunicaciones) que ha realizado cada proyecto de inversión con entidades del distrito para el cumplimiento de metas</t>
  </si>
  <si>
    <t>Realizar las acciones tendientes a la reformulación de los proyectos de inversión.</t>
  </si>
  <si>
    <t>Hallazgos y recomendaciones que de acuerdo a los líderes de proceso no amerita generar un plan de mejoramiento</t>
  </si>
  <si>
    <t>Observación del Líder del Proceso</t>
  </si>
  <si>
    <r>
      <t xml:space="preserve">Fecha de la observación
</t>
    </r>
    <r>
      <rPr>
        <sz val="8"/>
        <color theme="1"/>
        <rFont val="Arial"/>
        <family val="2"/>
      </rPr>
      <t>dd/mmm/yyyy</t>
    </r>
  </si>
  <si>
    <t>Revisar el estado de la Página Web y de la Intranet, su actualización y cumplimiento de lineamientos definidos en Gobierno en Línea.</t>
  </si>
  <si>
    <t>Auditoria Interna</t>
  </si>
  <si>
    <t>Decreto 371 Participación Ciudadana y Control Social.</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</si>
  <si>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</si>
  <si>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</si>
  <si>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</si>
  <si>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6. b. El proceso “Urbanizaciones y Titulación” no presentó los soportes de trabajo que evidencien el ejercicio de la participación ciudadana y el control social en el periodo auditado. </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</si>
  <si>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</si>
  <si>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8. No se ha dado cumplimiento a las acciones formuladas en el Plan de Mejoramiento resultante de la auditoría (Decreto Distrital 371 de 2010) vigencia 2013. Fecha de cumplimiento de las acciones contempladas en el mencionado plan: 30 mayo 2014.</t>
  </si>
  <si>
    <t xml:space="preserve">Auditoria Institucional/Auditoria Proceso
</t>
  </si>
  <si>
    <t>Entes Externos</t>
  </si>
  <si>
    <t>Formulación y seguimiento a los proyectos de inversión - Procedimiento Digitación- Control Documental.</t>
  </si>
  <si>
    <t>Filas que se pueden combinar, las demás NO deben combinarse</t>
  </si>
  <si>
    <t>Total Acciones</t>
  </si>
  <si>
    <t>Auditoria Institucional/Auditoria Proceso</t>
  </si>
  <si>
    <t>Institucional</t>
  </si>
  <si>
    <t>Oportunidad Plan de Mejoramiento</t>
  </si>
  <si>
    <t>Auditoria de Nomina y Perno</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</si>
  <si>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</si>
  <si>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Decreto Distrital 371 de 2010 en materia de Gestión Contractual</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</si>
  <si>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</si>
  <si>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t>Plataforma y Manejo de plataforma de correos de la Caja de la Vivienda Popular</t>
  </si>
  <si>
    <t>Asegurar que la información registrada en el directorio, sobre funcionarios y contratistas de la WEB y la Intranet sea congruente.</t>
  </si>
  <si>
    <t xml:space="preserve">Establecer unos criterios mínimos para la delegación de la Supervisión de los contratos en el Manual de contratación
</t>
  </si>
  <si>
    <t>Verificar la aplicación de las disposiciones contenidas en el Decreto 371 de 2010 en materia de Gestión Contractual, así como la aplicación del manual de contratación y del instructivo 208-SADM-In-02 INSTRUMENTO EVALUACIÓN POR COMP.</t>
  </si>
  <si>
    <t>DOCUMENTACIÓN PROCESO CONTRACTUAL
En el contrato 042 de 2013 la Solicitud de Certificado de Disponibilidad Presupuestal suscrita por un funcionario diferente al autorizado para este fin.</t>
  </si>
  <si>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</si>
  <si>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</si>
  <si>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</si>
  <si>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Diseñar indicadores que permitan dar cuenta del proceso contractual para la toma de decisiones.</t>
  </si>
  <si>
    <t>Socializar la obligación y normatividad a los contratistas a cargo de la Representación Judicial, incluyendo el procedimiento de representación judicial establecido por la CVP.</t>
  </si>
  <si>
    <t>Control Interno Contable
Encuesta MECI y pormenorizado del Estado de Control Interno</t>
  </si>
  <si>
    <t xml:space="preserve">Generar un plan de trabajo para la integrabilidad de los módulos de SI CAPITAL </t>
  </si>
  <si>
    <t xml:space="preserve">Oficializar la misión, visión y objetivos estratégicos </t>
  </si>
  <si>
    <t>Prolongar el tiempo para la formulación de plan de mejoramiento a 10 días después de presentado el informe de auditoría</t>
  </si>
  <si>
    <t>Encuesta del MECI y Pormenorizado del Estado de Control Interno del DAFP</t>
  </si>
  <si>
    <t>Auditar la aplicación de la política de administración de la información en la Entidad</t>
  </si>
  <si>
    <t>Subdirector Administrativo y Comité de Prima Técnica</t>
  </si>
  <si>
    <t>Para los errores de planta fija se envía a la Oficina Jurídica para el concepto correspondiente considerando la antigüedad del reconocimiento y las acciones legales correspondiente que se deban tomar en el evento de ser necesarios.</t>
  </si>
  <si>
    <t>Subdirector Administrativo</t>
  </si>
  <si>
    <t xml:space="preserve">Marcela Mesa López / Profesional especializado / Dirección Jurídica. </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</si>
  <si>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</si>
  <si>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</si>
  <si>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Documentos y papeles sueltos del Archivo de la Dirección Jurídica de Representación Judicial.</t>
  </si>
  <si>
    <t xml:space="preserve">Seguridad de la información efectuando la gestión necesaria y los trámites administrativos para el traslado de los archivos móviles de oficina abierta a un lugar con llave y control dentro de la misma oficina. </t>
  </si>
  <si>
    <t>Magaly Cala Rodríguez /Directora Jurídica</t>
  </si>
  <si>
    <t>OAP</t>
  </si>
  <si>
    <t xml:space="preserve">Solicitar a los líderes de proceso que tengan en cuenta al formular el plan de la vigencia actual  la formulación y el seguimiento de las vigencias anteriores para hacer el análisis y manejar la continuidad e las acciones. </t>
  </si>
  <si>
    <t>OAP -Direcciones Misionales</t>
  </si>
  <si>
    <t>Formular e implementar el procedimiento y la estrategia de rendición de cuentas en donde se genere el protocolo de respuesta a las preguntas a la ciudadanía y los métodos y canales de publicación</t>
  </si>
  <si>
    <t>OAP
OAC
Dirección Corporativa y CID</t>
  </si>
  <si>
    <t>Verificar información suministrada por la dirección corporativa y la dirección del programa de reasentamientos sobre presuntas irregularidades en el manejo del programa de relocalización transitoria</t>
  </si>
  <si>
    <t>Contabilidad y procedimiento VUR y provisión cartera</t>
  </si>
  <si>
    <t>Inventarios y Almacén</t>
  </si>
  <si>
    <t>Fidolo Martínez Ramírez- Auxiliar Administrativa</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</si>
  <si>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</si>
  <si>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Evaluación por dependencias.</t>
  </si>
  <si>
    <t>Oficina Asesora de Planeación 
Jefes de dependencia</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</si>
  <si>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</si>
  <si>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Álvaro Leonardo Garnica Guevara</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</si>
  <si>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</si>
  <si>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</si>
  <si>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</si>
  <si>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</si>
  <si>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</si>
  <si>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Se implementará por parte de la OAP control basado en la revisión de los planes nuevos formulados y  los seguimientos de vigencias anteriores con el fin de verificar la continuidad o finalización de las metas con sus porcentajes de ejecución.</t>
  </si>
  <si>
    <t>Formular, en caso que el concepto recibido así lo amerite, acción correctiva para revisar y ajustar los porcentajes de la prima técnica de los funcionarios de la CVP.</t>
  </si>
  <si>
    <t>Realizar una circular, para las áreas, recordando la aplicación de los Numerales 6.2.3 al 6.2.9 del Manual de Contratación y los procedimientos allí referidos</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</si>
  <si>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</si>
  <si>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</si>
  <si>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Estado de las Acciones</t>
  </si>
  <si>
    <t>Establecer un cronograma de actividades a desarrollar para culminar la organización de los expedientes de Urbanizaciones.</t>
  </si>
  <si>
    <t xml:space="preserve">Subdirectora Financiera, Subdirección </t>
  </si>
  <si>
    <t xml:space="preserve">Levantamiento del procedimiento Plan de Adquisiciones </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</si>
  <si>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</si>
  <si>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Sistema de Gestión de Calidad Gestión Estratégica</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</si>
  <si>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</si>
  <si>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Servicio al Ciudadano</t>
  </si>
  <si>
    <t>Se efectúa una asignación inadecuada de correspondencia externa recibida, con lo cual se generan demoras en la atención de los requerimientos, producto de la reasignación de los mismos.</t>
  </si>
  <si>
    <t>Sistema de Información Si-Capital</t>
  </si>
  <si>
    <t xml:space="preserve">NIVELES DE RESPONSABILIDAD.
Se evidencia que no están claramente definidos los niveles de responsabilidad y las  cadenas de aprobación para solicitar los requerimientos dentro de los módulos SI CAPIT@L.
</t>
  </si>
  <si>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</si>
  <si>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t xml:space="preserve">MANUALES E INSTRUCTIVOS PARA USUARIOS
Se evidencia que aunque existen manuales de usuario, estos no contienen documentación sobre los desarrollos y ajustes que se han implementado en la entidad.
</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</si>
  <si>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</si>
  <si>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</si>
  <si>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</si>
  <si>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</si>
  <si>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</si>
  <si>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</si>
  <si>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</si>
  <si>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</si>
  <si>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</si>
  <si>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 Dirección de Gestión Corporativa y CID. Área de Sistemas.
-Dirección Jurídica
˗Área Financiera.
˗Oficina Asesora de Planeación.
˗Área de Personal.
˗Subdirección  Administrativa.
˗Administrador Cordis</t>
  </si>
  <si>
    <t>Expedir circular con las obligaciones y condiciones de uso de SI Capital para supervisores, contratistas y gestores en las diferentes áreas funcionales de la CVP.</t>
  </si>
  <si>
    <t xml:space="preserve">Crear repositorios de manuales de uso del SI C@pital en la carpeta Calidad de la CVP.
</t>
  </si>
  <si>
    <t>Incentivar  a través de la intranet la consulta de dichos documentos.</t>
  </si>
  <si>
    <t>Dirección de Gestión Corporativa y CID - Área de Sistemas
Ingenieros de soporte SI C@pital. Supervisor</t>
  </si>
  <si>
    <t>Entregar a la OAP dichos manuales para que sean incorporados en la carpeta de calidad cada vez que sean actualizados.</t>
  </si>
  <si>
    <t>Directora de Mejoramiento de Barrios
-Profesional enlace Oficina Asesora de Planeación.</t>
  </si>
  <si>
    <t>Realizar el análisis de la satisfacción de finalización de las obras y presentar informe de resultados.</t>
  </si>
  <si>
    <t>Realizar un taller semestral para  reforzar las conocimientos sobre cada uno de los tipos de documentos que el ciudadano radica en la entidad para mejorar la asignación de los mismos.</t>
  </si>
  <si>
    <t>Secretario Comité de conciliación</t>
  </si>
  <si>
    <t>Se ajustara el formato a lo establecido en calidad.</t>
  </si>
  <si>
    <t>Sensibilizar a la persona encargada del archivo de jurídica sobre los lineamientos de conservación, seguridad y custodia de los documentos judiciales.</t>
  </si>
  <si>
    <t xml:space="preserve">1. Se verificara la distribución de los procesos con el personal que se contrate.
</t>
  </si>
  <si>
    <t xml:space="preserve">2. Se verificara la carga laboral de los funcionarios de planta temporal.
</t>
  </si>
  <si>
    <t xml:space="preserve">3. Se justificara el no reparto de estos procesos al personal de planta temporal.
</t>
  </si>
  <si>
    <t>Sensibilizar al personal contratado y de plata para el manejo de procesos sobre la actualización del SIPROJ Circular 6 de 2014.</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</si>
  <si>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</si>
  <si>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Actualizar el Manual de contratación teniendo en cuenta la Resolución de honorarios para la vigencia 2015</t>
  </si>
  <si>
    <t>Realizar la transferencia de los archivos muertos a archivo central, con el fin de liberar espacio en el archivo existente y los expedientes que se encuentran ubicados fuera del mismo incluirlos para su custodia.</t>
  </si>
  <si>
    <t>Consolidado:</t>
  </si>
  <si>
    <t>Puede combinarse</t>
  </si>
  <si>
    <t>Plantear las acciones de mejora de acuerdo al informe de resultados de satisfacción de finalización de obras.</t>
  </si>
  <si>
    <t xml:space="preserve">
Realizar el análisis de los resultados arrojados por los indicadores de seguimiento al PI 208 y presentar informe del avance de los indicadores del proyecto 208
</t>
  </si>
  <si>
    <t>Demora en el cumplimiento  del programa de Auditorias, respecto la fecha de inicio y a la agenda de las auditorias.</t>
  </si>
  <si>
    <t>El profesional responsable del Acta</t>
  </si>
  <si>
    <t>Dejar en el procedimiento de Auditorias Internas cuando se levanten las auditorias y definir las implicaciones</t>
  </si>
  <si>
    <t>El formato de evaluación de la auditoria no  es claro y el modo de evaluación  no es el más conveniente</t>
  </si>
  <si>
    <t>Revisar y ajustar el formato.</t>
  </si>
  <si>
    <t>Dejar en el procedimiento de Auditorias Internas:  Diligenciar el formato de evaluación de la auditoria y evaluación del auditor</t>
  </si>
  <si>
    <t>No se toma la evaluación de la auditoria tan pronto como se termine la auditoria.</t>
  </si>
  <si>
    <t>Actualizar  el directorio de la  página web y de la intranet con la información de los servidores</t>
  </si>
  <si>
    <t xml:space="preserve">Actualizar y aprobar la política de seguridad de la información.
</t>
  </si>
  <si>
    <t>Gestión Estratégica – Sistema Integrado de Gestión</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</si>
  <si>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</si>
  <si>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Imagen corporativa. Se definió en el documento: 208-COM-G-01 GUÍA DE MANEJO DE IMAGEN CVP el logo de la entidad como “Caja de la Vivienda Popular”. Sin embargo no se ha dado cumplimiento total en los procedimientos actualizados en la vigencia 2014.</t>
  </si>
  <si>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</si>
  <si>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 xml:space="preserve">DIVULGACIÓN Y PUBLICACIÓN 
Se evidencia que dentro de la muestra revisada, no obran constancias documentales completas de divulgación y publicidad – SECOP.
Ver: Contratos 282 y 283 de 2015.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</si>
  <si>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</si>
  <si>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</si>
  <si>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1. Profesionales técnicos y sociales de la DMV. 
Profesional encargado de planeación en la DMV.
</t>
  </si>
  <si>
    <t xml:space="preserve"> Profesional encargado de planeación en la DMV.</t>
  </si>
  <si>
    <t>1. Profesionales técnicos y sociales de la DMV. 
Profesional encargado de planeación en la DMV.</t>
  </si>
  <si>
    <t>4. Profesional encargado de planeación en la DMV.</t>
  </si>
  <si>
    <t xml:space="preserve">1. Realizar la formulación de indicadores  de eficiencia, eficacia y efectividad del proceso de mejoramiento de vivienda.
</t>
  </si>
  <si>
    <t xml:space="preserve">
2. Revisar y/o aprobar la propuesta de indicadores  de eficiencia, eficacia y efectividad del proceso de mejoramiento de vivienda.
</t>
  </si>
  <si>
    <t xml:space="preserve">3. Solicitar la formalización de los indicadores de eficiencia, eficacia y efectividad del proceso de mejoramiento de vivienda.
</t>
  </si>
  <si>
    <t xml:space="preserve">4. Socializar al recurso humano del proceso de Mejoramiento de Vivienda los indicadores  de eficiencia, eficacia y efectividad del proceso de mejoramiento de vivienda.
</t>
  </si>
  <si>
    <t xml:space="preserve">
2. Profesional financiero de la DMV. 
Profesional encargado de planeación en la DMV.
</t>
  </si>
  <si>
    <t xml:space="preserve">1. Revisar y/o ajustar las actividades del proyecto 7328 a cargo de la Dirección de Mejoramiento de Vivienda, para la vigencia 2015 en el Plan Operativo Anual.
</t>
  </si>
  <si>
    <t xml:space="preserve">
2. Establecer presupuesto a cada una de las actividades del proyecto 7328 a cargo de la Dirección de Mejoramiento de Vivienda.
</t>
  </si>
  <si>
    <t>Dirección de Urbanizaciones y Titulación</t>
  </si>
  <si>
    <t xml:space="preserve">Adquisición de Bienes y Servicios </t>
  </si>
  <si>
    <t>Contraloría</t>
  </si>
  <si>
    <t xml:space="preserve">Prevención del Daño Antijurídico y Representación Judicial </t>
  </si>
  <si>
    <t>x</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</si>
  <si>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</si>
  <si>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Oficina Asesora de Planeación.</t>
  </si>
  <si>
    <t>Wilber Abril</t>
  </si>
  <si>
    <t>Oficina asesora de planeación,
Procesos Misionales</t>
  </si>
  <si>
    <t>Solicitar a los procesos que aplique, el seguimiento del servicio no conforme al último trimestre del año 2014.</t>
  </si>
  <si>
    <t xml:space="preserve">Socializar a los enlaces de cada proceso el manejo del formato Servicio No Conforme.
</t>
  </si>
  <si>
    <t xml:space="preserve">
Solicitar a los procesos el envío periódico de la información trimestre vencido.</t>
  </si>
  <si>
    <t>Profesional Especializado Oficina Asesora de Planeación</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</si>
  <si>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</si>
  <si>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Actualizar la Guía de Manejo de imagen CVP, donde se incluya todos los logos utilizados actualmente por la entidad.</t>
  </si>
  <si>
    <t>Oficina Asesora de Planeación - Oficina Asesora de Comunicaciones</t>
  </si>
  <si>
    <t>Elaborar un cronograma (Plan de Trabajo) donde se identifiquen las acciones pendientes para la implementación de los productos mínimos que aún se encuentren pendientes o que requieran de actualización, y dar seguimiento al mismo para la vigencia 2015.</t>
  </si>
  <si>
    <t>Oficina asesora de Planeación.</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</si>
  <si>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</si>
  <si>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r>
      <t>Oficina Asesora de Planeación -</t>
    </r>
    <r>
      <rPr>
        <sz val="10"/>
        <color rgb="FFFF0000"/>
        <rFont val="Arial"/>
        <family val="2"/>
      </rPr>
      <t xml:space="preserve"> </t>
    </r>
    <r>
      <rPr>
        <sz val="10"/>
        <rFont val="Arial"/>
        <family val="2"/>
      </rPr>
      <t>Oficina Asesora de Control Interno</t>
    </r>
  </si>
  <si>
    <t>Director de Reasentamientos/Profesional Especializado</t>
  </si>
  <si>
    <t>Realizar análisis a los instrumentos del proceso, tales  como, plan de acción, mapa de riesgos, producto y servicio no conforme, cumplimiento de los procedimientos, indicadores y generar plan de mejoramiento a las   desviaciones encontradas</t>
  </si>
  <si>
    <t>No se genero Plan de mejoramiento relacionado a la auditoria interna adelantada en diciembre de 2014</t>
  </si>
  <si>
    <t>No se ha medido el servicio no conforme para la vigencia 2015</t>
  </si>
  <si>
    <t>Garantizar contar en la Dirección con un servidor que atienda los requerimientos asociados al SIG</t>
  </si>
  <si>
    <t>Medición trimestral de la matriz de servicio no conforme con reporte a planeación</t>
  </si>
  <si>
    <t>No se han actualizado los procedimientos según las observaciones del informe a diciembre de 2014</t>
  </si>
  <si>
    <t>Ajustar los procedimientos del Proceso de Reasentamientos</t>
  </si>
  <si>
    <t xml:space="preserve">Dejar la acción de revisar y actualizar los instrumentos del SIG en el plan de acción de gestión.  </t>
  </si>
  <si>
    <t xml:space="preserve">Dirección Corporativa y CID
OAP
</t>
  </si>
  <si>
    <t>Dirección Corporativa y CID</t>
  </si>
  <si>
    <t>Profesional Especializado
Directora de Gestión Corporativa y CID</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</si>
  <si>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</si>
  <si>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Fecha</t>
  </si>
  <si>
    <t>Cambio</t>
  </si>
  <si>
    <t>ítem</t>
  </si>
  <si>
    <t>Oportunidad de mejora</t>
  </si>
  <si>
    <t>Subdirector Financiero 
Subdirector Administrativo</t>
  </si>
  <si>
    <t>Análisis del sistema integrado de gestión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</si>
  <si>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</si>
  <si>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evidenció al revisar la documentación del proceso que no se encuentran documentadas las Tablas de Retención Documental de acuerdo con lo establecido la Ley 594 de 2000  y el Acuerdo 039 de 2002 del Archivo General de la Nación </t>
  </si>
  <si>
    <t>Director (a) de Gestión Corporativa y CID o a quien designe para esta función o el
Coordinador (a) de la oficina de servicio al ciudadano
Profesional Especializado de la Oficina Asesora de Planeación</t>
  </si>
  <si>
    <t>Auditoria combinada Gestión Humana</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</si>
  <si>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</si>
  <si>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t>Gloria Marcela y Maria Helena</t>
  </si>
  <si>
    <t xml:space="preserve">Se ajusta herramienta unificando hallazgos independiente de las acciones formuladas. Ya que un hallazgo puede presentar varias acciones bien acciones correcciones  </t>
  </si>
  <si>
    <t>Gloria Marcela</t>
  </si>
  <si>
    <t>Se ajusto herramienta introduciendo hallazgos "Oportunidad Mejora" acorde al formato de informe auditoria V3. 06 de julio de 2015 y se introdujo como tipo de auditoria las formuladas ejercicios de "Autocontrol"</t>
  </si>
  <si>
    <t>Se formulo herramienta, para el control de los hallazgos productos de la auditoria</t>
  </si>
  <si>
    <t>Maria Helena Pedraza</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</si>
  <si>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</si>
  <si>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</si>
  <si>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Formalizar la revisión anual del plan estratégico de la entidad.</t>
  </si>
  <si>
    <t>Revisar y corregir en el listado maestro y/o en a carpeta de calidad los hallazgos detectados por Control Interno (en el plan de mejoramiento del proceso se generó una acción por cada error encontrado)</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</si>
  <si>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</si>
  <si>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Auditoria, estado del sistema integrado de gestión.</t>
  </si>
  <si>
    <t>No existe evidencia de la actualización total de los procedimientos, puesto que no se identifican las políticas de operación ni controles definidos para cada proceso. Tampoco han sido actualizados los procedimientos obligatorios de la NTC GP 1000.</t>
  </si>
  <si>
    <t>No existe evidencia acerca de construir la coherencia institucional de acuerdo con la nueva planeación estratégica, los objetivos de los procesos y las herramientas que permitan verificar el cumplimiento de objetivos y metas.</t>
  </si>
  <si>
    <t>El FUSS es un formato externo del cual no se asegura su control.</t>
  </si>
  <si>
    <t>No se evidenció la generación de acciones correctivas y preventivas que se presentan en Atención al ciudadano a través del mecanismo de PQRS</t>
  </si>
  <si>
    <t>No se pudo evidenciar la eficacia de las acciones tomadas ya que no existe socialización de las mismas en lo relacionado con atención al ciudadano.</t>
  </si>
  <si>
    <t>No se tiene la evidencia del diligenciamiento de los  documentos y/o registros establecidos en los procedimientos del proceso.</t>
  </si>
  <si>
    <t>Auditoria combinada Comunicaciones</t>
  </si>
  <si>
    <t>Auditoria combinada Mejoramiento de Vivienda</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</si>
  <si>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</si>
  <si>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Decreto 371 de 2010 y auditoria combinada Adquisición de bienes y servicios</t>
  </si>
  <si>
    <t>No hay coherencia entre los documentos descritos en el listado maestro y los incluidos en el proceso (Ver tabla  listado maestro de documentos).</t>
  </si>
  <si>
    <t>Las tablas de retención documental se encuentran desactualizadas. Ver apartes (tablas de retención documental – TRD).</t>
  </si>
  <si>
    <t>La documentación del proceso se archiva  en forma virtual. Sin embargo adolece de una estandarización para su manejo, lo que dificulta el control de su totalidad, además del acceso, trazabilidad y conservación.</t>
  </si>
  <si>
    <t>El líder  del proceso debe asegurarse de efectuar las correcciones y tomar las acciones correctivas y preventivas, producto de los resultados de las auditorías internas.</t>
  </si>
  <si>
    <t>La página web cuenta con el link 3   Transparencia y acceso a información pública”, pero este no contiene  la información requerida.</t>
  </si>
  <si>
    <t>El directorio de información de servidores públicos, empleados y contratistas, publicado en la página web, está desactualizado y no cumple con los requisitos de la norma</t>
  </si>
  <si>
    <t>La web cuenta con el link que guíe a los usuarios a la página del SECOP, pero este no está asociado a los contratos de la Entidad, además no se publica la información sobre la ejecución de los mismos.</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</si>
  <si>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</si>
  <si>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En la página web no se encontró publicado el informe de solicitudes de acceso a la información</t>
  </si>
  <si>
    <t>Auditoria combinada Reasentamientos Humanos</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</si>
  <si>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</si>
  <si>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Auditoria combinada Urbanización y titulaciones</t>
  </si>
  <si>
    <t>Subdirector(a) Administrativo (a)</t>
  </si>
  <si>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</si>
  <si>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implementará un  control trimestral, solicitando a cada líder de proceso al cierre de cada trimestre, enviar los formatos diligenciados de inducción en el puesto de trabajo de las personas que han ingresado a la entidad</t>
  </si>
  <si>
    <t>Coordinadores DMV con el acompañamiento del profesional de planeación de la DMV</t>
  </si>
  <si>
    <t>Equipo de gestión documental con apoyo del profesional de planeación d la DMV
Director de Mejoramiento de Vivienda</t>
  </si>
  <si>
    <t>El diligenciamiento del formato M-ODT-FM-026 Certificación de Actualización de Información Distrital del Empleo y la Administración Pública – SIDEAP; se llevó a cabo hasta el mes de febrero de 2014 (ver numeral 3.3).</t>
  </si>
  <si>
    <t>Auditoria Si Capital</t>
  </si>
  <si>
    <t>En el módulo PERNO no queda el registro (evidencia) de las pruebas que se efectúan.</t>
  </si>
  <si>
    <t>El manual del módulo SAE no contempla el procedimiento para enviar información al módulo LIMAY.</t>
  </si>
  <si>
    <t>10:15:00 a 11:00 a.m.</t>
  </si>
  <si>
    <t>Se realiza la revisión de coherencia, en general no se tienen un buen análisis de causas y solo se proponen acciones correctivas, las fechas propuesta para ejecutar la acción es 30 de diciembre de 2015, fecha ya cumplida, falto incluir la no conformidad, se devuelve por correo institucional a Wilber Abril para su corrección.</t>
  </si>
  <si>
    <t>9:23 a 9:40 a.m.</t>
  </si>
  <si>
    <t>Claudia Ximena Hormanza</t>
  </si>
  <si>
    <t>Se verifica los ajustes de la revisión inicial realizado en diciembre 3 de 2015, se reitera que el hallazgo y la causa no deben ser lo mismo.</t>
  </si>
  <si>
    <t>Administración de la Información</t>
  </si>
  <si>
    <t>Mario Rolando Benavides</t>
  </si>
  <si>
    <t>Dirección de Gestión Corporativa y CID</t>
  </si>
  <si>
    <t>Realizar inducción y seguimiento a la implementación del procedimiento de mantenimiento y desarrollo de software junto con los formatos respectivos para cualquier proyecto de mantenimiento y desarrollo de software.</t>
  </si>
  <si>
    <t>13/01/2016
14/01/2016</t>
  </si>
  <si>
    <t>Considerando que en el manual para SAE ubicado en la direcciòn http://serv-cv2/documentacion/sae/SAE.pdf, pagina Nº 9 describe que se  debe "hacer clic" en el boton "generar comprobante" y luego hacer clic en el botòn contabilizar para envìar la informaciòn de este modulo al de contabilidad (mòdulo LIMAY), comedidamente se solicitano considerar esta oportunidad de mejora dado con lo anteriormente descrito se cumple lo solicitado</t>
  </si>
  <si>
    <t>Auditoria Si capital</t>
  </si>
  <si>
    <t>4:00 a 4:30 p.m.
9:00 A 9:40</t>
  </si>
  <si>
    <t>Se devuelve el plan de mejoramiento con dos observaciones, para pasar al formato version 4, ajustar y firmar. Se envío por correo instituciona a Mario Rolando</t>
  </si>
  <si>
    <t>10:40 a 11:00 a.m.</t>
  </si>
  <si>
    <t>Gestion Humana</t>
  </si>
  <si>
    <t>Carolina Cuartas</t>
  </si>
  <si>
    <t>Se revisa los ajustes de la primera revisión, se devuelve con dos pequeños ajustes, para impresión y firma, se dejan pendientes siete OM que se pregunta en el correo quien debe formularlas.</t>
  </si>
  <si>
    <t>2:00 a 2:30 p.m.</t>
  </si>
  <si>
    <t>Nicolas Padilla</t>
  </si>
  <si>
    <t>Se realiza revisión de coherencia y se devulve con observaciones por correo institucional, las observaciones tiene que ver con el diligenciamiento del formato y la determinación de las causas.</t>
  </si>
  <si>
    <t>Elaborar y comunicar los actos administrativos de prorroga de los encargados y nombramientos provisionales</t>
  </si>
  <si>
    <t>Auditoria combinada Administración de la Información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</si>
  <si>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</si>
  <si>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</si>
  <si>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</si>
  <si>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t>10 a 10:30 a.m.</t>
  </si>
  <si>
    <t>Se reviso el archivo con las correcciones de la primera revisión, se reenvía con la observacion de mejorar el análisis de acusas, para poder formular mejor las acciones.</t>
  </si>
  <si>
    <t>No se mejor el análisis de causas, se devulve archivo con observaciones la mayoría igual que la primera revisión.</t>
  </si>
  <si>
    <t>7:40 a 8:30 a.m.</t>
  </si>
  <si>
    <t>07:40 a.m. 8:20 a.m.</t>
  </si>
  <si>
    <t>Se explica las observaciones personalmente al enlace para su ajuste</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</si>
  <si>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</si>
  <si>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t>Se da cierre por José Orjuela en seguimiento en enero de 2016, comprobando el cumplimiento, y los soportes se dejan en carpeta de soportes del plan de mejoramiento</t>
  </si>
  <si>
    <t>07:52:00 a.m. a 9:11 a.m.</t>
  </si>
  <si>
    <t>Se revisa el plan de mejoramiento en borrador, se generan algunas recomendaciones frente a las acciones formuladas y a los indicadores, se deja como compromiso ajustar, revisar las fechas de cumplimiento de remitir a CI</t>
  </si>
  <si>
    <t>Solicitar un concepto al DASCD, sobre la validez del documento presentado por el funcionario para efectos de certificar el cumplimiento de requisitos respecto a la educación formal (especialización) solicitada en convocatoria</t>
  </si>
  <si>
    <t>Decepcionar el recibo de pago de arriendo, firmado por el arrendador</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</si>
  <si>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</si>
  <si>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</si>
  <si>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 xml:space="preserve">3. Líder del proceso de Mejoramiento de Vivienda.
</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</si>
  <si>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</si>
  <si>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</si>
  <si>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La acción se cumplió, pero se  verificará en la auditoría de esta vigencia  la efectividad de la  acción, para darle el respectivo cierre.
Se da cierre por José Orjuela en seguimiento en enero de 2016</t>
  </si>
  <si>
    <t>La acción se cumplió, pero se  verificará en la auditoría de esta vigencia  la efectividad de la  acción, para darle el respectivo cierre</t>
  </si>
  <si>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</si>
  <si>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t>Actualizar y aprobar la política de administración de la información en el capítulo de manejo y control de manuales de usuario.</t>
  </si>
  <si>
    <t>Prevención de Daño antijurídico y representación judicial</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</si>
  <si>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</si>
  <si>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Una vez se cuenta con el archivo debidamente organizado, se solicitará el apoyo del área de gestión documental para su foliación y digitalización de los documentos correspondientes.</t>
  </si>
  <si>
    <t>Establecer como actividad continua la digitalización del archivo de jurídica que se va generando diariamente. Actividad que se formalizará mediante comunicación escrita dirigida al responsable.</t>
  </si>
  <si>
    <t>Solicitar capacitación a la Alcaldía para SIPROJ al personal contratado</t>
  </si>
  <si>
    <t>Definir un punto de control en cabeza de un funcionario de planta para el seguimiento del SIPROJ, quien verificara y rendirá informe al Director Jurídico mensualmente. Registros que deben quedar en acta.</t>
  </si>
  <si>
    <t>Ajustar procedimiento de supervisión incluyendo un instrumento que me permita medir la gestión realizada a los procesos. (Se une con la acción anterior para el seguimiento de la gestión).</t>
  </si>
  <si>
    <t>2. Líder del proceso de Mejoramiento de Vivienda.</t>
  </si>
  <si>
    <t>Líder del proceso de Mejoramiento de Vivienda.</t>
  </si>
  <si>
    <t>Incluir en las reuniones de Control Interno que se efectúan  quincenalmente el  seguimiento y   la revisión de cumplimiento de las actividades para atender contingencias y replantear tiempos,  controlando el cumplimiento de compromisos por profesional.</t>
  </si>
  <si>
    <t>Mónica Bustamante</t>
  </si>
  <si>
    <t>Enviar al final del mes correo electrónico a los líderes de proceso que serán auditados en el mes siguiente.</t>
  </si>
  <si>
    <t>Administración y control de recursos</t>
  </si>
  <si>
    <t>Revisar y actualizar los documentos de los procedimientos e instructivos referenciados en el informe de auditoría</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</si>
  <si>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</si>
  <si>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</si>
  <si>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</si>
  <si>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Implementar las medidas o recomendaciones que al respecto establezca el concepto que emita el DASCD, sobre los documentos que permiten certificar la educación formal</t>
  </si>
  <si>
    <t>Ajustar el formato denominado Cumplimiento requisitos mínimos experiencia del cargo 208-SADM-Ft-22 en el cual se incluya un campo que permita identificar claramente el registro de las convalidaciones que se realicen.</t>
  </si>
  <si>
    <t>Programar una reunión del equipo de Reasentamientos para analizar los parámetros definidos al servicio conforme y las fuentes de información que me permiten su control.</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</si>
  <si>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</si>
  <si>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Revisar y/o actualizar, aprobar y oficializar la información inmersa en los formatos  de caracterización y seguimiento de servicio no conforme en el marco de la implementación del programa de mejoramiento de vivienda.</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</si>
  <si>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</si>
  <si>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Auditoria proceso Evaluación de la Gestión.</t>
  </si>
  <si>
    <t>Retomar el diligenciamiento del formato M-ODT-FM-023 certificación de actualización de información distrital del empleo y la administración publica-SIDEAP desde el mes de enero de 2016</t>
  </si>
  <si>
    <t>María Gladys Ramírez Morato</t>
  </si>
  <si>
    <t>Mónica Andrea Bustamante Portela</t>
  </si>
  <si>
    <t>Director(a) de Gestión Corporativa y CID-Jefe oficina de comunicaciones y Jefe oficina asesora de planeación</t>
  </si>
  <si>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</si>
  <si>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Priorizar el diseño de un Programa de Gestión de Documentos Electrónicos.</t>
  </si>
  <si>
    <t>Priorizar el diseño del Programa de Gestión de Documentos Electrónicos plantedo en el PGD</t>
  </si>
  <si>
    <t xml:space="preserve">Director(a) de Gestión Corporativa y CID - </t>
  </si>
  <si>
    <t>Director(a) de Gestión Corporativa y CID-jefe oficina de comunicaciones y jefe oficina de planeación</t>
  </si>
  <si>
    <t>Director(a) de Gestión Corporativa y CID - Jefe oficina asesora de comunicaciones</t>
  </si>
  <si>
    <t>Realizar jornadas de capacitación sobre la ley de transparencia y acceso a la información dirigidas a los lideres de los procesos y responsables delegados para la publicación de los contenidos en la pagina web</t>
  </si>
  <si>
    <t>Actulizar y socializar el esquema de publicación de información del portal web.</t>
  </si>
  <si>
    <t>Total acciones formuladas</t>
  </si>
  <si>
    <t>3. Revisar y/o aprobar el presupuesto a cada una de las actividades del proyecto 7328 a cargo de la Dirección de Mejoramiento de vivienda.</t>
  </si>
  <si>
    <t>No se verificará en esta acción sino en las nuevas acciones formuladas de atención a la encuesta de satisfacción del Cliente</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</si>
  <si>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</si>
  <si>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</si>
  <si>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</si>
  <si>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t>Se oficializó el Plan de Mejoramiento como analisis del resultado de la encuesta de Satisfacción del cliente del 2014. Este plan de mejoramiento s enemarcó su hallazgo en: "Encuesta de percepción realizada a los ciudadanos" neto se como resultado de la</t>
  </si>
  <si>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</si>
  <si>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 xml:space="preserve">6. Realizar revisión semestral de los resultados originados en el análisis del cumplimiento del plan de acción.
</t>
  </si>
  <si>
    <t>Jurídco</t>
  </si>
  <si>
    <t>No requiere plan de mejoramiento, en razón a que este hallazgo se identifico el 26-09-2014.</t>
  </si>
  <si>
    <t>02:30:00 p.m. a 3:30 p.m.</t>
  </si>
  <si>
    <t>Administración de la Información - Administracion y Control de Recursos</t>
  </si>
  <si>
    <t>Silenia Neira Torres</t>
  </si>
  <si>
    <t>Gloria Marcela Luna
Ana Sofia Estupiñan
Maria Helena Pedraza</t>
  </si>
  <si>
    <t>Se revisa el plan de mejoramiento en borrador que se genero del informe de Derechos de autor, se evaluan la corrección propuestas y las acciones correctivas y preventivas frente a la oportunidad de mejora generada, se deja como compromiso ajustar, revisar las fechas de cumplimiento  y evaluar los recursos necesarios con el lider del proceso para ejecutar las acciones correctiva.</t>
  </si>
  <si>
    <t>4. Solicitar la formalización del ajuste de las actividades del proyecto 7328 inmersas en el Plan Operativo Anual.</t>
  </si>
  <si>
    <t>4:22 a 4:40 p.m.</t>
  </si>
  <si>
    <t>Gloria Marcela Luna
Ana Sofia Estupiñan</t>
  </si>
  <si>
    <t>Se revisa el plan de mejoramiento, se devulve via correo institucional para ajustar una palabra y para que incluyan el responsable de la primera acción correctiva, con esto ya se puede firmar.</t>
  </si>
  <si>
    <t>Servicio al ciudadano</t>
  </si>
  <si>
    <t>Glora Marcela Luna</t>
  </si>
  <si>
    <t xml:space="preserve">Al consultar la pagína web, no se encuentra información el nombre del servidor (a) que se ejerce la función de Defensor de Ciudadano, ni tampoco es posible consulta la Resolución 4142 de 2015 </t>
  </si>
  <si>
    <t>Director (a) de Gestión Corporativa o contratista servicio al ciudadano</t>
  </si>
  <si>
    <t>Publicar en la página WEB la resolución 4142 de 2015  en la página WEB, y del nombre del servidor (a) que ejerce la funcion de Defensor del Ciudadano</t>
  </si>
  <si>
    <t xml:space="preserve">Director (a) de Gestión Corporativa o contratista servicio al ciudadano </t>
  </si>
  <si>
    <t>08:00:00 a.m. a 11:20 a.m.</t>
  </si>
  <si>
    <t>Se revisa el plan de mejoramiento, los primeros seis puntos sola y se hace reunión con Silenia Neira y la encargada de servicio al ciudadano informando lo encontrado en los primeros seis puntos y terminando la revisión de la matriz. Se dejan observaciones respecto del análisis de causas, corrección fechas, redactar mejor las acciones</t>
  </si>
  <si>
    <t xml:space="preserve">En el área de atención y servicio al ciudadano, la pantalla que brinda información se encuentra inactiva y por lo tanto no se encuentra articulada con el digiturno </t>
  </si>
  <si>
    <t xml:space="preserve">El líder del proceso debe asegurarse de atender y formular las acciones enmarcadas en el plan de mejoramiento a partir de los informes de PQRS en la vigencia 2015 y de la auditoría de control interno  </t>
  </si>
  <si>
    <t>Al verificar el procedimiento se encontró que se encuentra desactualizado, por referencias normativas que ya fueron derogadas (resoluciones 1115 de 2010 y 1054 de 2012</t>
  </si>
  <si>
    <t>Las pantallas se activaron el día 28 de Abril de 2016 y actualmente se encuentran activas.</t>
  </si>
  <si>
    <t>13-06-2013 se cerro 1, 2, 5. Abiertas 3, 4 y 6, soporte en carpeta Daño antijurídico 2012.
20-04-2016 En la presente auditoria se evidencio que existen documentos en el contrato 606 de 2015 que no corresponden. Se recomienda analizar nuevamente las causas y replantear acciones.</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</si>
  <si>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r>
      <rPr>
        <b/>
        <sz val="10"/>
        <color theme="1"/>
        <rFont val="Arial"/>
        <family val="2"/>
      </rPr>
      <t xml:space="preserve">20-04-2016
</t>
    </r>
    <r>
      <rPr>
        <sz val="10"/>
        <color theme="1"/>
        <rFont val="Arial"/>
        <family val="2"/>
      </rPr>
      <t>El manual se actualizó el 31 de diciembre de 2015 V2 y se publicó en la carpeta de calidad; igualmente la resolución de honorarios se actualizó (resolución 14 del 7 de enero de  2015). 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r>
  </si>
  <si>
    <t>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</si>
  <si>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
</t>
    </r>
    <r>
      <rPr>
        <b/>
        <sz val="10"/>
        <color theme="1"/>
        <rFont val="Arial"/>
        <family val="2"/>
      </rPr>
      <t>20-04-2016</t>
    </r>
    <r>
      <rPr>
        <sz val="10"/>
        <color theme="1"/>
        <rFont val="Arial"/>
        <family val="2"/>
      </rPr>
      <t xml:space="preserve">
Se actualizó el Manual de Contratación y Supervisión el 31 de diciembre de 2015.</t>
    </r>
  </si>
  <si>
    <t>Se verificará su eficacia en la revisión de los contratos que hacen parte de la Auditoría  para el 2015 
Se verificó en auditoria dl 2016 que existen los criterios.</t>
  </si>
  <si>
    <r>
      <t xml:space="preserve">15/01/2015 
No se evidencia del traslado a las autoridades competentes , la acción sigue abierta.
</t>
    </r>
    <r>
      <rPr>
        <b/>
        <sz val="10"/>
        <color theme="1"/>
        <rFont val="Arial"/>
        <family val="2"/>
      </rPr>
      <t xml:space="preserve">20-04-2016
</t>
    </r>
    <r>
      <rPr>
        <sz val="10"/>
        <color theme="1"/>
        <rFont val="Arial"/>
        <family val="2"/>
      </rPr>
      <t>Se dio traslado a control disciplinario con el memorando 2014IE4588 del 9 de septiembre de 2014.</t>
    </r>
  </si>
  <si>
    <t>Se evidenció el traslado a Disciplinarios, se debe incluir en auditoria a Gestión Humana para verificar su eficcia</t>
  </si>
  <si>
    <t>El trámite se realiza en la dirección Jurídica</t>
  </si>
  <si>
    <t>El documento si se requiere en el proceso solo que se archiva en finaciera.</t>
  </si>
  <si>
    <t>Se cierra este hallazgo teniendo en cuenta que en auditoria del 31-05-2013 se generó este mismo hallazgo y otro plan de mejoramiento, el seguimiento se realiza desde ese hallazgo</t>
  </si>
  <si>
    <t>La entidad en su página web no pública actualizaciones del plan anual de adquisiciones como lo disponen los artículos 6 y 7 del Decreto Reglamentario 1510 de 2013.</t>
  </si>
  <si>
    <t>No se evidencia en la totalidad de los contratos el formato de delegación de la supervisión. (Ver numeral 5 de este informe).</t>
  </si>
  <si>
    <t>No se generan plan de mejoramiento oportuno frente a los hallazgos de auditorías internas</t>
  </si>
  <si>
    <t>Julio Alberto Pineda</t>
  </si>
  <si>
    <t xml:space="preserve">04:00:00 p.m. 4:30 p.m. </t>
  </si>
  <si>
    <t>Se devuelve con observaciones generales de análsis de causas, formulación de indicadores y evaluar las acciones planteadas frente al análsis de causas. Se devuelve por correo institucional y se espera el ajuste.</t>
  </si>
  <si>
    <t>Roberto Carlos Narvaes</t>
  </si>
  <si>
    <t xml:space="preserve">10:00 a 11:0o a.m. y de 3:00 a 3:15 </t>
  </si>
  <si>
    <t>Se revisaron los ajustes recomendados, se mejoraron la determinación de causas, se explicaron algunos hallazgos y se corrigieron algunos indicadores</t>
  </si>
  <si>
    <t>2015 y 2016</t>
  </si>
  <si>
    <t xml:space="preserve">el cierre se realiza atendiendo la recomendación de control interno, en auditoria de realizar nuevo análsiis de causas y replantear las acciones que ayuden a eliminar el hallazgo. </t>
  </si>
  <si>
    <t>Depurar la documentación y organizar las vigencias 2014 y 2015 de acuerdo con la norma archivistica igente.</t>
  </si>
  <si>
    <t>Ajustar expedientes vigencia 2016 a lanorma archivistica vigente.</t>
  </si>
  <si>
    <t>Generar espacios en el Comité de Contratación para realizar el análisis de casos contractuales,  susceptibles de mejoramiento continuo.</t>
  </si>
  <si>
    <t>15-01-2015
La Dirección Jurídica no ha diseño indicadores que permitan verificar el cumplimiento de la gestión
03-09-2014
Esta actividad sigue abierta , ya que la Dirección Jurídica no ha diseñado indicadores de gestión , y estando sujetos al Ajuste Institucional.
18-05-2016 Se solicita cambio de fecha finalización para 31 de diciembre de 2016</t>
  </si>
  <si>
    <t>Se elaborará un documento interno con el fin de indicar a quienes adelantan el proceso contractual en la Dirección Jurídica cuales son las responsabilidades, lineamientos de organización y verificación de la documentación y lista de chequeo.</t>
  </si>
  <si>
    <t>Yamile Castiblanco</t>
  </si>
  <si>
    <t>2013 a 2016</t>
  </si>
  <si>
    <t>Revisar en SECOP la publicación de los contratos 282 y 283 de 2015, confirmando la publicación legal requerida.</t>
  </si>
  <si>
    <t>Subdirección Administrativa</t>
  </si>
  <si>
    <t>Incluir el formato 208-SADM-Ft-63 en la carpeta de calidad dentro del proceso de adquisición  de bienes y servicios</t>
  </si>
  <si>
    <t>Revisar en SECOP la publicación de los contratos 278, 282, 283 Y 284 de 2015, confirmando la publicación legal requerida.</t>
  </si>
  <si>
    <t>09:00:00 a.m. a 10 a.m.</t>
  </si>
  <si>
    <t>Se envía correo indicando que hay que mejorar el análisis de causas para poder determinar las acciones y que falta incluir los hallazgos del informe del 20 de abril del 2016 seis en total.</t>
  </si>
  <si>
    <t>Profesional de servicio al ciudadano realizará seguimiento trimestral para verificar que la  información relacionada con Servicio al ciudadano, se encuentre actualizada y publicada</t>
  </si>
  <si>
    <t>Diariamente se verificará que las pantallas se encuentren activas</t>
  </si>
  <si>
    <t>Designar un responsable para realizar seguimiento y formulación de los planes de mejoramiento del proceso</t>
  </si>
  <si>
    <t>Aplicar el manual de supervisión frente al cumplimiento de obligaciones</t>
  </si>
  <si>
    <t>actualizar el normograma del proceso incluyendo la normatividad vigente</t>
  </si>
  <si>
    <t>Fecha de corte:</t>
  </si>
  <si>
    <t>Estado de las acciones formuladas</t>
  </si>
  <si>
    <t>Formulación plan de mejoramiento</t>
  </si>
  <si>
    <t>Total
hallazgo</t>
  </si>
  <si>
    <t>Realizar reunión con la persona que elabora los informes mensuales de PQR´S, para solicitar que se incluya datos referentes a los temas más recurrentes o importantes por cada proceso, enviar copia a control interno.</t>
  </si>
  <si>
    <t xml:space="preserve">Ampliar en los informe semestral de la vigencia de 2016, presentados por control interno, la verificación y análsis de la respuestas dadas por la entidad a los PQR´S. </t>
  </si>
  <si>
    <t>Con el reporte mensual de Servicio al Ciudadano de PQR´S solicitar a los líderes de los procesos correspondientes la generación del plan de mejoramiento.</t>
  </si>
  <si>
    <t>Se realiza la acción, se cierra esta acción y se generan otras que nos ayuden a eliminar el hallazgo.</t>
  </si>
  <si>
    <t>Se da cierre ya que la acción fue base para proyectar el programa de auditorias del 2016, se espera al seguimiento y análisis del programa de auditorias ver si es necesario realizar más acciones</t>
  </si>
  <si>
    <t>Se cumple la acción, hay que evaluar al cierre de vigencia para determinar si es efectiva</t>
  </si>
  <si>
    <t>En las auditorias de cada proceso y en especial de ateción al ciudadano verificar el estado de los planes de mejoramiento generados por el análsis de los PQR´S e incluir en el informe de auditoria el resultado observado.</t>
  </si>
  <si>
    <t>Profesional control interno - Maria Gladys Ramirez</t>
  </si>
  <si>
    <t>Contratista de control interno</t>
  </si>
  <si>
    <t>Maria Helena</t>
  </si>
  <si>
    <t xml:space="preserve">Se elimina una columna de esta herramienta, enmarcada "Responsable Entes externos" considerando que en esta herramienta solo se registra planes de mejoramiento internos. </t>
  </si>
  <si>
    <t xml:space="preserve">Se incluye un hoja de  "Resumen Vig2016" donde se formula el resultado del consolidado, presentando el estado de los hallazgos, acciones y seguimiento para cada proceso. </t>
  </si>
  <si>
    <t>% Cumplimiento gestión</t>
  </si>
  <si>
    <t>Control Interno</t>
  </si>
  <si>
    <t>Boton de Control Cuentas</t>
  </si>
  <si>
    <t>Gestión estratégica</t>
  </si>
  <si>
    <t>Julián Fonseca</t>
  </si>
  <si>
    <t>Glor Marcela Luna
María Helena Pedraza</t>
  </si>
  <si>
    <t>Se revisaron causas y acciones, de devulve via correo con observaciones en el análisis de causas y formulación de acciones aclarando que no son preventivas sino correctivas. Falta indicadores.</t>
  </si>
  <si>
    <t>09:45:00 a.m. a 11:13</t>
  </si>
  <si>
    <t>10:00 a.m. a 11:10 a.m.</t>
  </si>
  <si>
    <t>Segunda revisión, se realiza reunión con Julio Alberto Pineda y Alexander  nuevo enlace de Comunicaciones, se toma hallazgo por hallazgo y se solicita profundizar en las causas y de acuerdo a ellas si formular las acciones. Se explica que si las causas de varios hallazgos son las mismas, estas se pueden unir para definir las acciones, se explica sobre la formulación de indicadore y sobre la responsabilidad de reportar trimestralmente el seguimiento a control interno, igualmente se recuerda que el archivo del plan de mejoramiento debe ser manjado por el líder del proceso. Queda pendiente corregir y volver a envíar para revisión de coherencia de Control Interno.</t>
  </si>
  <si>
    <r>
      <rPr>
        <b/>
        <sz val="10"/>
        <color theme="1"/>
        <rFont val="Arial"/>
        <family val="2"/>
      </rPr>
      <t>22 marzo 2016</t>
    </r>
    <r>
      <rPr>
        <sz val="10"/>
        <color theme="1"/>
        <rFont val="Arial"/>
        <family val="2"/>
      </rPr>
      <t xml:space="preserve">: Este proyecto de inversión no ha definido un presupuesto para cada una de las actividades, considerando que este presupuesto se invierte en la contratación de los profesionales y técnicos que desarrollaron las diversas actividades.  
</t>
    </r>
    <r>
      <rPr>
        <b/>
        <sz val="9"/>
        <color theme="1"/>
        <rFont val="Arial"/>
        <family val="2"/>
      </rPr>
      <t>10 de noviembre de 2015</t>
    </r>
    <r>
      <rPr>
        <sz val="9"/>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9"/>
        <color theme="1"/>
        <rFont val="Arial"/>
        <family val="2"/>
      </rPr>
      <t>6 de mayo de 2015</t>
    </r>
    <r>
      <rPr>
        <sz val="9"/>
        <color theme="1"/>
        <rFont val="Arial"/>
        <family val="2"/>
      </rPr>
      <t>: Mediante otro plan de mejoramiento se cambia fecha de cumplimiento y las acciones a seguir.</t>
    </r>
  </si>
  <si>
    <t>Se recibio informe según CORDIS 2016IE4535, el 27 de junio de 2016</t>
  </si>
  <si>
    <r>
      <rPr>
        <b/>
        <sz val="10"/>
        <color theme="1"/>
        <rFont val="Arial"/>
        <family val="2"/>
      </rPr>
      <t xml:space="preserve">22 marzo 2016: </t>
    </r>
    <r>
      <rPr>
        <sz val="10"/>
        <color theme="1"/>
        <rFont val="Arial"/>
        <family val="2"/>
      </rPr>
      <t>Este proyecto de inversión no ha definido un presupuesto para cada una de las actividades, considerando que este presupuesto se invierte en la contratación de los profesionales y técnicos que desarrollaron las diversas actividades.</t>
    </r>
    <r>
      <rPr>
        <sz val="9"/>
        <color theme="1"/>
        <rFont val="Arial"/>
        <family val="2"/>
      </rPr>
      <t xml:space="preserve">
</t>
    </r>
    <r>
      <rPr>
        <b/>
        <sz val="9"/>
        <color theme="1"/>
        <rFont val="Arial"/>
        <family val="2"/>
      </rPr>
      <t>10 de noviembre de 2015</t>
    </r>
    <r>
      <rPr>
        <sz val="9"/>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</si>
  <si>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Se definió con el lider del proceso presentar un informe que permita evidenciar los soportes de cumplimiento del presupuesto
10 de noviembre de 2015: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</si>
  <si>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t>
    </r>
    <r>
      <rPr>
        <b/>
        <sz val="10"/>
        <color theme="1"/>
        <rFont val="Arial"/>
        <family val="2"/>
      </rPr>
      <t xml:space="preserve">
</t>
    </r>
    <r>
      <rPr>
        <b/>
        <sz val="9"/>
        <color theme="1"/>
        <rFont val="Arial"/>
        <family val="2"/>
      </rPr>
      <t>10 de noviembre de 2015</t>
    </r>
    <r>
      <rPr>
        <sz val="9"/>
        <color theme="1"/>
        <rFont val="Arial"/>
        <family val="2"/>
      </rPr>
      <t xml:space="preserve">: Se requiere un informe de las actividades que se ajustaron para la POA vigente 2015. Responsable Janeth Abella. Para el 13 de noviembre de 2015. (firmado por el jefe)
</t>
    </r>
    <r>
      <rPr>
        <b/>
        <sz val="9"/>
        <color theme="1"/>
        <rFont val="Arial"/>
        <family val="2"/>
      </rPr>
      <t xml:space="preserve">6 de mayo de 2015: </t>
    </r>
    <r>
      <rPr>
        <sz val="9"/>
        <color theme="1"/>
        <rFont val="Arial"/>
        <family val="2"/>
      </rPr>
      <t xml:space="preserve">Mediante otro plan de mejoramiento se cambia fecha de cumplimiento y las acciones a seguir. </t>
    </r>
    <r>
      <rPr>
        <sz val="10"/>
        <color theme="1"/>
        <rFont val="Arial"/>
        <family val="2"/>
      </rPr>
      <t xml:space="preserve">
</t>
    </r>
    <r>
      <rPr>
        <b/>
        <sz val="8"/>
        <color theme="1"/>
        <rFont val="Arial"/>
        <family val="2"/>
      </rPr>
      <t xml:space="preserve">30 de Diciembre de 2014: </t>
    </r>
    <r>
      <rPr>
        <sz val="8"/>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</si>
  <si>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t xml:space="preserve">1. No han sido publicadas en la carpeta de calidad, con la frecuencia que solicitó la Oficina Asesora de Planeación,  herramientas como:
• Matriz de Riesgos,
• Plan de acción
• Reporte de producto y/o servicio no conforme
• Reporte y control del diseño y desarrollo
• Actualización del normograma
</t>
  </si>
  <si>
    <t>2. Efectuar el análisis de los riesgos después de cumplidas las acciones, con el fin de definir si estas pasan a ser controles del procedimiento o si se requiere plantear nuevas acciones que permitan minimizar los riesgos.</t>
  </si>
  <si>
    <t xml:space="preserve">3. El registro de formato “Programación y avance actividades proyectos de inversión, con código: 208-PLA-Ft-12, versión 2, para los proyecto de inversión 7328 y 962, no fue presentado dentro del formato definido en la carpeta de calidad. Así mismo los porcentajes presentados no corresponden a una programación total en la vigencia, al considerar las obras de las diferentes APIS en las vigencias 2015, 2014 y 2013. </t>
  </si>
  <si>
    <t>Se evidencia la elaboración del Plan de Acción de Gestión con seguimiento a 30 de abril 2016, sin embargo,  no se encontró formalizado y publicado en la carpeta de calidad</t>
  </si>
  <si>
    <t>Al verificar el PI 208 FUSS, POA y PAG no se evidenció la inclusión de la meta intermedia, referida a la ejecución de los contratos 605, 606 y 611 de 2015 cuyos objetos son: realizar mantenimientos, reparaciones e interventorías. ni la variación de la meta 3 con relación a los dos procesos que no fueron viables.</t>
  </si>
  <si>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</si>
  <si>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8"/>
        <color theme="1"/>
        <rFont val="Arial"/>
        <family val="2"/>
      </rPr>
      <t xml:space="preserve">19 de mayo de 2016. </t>
    </r>
    <r>
      <rPr>
        <sz val="8"/>
        <color theme="1"/>
        <rFont val="Arial"/>
        <family val="2"/>
      </rPr>
      <t xml:space="preserve">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</si>
  <si>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10"/>
        <color theme="1"/>
        <rFont val="Arial"/>
        <family val="2"/>
      </rPr>
      <t>19 de mayo de 2016.</t>
    </r>
    <r>
      <rPr>
        <sz val="10"/>
        <color theme="1"/>
        <rFont val="Arial"/>
        <family val="2"/>
      </rPr>
      <t xml:space="preserve"> Mediante la Resolución 0381 del 20 de marzo de 2015 se ajustó el mapa de procesos con inclusión del proceso de Servicio al Ciudadano
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</si>
  <si>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cumplio la acción adecuadamente</t>
  </si>
  <si>
    <r>
      <rPr>
        <b/>
        <sz val="10"/>
        <color theme="1"/>
        <rFont val="Arial"/>
        <family val="2"/>
      </rPr>
      <t>19 de mayo de 2016.</t>
    </r>
    <r>
      <rPr>
        <sz val="10"/>
        <color theme="1"/>
        <rFont val="Arial"/>
        <family val="2"/>
      </rPr>
      <t xml:space="preserve"> Se actualizaron las caracterizaciones de los trece procesos que conforman el mapa de procesos de la Resolución 381 del 2015. Estas caracterizaciones se incluyeron como registros en el formato 208-PLA-Ft-59 V1 de 14-04-2015 y se registra la "fecha la actualización". Sin embargo no obra control de cambios en el último registro
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r>
  </si>
  <si>
    <t>Se cierra la acción sin embargo se indica en el informe de la auditoria la observación que este documento no es posible llevar el control de cambios de este documento o registro (Considerando que es un documento de planeación)</t>
  </si>
  <si>
    <r>
      <rPr>
        <b/>
        <sz val="10"/>
        <color theme="1"/>
        <rFont val="Arial"/>
        <family val="2"/>
      </rPr>
      <t>19 de mayo de 2016.</t>
    </r>
    <r>
      <rPr>
        <sz val="10"/>
        <color theme="1"/>
        <rFont val="Arial"/>
        <family val="2"/>
      </rPr>
      <t xml:space="preserve"> Se revisan los registros del formato de Producto No conforme. No todos los procesos aplican el mismo criterio para este registro. Durante la vigencia 2015 todos los procesos hicieron el reporte. Sin embargo el manejo del formato 208-PLA-Ft-26 V4 no tiene la misma presentación en todos los procesos. (Ver Reasentamientos, Mejoramiento de Vivienda y Servicio al Ciudadano). Se van a revisar las formulaciones para la vigencia 2016 y se va a revisar con cada proceso su reporte.
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r>
  </si>
  <si>
    <r>
      <rPr>
        <b/>
        <sz val="10"/>
        <color theme="1"/>
        <rFont val="Arial"/>
        <family val="2"/>
      </rPr>
      <t>19de mayo de 2016.</t>
    </r>
    <r>
      <rPr>
        <sz val="10"/>
        <color theme="1"/>
        <rFont val="Arial"/>
        <family val="2"/>
      </rPr>
      <t xml:space="preserve"> Pendiente la actualización de diecisiete (17) procedimientos activos que no han sido actualizados. Se espera finalizar a mediados de agosto.
19 de diciembre de 2014:
A la fecha la OAP ha revisado 93 procedimientos a ser oficializados, de los cuales ya han sido oficializados 43</t>
    </r>
  </si>
  <si>
    <r>
      <rPr>
        <b/>
        <sz val="10"/>
        <color theme="1"/>
        <rFont val="Arial"/>
        <family val="2"/>
      </rPr>
      <t>19 de mayo de 2016.</t>
    </r>
    <r>
      <rPr>
        <sz val="10"/>
        <color theme="1"/>
        <rFont val="Arial"/>
        <family val="2"/>
      </rPr>
      <t xml:space="preserve"> Se actualizó el mapa de procesos y se gestionaron herramientas como el PAG y la matriz de Riesgos con indicadores enmarcados en los procesos.
19 de diciembre de 2014:
Se encuentra el seguimiento a los indicadores de proceso actualizados a septiembre de 2014.
Sin embargo los indicadores se deberán reformular o ajustar una vez sea aprobado el nuevo mapa de procesos.</t>
    </r>
  </si>
  <si>
    <t xml:space="preserve">Se recomienda formular indicadores que den cuenta del objetivo del proceso enmarcado en la misionalidad de la CVP. </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</si>
  <si>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Se encuentra el seguimiento a mapa de riesgos de los procesos, con corte a septiembre de 2014.
Sin embargo los riesgos muy posiblemente se deberán reformular o ajustar una vez sea aprobado el nuevo mapa de procesos.</t>
    </r>
  </si>
  <si>
    <t>Se cierra el hallazgo considerando el registro durante la vigencia de 2015</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</si>
  <si>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competencias de las responsables en el cargue de la información. Se cuenta con el procedimiento "programación, elaboración, ejecución, control y seguimiento del plan anual de adquisiciones. 208-PLA-Pr-20 v1 del 30 de diciembre de 2015, aunque no se menciona el enlace con el documento que se aprueba sobre el módulo de SI Capital - Contratación Esta acción es complemento de la anterior en cuento a la definición de las competencias y el hacer referencia a ellas (numeral 3.7 de esta manual propuesto).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r>
  </si>
  <si>
    <r>
      <rPr>
        <b/>
        <sz val="10"/>
        <color theme="1"/>
        <rFont val="Arial"/>
        <family val="2"/>
      </rPr>
      <t>9 de mayo de 2016</t>
    </r>
    <r>
      <rPr>
        <sz val="10"/>
        <color theme="1"/>
        <rFont val="Arial"/>
        <family val="2"/>
      </rPr>
      <t>. Se deben actualizar el procedimiento y el manual referencia respecto de dos normas que no corresponden: Decretos Distritales 456 de 2008 y 540 de 2013.
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r>
  </si>
  <si>
    <r>
      <rPr>
        <b/>
        <sz val="10"/>
        <color theme="1"/>
        <rFont val="Arial"/>
        <family val="2"/>
      </rPr>
      <t>19 de mayo de 2016</t>
    </r>
    <r>
      <rPr>
        <sz val="10"/>
        <color theme="1"/>
        <rFont val="Arial"/>
        <family val="2"/>
      </rPr>
      <t>. La acción se mantiene en la misma situación y se amplía la fecha al 31 de junio de 2016
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r>
  </si>
  <si>
    <r>
      <rPr>
        <b/>
        <sz val="10"/>
        <color theme="1"/>
        <rFont val="Arial"/>
        <family val="2"/>
      </rPr>
      <t xml:space="preserve">19 de mayo de 2016. </t>
    </r>
    <r>
      <rPr>
        <sz val="10"/>
        <color theme="1"/>
        <rFont val="Arial"/>
        <family val="2"/>
      </rPr>
      <t>Se debe gestionar la inclusión, dentro el PAG del proceso de Gestión Estratégica, de alguna acción tanto en el PIGA como en el PIRE para la vigencia 2016. Se solicita ampliar fecha.
En el PIGA hacer referencia a documentos de la Secretaría Distrital de Ambiente a través de la herramienta storm y en el PIRE se requiere formular un plan de acción especifico.
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r>
  </si>
  <si>
    <t>Se recomienda que estos enlaces sean en su mayor parte planta fija y que se mantenga la base de datos con esta identificación y comunique nuevamente para estos enlaces su responsabilidad con el PIGA.</t>
  </si>
  <si>
    <r>
      <rPr>
        <b/>
        <sz val="10"/>
        <color theme="1"/>
        <rFont val="Arial"/>
        <family val="2"/>
      </rPr>
      <t>19 de mayo de 2016.</t>
    </r>
    <r>
      <rPr>
        <sz val="10"/>
        <color theme="1"/>
        <rFont val="Arial"/>
        <family val="2"/>
      </rPr>
      <t xml:space="preserve"> Se debe gestionar la inclusión, dentro el PAG del proceso de Gestión Estratégica, de alguna acción tanto en el PIGA como en el PIRE para la vigencia 2016. Se solicita ampliar fecha.
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r>
  </si>
  <si>
    <r>
      <rPr>
        <b/>
        <sz val="10"/>
        <color theme="1"/>
        <rFont val="Arial"/>
        <family val="2"/>
      </rPr>
      <t>19 de mayo de 2016.</t>
    </r>
    <r>
      <rPr>
        <sz val="10"/>
        <color theme="1"/>
        <rFont val="Arial"/>
        <family val="2"/>
      </rPr>
      <t xml:space="preserve"> Se actualizó el PIRE, 208-PLA-Mn-02 versión 8 del 28 de abril de 2015 y se dio a conocer el 27 y 28 de agosto de 2015.
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r>
  </si>
  <si>
    <t>Se da cierre a la acción sin embargo se recomienda que dentro del PAG sea incluido el fortalecimiento de socialización de los documentos de plan institucional de PIGA y PIRE  y el ajuste del los enlaces de operación del PIRE.</t>
  </si>
  <si>
    <t>Se actualizó la misión y la visión de acuerdo con la resolución 381 de 2015</t>
  </si>
  <si>
    <t>Se verifica el registro en el procedimiento y en el Listado Maestro de documentos.
s.</t>
  </si>
  <si>
    <t>20Jun2016. Se cierra la acción. Se deja formulado como resultado de este ejercicio la oportunidad de la publicación de estos registros dentro de la carpeta de Producto No conforme</t>
  </si>
  <si>
    <t xml:space="preserve">No se reportan las herramientas de gestión en cumplimiento de los términos establecidos por la entidad.
Matriz de Riesgos,
- Plan de acción
- Reporte de producto y/o Servicio No conforme
- Reporte y control del Diseño y desarrollo
- Actualización del normograma
</t>
  </si>
  <si>
    <t>No se ha adelantado el registro de las actas del comité del Sistema Integrado de Gestión, para todos los comités reunidos en la vigencia 2016.</t>
  </si>
  <si>
    <t>El mapa de riesgos por procesos 2015 debe ser analizado para constatar que las acciones formuladas y ejecutadas aporten a efectos de mitigarlos, reducirlos o evitarlos y tomarlos como insumo en la construcción del mapa de riesgos de la vigencia 2016.</t>
  </si>
  <si>
    <t>No se ha elaborado la matriz de producto y/o Servicio No conforme</t>
  </si>
  <si>
    <t>No formularon plan pero se realiza seguimiento en la auditoria cerrada e 30 de junio de 2016</t>
  </si>
  <si>
    <t xml:space="preserve">16 de junio de 2016. 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</si>
  <si>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 xml:space="preserve">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</si>
  <si>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Respecto a los informes que deben entregar los abogados de representación judicial al Director Jurídico, no se evidencia el cumplimiento de uno de ellos, tampoco que haya sido requerido por el supervisor del contrato para la entrega de los mismos. Así mismo no se está cumpliendo con los tiempos establecidos en el procedimiento 208-DJ-Pr-08 “Seguimiento a los procesos judiciales”, el cual determina que su periodicidad debe ser semanal.</t>
  </si>
  <si>
    <t>Respecto al plan de mejoramiento revisado en el ejercicio de esta auditoría a cuatro hallazgos no se habían formulado acciones, igualmente se hizo seguimiento dentro del ejercicio de la auditoría.</t>
  </si>
  <si>
    <t>No se ha incluido en el normograma la Resolución 3564 del 31 de diciembre de 2015 expedida por el Ministerio de Tecnologías de la Información de las Comunicaciones. Los procedimientos 208-COM-Pr-03, 208-COM-Pr-04, 208-COM-Pr-05, 208-COM-Pr-06, 208-COM-Pr-07 y 208-COM-Pr-08 no se encuentran actualizados de conformidad con la norma citada.</t>
  </si>
  <si>
    <r>
      <rPr>
        <b/>
        <sz val="10"/>
        <color theme="1"/>
        <rFont val="Arial"/>
        <family val="2"/>
      </rPr>
      <t xml:space="preserve">14 de junio de 2016: </t>
    </r>
    <r>
      <rPr>
        <sz val="10"/>
        <color theme="1"/>
        <rFont val="Arial"/>
        <family val="2"/>
      </rPr>
      <t>En la página WEB que se encuentran publicados, tanto el nombre del Defensor del Ciudadano como la Resolución 4142 de 2015.</t>
    </r>
  </si>
  <si>
    <r>
      <rPr>
        <b/>
        <sz val="10"/>
        <color theme="1"/>
        <rFont val="Arial"/>
        <family val="2"/>
      </rPr>
      <t>14 de junio de 2016:</t>
    </r>
    <r>
      <rPr>
        <sz val="10"/>
        <color theme="1"/>
        <rFont val="Arial"/>
        <family val="2"/>
      </rPr>
      <t xml:space="preserve"> Correo enviado a Ángela Díaz  con contrato 264 de 2016 asignándole la función, de verificación trimestral que la información del proceso al servicio al ciudadano, se encuentre actualizada y publicada.</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</si>
  <si>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t>
    </r>
  </si>
  <si>
    <r>
      <rPr>
        <b/>
        <sz val="10"/>
        <color theme="1"/>
        <rFont val="Arial"/>
        <family val="2"/>
      </rPr>
      <t>14 de junio de 2016:</t>
    </r>
    <r>
      <rPr>
        <sz val="10"/>
        <color theme="1"/>
        <rFont val="Arial"/>
        <family val="2"/>
      </rPr>
      <t xml:space="preserve"> El normograma se encuentra actualizado y publicado en la carpeta de calidad con fecha 6 de mayo de 2016.</t>
    </r>
  </si>
  <si>
    <r>
      <rPr>
        <b/>
        <sz val="10"/>
        <color theme="1"/>
        <rFont val="Arial"/>
        <family val="2"/>
      </rPr>
      <t>14 de junio de 2016:</t>
    </r>
    <r>
      <rPr>
        <sz val="10"/>
        <color theme="1"/>
        <rFont val="Arial"/>
        <family val="2"/>
      </rPr>
      <t xml:space="preserve"> El contrato 057 de 2016, suscrito con Gilda Miriam España Rodríguez, establece dentro de las obligaciones específicas, actualizar la documentación del proceso. Esta acción se adelantará durante toda la vigencia.</t>
    </r>
  </si>
  <si>
    <r>
      <rPr>
        <b/>
        <sz val="9"/>
        <color theme="1"/>
        <rFont val="Arial"/>
        <family val="2"/>
      </rPr>
      <t xml:space="preserve">14 de juniode 2016: </t>
    </r>
    <r>
      <rPr>
        <sz val="9"/>
        <color theme="1"/>
        <rFont val="Arial"/>
        <family val="2"/>
      </rPr>
      <t>El contrato 057 de 2016, suscrito con Gilda Miriam España Rodríguez, establece dentro de las obligaciones específicas, actualizar la documentación del proceso. Esta acción se adelantará durante toda la vigencia. Falta la formulación del indicador de cumplimiento.</t>
    </r>
  </si>
  <si>
    <t>Verificar las acciones del mapa de riesgos para formulación conforme al PDD Bogotá Mejor para todos</t>
  </si>
  <si>
    <t xml:space="preserve">Hacer seguimiento a las metas de las sub-actividades para identificar su cumplimiento </t>
  </si>
  <si>
    <t>Aprobar las acciones correctivas y preventivas identificadas</t>
  </si>
  <si>
    <t xml:space="preserve">Dirección de Urbanización y Titulación </t>
  </si>
  <si>
    <t xml:space="preserve">Revisar y actualizar a tiempo cada una de las herramientas de la direccion de Mejoramiento de Vivienda, con el fin de mantener y oficializar los resultados de las mediciones </t>
  </si>
  <si>
    <t>Director de Mejoramiento de Vivienda, Coordinadores DMV y Profesional de planeación de la DMV</t>
  </si>
  <si>
    <t>Realizar la revisión de las acciones propuestas en la matriz de riesgos, con el fin de definir si se continua con el seguimiento o si se requiere realizar un nuevo planteamiento</t>
  </si>
  <si>
    <t xml:space="preserve">Se debe revisar y ajustar el formato " 208-PLA-Ft-12" según la carpeta de calidad y  realizar la revision y ajuste a los ponderados  de las actividades y subactividades </t>
  </si>
  <si>
    <t> Ajustar la minuta contractual para los abogados, incluyendo la renuncia de los poderes en término prudencial posterior a la terminación del contrato de prestación de servicios</t>
  </si>
  <si>
    <r>
      <rPr>
        <b/>
        <sz val="10"/>
        <color theme="1"/>
        <rFont val="Arial"/>
        <family val="2"/>
      </rPr>
      <t>14 de octubre de 2016</t>
    </r>
    <r>
      <rPr>
        <sz val="10"/>
        <color theme="1"/>
        <rFont val="Arial"/>
        <family val="2"/>
      </rPr>
      <t xml:space="preserve">. Mediante memorando 2016IE5811, la Dirección Jurídica remite los soportes para subsanar este hallazgo y una vez verificada la información se da cierre. En cuanto a la modificación de la minuta contractual se hará a partir de la vigencia 2017, según lo informado por el contratista Gilberto Suarez                               </t>
    </r>
    <r>
      <rPr>
        <b/>
        <sz val="10"/>
        <color theme="1"/>
        <rFont val="Arial"/>
        <family val="2"/>
      </rPr>
      <t>16 de junio de 2016</t>
    </r>
    <r>
      <rPr>
        <sz val="10"/>
        <color theme="1"/>
        <rFont val="Arial"/>
        <family val="2"/>
      </rPr>
      <t>. La abogada Yamile Castiblanco manifiesta que el poder otorgado a los abogados aún cuando no tengan vínculo con la entidad continua vigente si no se ha radicado la renuncia a los mismos o si no son aceptadas por el juez. Art 69 CPC, lo mantiene el Art 76 CGP. (Riesgo operativo). GENERAR PLAN DE MEJORAMIENTO</t>
    </r>
  </si>
  <si>
    <t>Se da cierre por Monica Bustamante  en Auditoria de octubre 20 de 2016, comprobando el cumplimiento.</t>
  </si>
  <si>
    <t>Ajustar el procedimiento de seguimiento a procesos judiciales para generar el punto de control del manejo, cuidado y custodia del archivo de gestión de defensa judicial de acuerdo a la normatividad archivística vigente.</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</si>
  <si>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</si>
  <si>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t xml:space="preserve">Se solicitará al proceso de Gestión Documental la capacitación y el apoyo para el levante, depuración y foliación de la documentacion de la Dirección jurídica </t>
  </si>
  <si>
    <t xml:space="preserve">Se da cierre por José Orjuela en seguimiento en enero de 2016, comprobando el cumplimiento       Se abre nuevamente por una observación realizada por la Contraloría </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</si>
  <si>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</si>
  <si>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t xml:space="preserve">Realizar capacitación en políticas de la prevención del daño antijurídico con 1 capacitación semestral. </t>
  </si>
  <si>
    <t xml:space="preserve">Se solicitara al proceso de Gestión Documental la capacitación y el apoyo para el levante, depuración y foliación de la documentación de la dirección jurídica. Así mismo, se solicitará que por parte del personal encargado del proceso de Gestión Documental se intervenga el archivo de esta Dirección para adelantar la labor de digitalización de la documentación allí obrante. </t>
  </si>
  <si>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</si>
  <si>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r>
      <t>14 de octubre de 2016</t>
    </r>
    <r>
      <rPr>
        <sz val="8"/>
        <color theme="1"/>
        <rFont val="Arial"/>
        <family val="2"/>
      </rPr>
      <t>. Se remiten por parte la Dirección Jurídica los registros de reunión, soportes del seguimiento que se hace a los procesos. Se cierra.</t>
    </r>
  </si>
  <si>
    <t xml:space="preserve">Auditoria Interna </t>
  </si>
  <si>
    <t>Al verificar la muestra de procesos judiciales se evidencia que persiste el mismo hallazgo de años anteriores. Desde 2012 se presenta la misma inconsistencia en las auditorías como: información desactualizada en el aplicativo SIPROJWEB. Por lo tanto no es eficaz la supervisión en los  contratos de representación judicial.     Se aclara que no es necesario formular plan de mejoramiento para este hallazgo, sino verificar el análisis de causa y las acciones planteadas en el plan de mejoramiento actual de la Dirección Jurídica; así mismo reformular las fechas de cierre de las mismas ya que se encuentran vencidas.</t>
  </si>
  <si>
    <t>Respecto a los informes que deben entregar los abogados de representación judicial al Director Jurídico, se evidencia que no se está haciendo uso de la herramienta para tal fin, denominada 208-DJ-Ft-44 REPORTES DE PROCESOS JUDICIALES; de igual manera no se adjunta a estos el formato histórico de actuaciones, que genera el aplicativo SIRPOJWEB.</t>
  </si>
  <si>
    <t xml:space="preserve">Director Jurídico </t>
  </si>
  <si>
    <t xml:space="preserve">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 Sin embargo la gestión adelantada es evaluada con relación a su eficacia y eficiencia, a través de la contratación de veracidad y oportunidad de la información contenida en el reporte mensual de procesos, entre el SIPROJ y la página web de la Rama Judicial. se tiene una base de 22 procesos que tienen fecha de otorgamiento de poder a los abogados que se encuentren vinculados actualmente a la CVP, posterior a la fecha de inicio del mismo, y a los caules les vamos a solicitar que actualicen el SIPROJ a partir del 1° de julio de 2016  </t>
  </si>
  <si>
    <t>Durante la revisión de los planes de acción se evidencian acciones que a la fecha no registran avance de ejecución, así como acciones que no establecían meta pero presentan avance de ejecución. El resultado, planes con mínimo avance en su ejecución, sin determinar medición y análisis de la misma para formular y ejecutar acciones de mejora</t>
  </si>
  <si>
    <t xml:space="preserve">Verificado en el Formato Único de Seguimiento Sectorial FUSS la ejecución del  proyecto 691, programada para el periodo 2012 – 2016,  presenta un mínimo  avance del siete punto cero ochenta y cinco por ciento (7.085%) de acuerdo con el reporte fechado el 30 de mayo. Este proyecto no continuará para el segundo periodo.  Esta situación se presenta debido a la mínima planeación  en la elaboración del proyecto. 
Debido a esta mínima planeación en los proyectos la institución corre el riesgo de no cumplir con las metas establecidas
</t>
  </si>
  <si>
    <t>Al verificar la actualización del normograma se evidencia que la publicación en la página web institucional no presenta la última actualización. Esta situación se presenta debido a la falta de control y trazabilidad con el documento para verificar su publicación.</t>
  </si>
  <si>
    <t>A partir del mes Julio de 2016 con el nuevo Plan de Desarrollo se efectúa seguimiento  a las metas de entrega de 2 zonas de cesión y cierre de 3 proyectos constructivos y de urbanismo para vivienda VIP y a los nuevos indiciadores planeados.</t>
  </si>
  <si>
    <t>A partir del mes Julio de 2016 con el nuevo Plan de Desarrollo se efectua seguimiento a las metas de  la titulación de 1000 predios, entrega de 2 zonas de cesión y cierre de 3 proyectos constructivos y de urbanismo para vivienda VIP y a los nuevos indiciadores planeados.</t>
  </si>
  <si>
    <t>Mensualmente se efectuará seguimiento a la publicación por parte de Planeación</t>
  </si>
  <si>
    <t xml:space="preserve">Auditoria </t>
  </si>
  <si>
    <t>Analizar el procedimiento para observar la alternativa de ajustes al mismo, en los pasos que se realizan a través E-mail. Se realizan actas de reuniones, documentación que requiere firma de los que participan.</t>
  </si>
  <si>
    <t>Oficina Asesora de Comunicaciones</t>
  </si>
  <si>
    <t>Revisión, análisis y ajuste (eliminación o modificación) del procedimiento para evidenciar la vigencia y aplicabilidad de los documentos enlistados.</t>
  </si>
  <si>
    <t>Revisión y actualización TRD para el área de comunicaciones.</t>
  </si>
  <si>
    <t>Crear carpeta virtual que evidencia el proceso. Generar un soporte que incluya la relación de los archivos guaradados de manera virtual para tener evidencia.</t>
  </si>
  <si>
    <t>La OAC lideró junto con la Dirección Corportativa el seguimiento a la actualización del Esquema de Publicaciones CVP; Activos de Información y Guía de Transparencia Activa de la Procuraduría y cada numeral de la Resolución 3564 de 2015</t>
  </si>
  <si>
    <t>La OAC cumple con la normatividad del Decreto 103 de 2015, Art. 4, y la Resolución 3564 de 2015 MINTIC,  en el link TRANSPARENCIA se despliega el acceso a TRANSPARENCIA Y ACCESO A LA INFORMACIÓN PÚBLICA , con todos los contenidos norma.</t>
  </si>
  <si>
    <t xml:space="preserve">La OAC lidera la solicitud de información a las diferentes direcciones corresponsables de la producción de ésta infromación del Directorio, con base en la normatividad. </t>
  </si>
  <si>
    <t>Los directorios, perfiles y demás información que señala la norma, se encuentran actualizados a corte abril 2016</t>
  </si>
  <si>
    <t xml:space="preserve">Este hallazgo tiene como acción de mejoramiento el de enlazar a la página web de CVP el formulario de búsqueda avanzada  de SECOP </t>
  </si>
  <si>
    <t xml:space="preserve">Se cuenta como una ayuda adicional al proceso de búsqueda del usuario, el chat en línea del SECOP. Para noviembre se tendrán las pruebas del  tutorial dirigido a los usuarios </t>
  </si>
  <si>
    <t>De acuerdo con los contenidos del Tíulo V del Decreto 103 de 2015 y la Resolución 3564 de 2015 MINTIC, lo señalado allí se encuentra hoy, marzo de 2016  publicado y actualizado.</t>
  </si>
  <si>
    <t xml:space="preserve">La OAC lidera junto con la Dirección Corportativa el seguimiento a la actualización del Esquema de Publicaciones CVP; Activos de Información y Guía de Transparencia Activa de la Procuraduría y cada numeral de la Resolución 3564 de 2015. </t>
  </si>
  <si>
    <t>En el menú de TRANSPARENCIA Y ACCESO A LA INFORMACIÓN PÚBLICA, numeral 10, Instrumentos de Gestión de Información Pública, se encuentran los contenidos regulados por el  Artículo  52 (Informes de solicitudes de acceso a información) del Decreto 103 de 2015.</t>
  </si>
  <si>
    <t>La OAC lidera junto con la Dirección Corportativa el seguimiento a la actualización del Esquema de Publicaciones CVP; Activos de Información y Guía de Transparencia Activa de la Procuraduría y cada numeral de la Resolución 3564 de 2015.</t>
  </si>
  <si>
    <t>Gestión Documental/ Oficina asesora de Comuniaciones</t>
  </si>
  <si>
    <t xml:space="preserve">La Dirección Corporativa, la OAC y profesionales Web Master y Transparencia </t>
  </si>
  <si>
    <t>El Enlace de la Dirección de Mejoramiento de Barrios con la Oficina Asesora de Planeación, solicita la publicación en la carpeta de la Calidad y comprueba que este publicado.</t>
  </si>
  <si>
    <t>María Fernanda Narváez</t>
  </si>
  <si>
    <t>El Enlace de la Dirección de Mejoramiento de Barrios con la Oficina Asesora de Planeación, realiza la planificación de las herrramientas de seguimiento incluyendo todos los procesos vigentes.</t>
  </si>
  <si>
    <t>Remitir comunicación (correo o memorando) a los enlaces y líderes de los procesos informando cuales de los procedimientos se encuentran en el formato anterior, y solicitar su concepto acerca de la necesidad o no de actualizarlos.</t>
  </si>
  <si>
    <t>Profesional  Oficina Asesora de Planeación</t>
  </si>
  <si>
    <t>Realizar una jornada de socialización a los enlaces de cada proceso donde se expondrá el formato de procedimiento y el contenido de los capítulos -Condiciones Generales (Políticas de Operación) y -Puntos de Control.</t>
  </si>
  <si>
    <t>Una vez recibida la respuesta por parte de los procesos, actualizar los procedimientos en el nuevo formato.</t>
  </si>
  <si>
    <t>Gestionar que el comité Directivo se reuna para que se Analice, revise y ajuste el Plan Estratégico de la Entidad.</t>
  </si>
  <si>
    <t>Comité Directivo - Jefe Oficina Asesora de Planeación.</t>
  </si>
  <si>
    <t>Solicitar a la Secretaría Distrital de Hábitat el envió de la última versión oficial del formato FUSS, socializarlo con los enlaces de los proyectos y hacer seguimiento mensual a su diligenciamiento. Con el envió de la información se solicitará que nos sea informado cualquier cambio futuro en el formato.</t>
  </si>
  <si>
    <t>Realizar nuevas jornadas de socialización a los enlaces de las dependencias, en el manejo de las herramientas de gestión.
Matriz de Riesgos,
- Plan de acción
- Reporte de producto y/o Servicio No conforme
- Reporte y control del Diseño y desarrollo
- Actualización del normograma</t>
  </si>
  <si>
    <t xml:space="preserve">Actualización inmediata correspondiente y presentación a la OAP para la respectiva publicacion </t>
  </si>
  <si>
    <t>La OAC contrató un profesional encargado de mantener actualizados los documentos de control normativo.</t>
  </si>
  <si>
    <t>Auditoria interna</t>
  </si>
  <si>
    <t>La organización documental de las historias laborales es inadecuada por carencia de organización cronológica y ausencia de registros que demuestren el cumplimiento de los procedimientos.</t>
  </si>
  <si>
    <t>Las primas técnicas reconocidas a los ex servidores María del Carmen Rincón Bohórquez, Olga Lucía Godoy Osorio y Manuel Alejandro Velásquez Ovalle carecen del debido sustento legal, puesto que se basaron, la primera en una certificación de terminación de estudios y no de un título profesional, y la segunda y el tercero en cursos de capacitación.</t>
  </si>
  <si>
    <t>El procedimiento 208 – SADM - pr13, para vinculación y desvinculación de servidores públicos,  vigente desde el 25 de noviembre de 2014, se encuentra desactualizado. No cuenta con el normograma cuya última actualización en la carpeta de calidad data del 30 de junio de 2016.</t>
  </si>
  <si>
    <t>No se encuentran publicados en la carpeta de calidad y por tanto no existe evidencia de haberse suscrito, los acuerdos de gestión de Audrey Álvarez Bustos y Adriana Forero Montoya.</t>
  </si>
  <si>
    <t>Realizar proceso de contratación de personal exclusivamente para la organización del archivo de las historias laborales que realicen las siguientes etapas:
1. Revisión de las historias laborales existentes bajo la supervisión por parte del Grupo de Gestión Documental.
2. Levantamiento del inventario documental de las historias laborales.
3. Organización de los expedientes de las historias laborales teniendo como base la aplicadción de las TRD que de acuerdo con las funciones se puede adelantar desde el año 2011, tomando como base las Circulares 04 de 2003 y 012 de 2004 expedidas por el Archivo General de la Nación.
4. Escaneo de las historias laborales y cargue en el sistema Zaffiro o el dispuesto por la Entidad, en aras de garantizar el acceso a la información de manera eficiente así como su conservación.</t>
  </si>
  <si>
    <t>Asignar una persona de perfil Asistencial con experiencia en el tema que se dedique exclusivamente para la gestión, organización, custodia e inclusión de archivos en las historias laborales, en aras a mantener las acciones adelantadas de la implementadión de la Acción Correctiva aquí planteada para así prevennir la ocurrencia de la no conformidad y mejorar continuamente dicha actividad.</t>
  </si>
  <si>
    <t>Subdirector (a) Administrativo (a)</t>
  </si>
  <si>
    <t>Subdirector (a) Administrativo (a)
Coordinador (a) de Gestión Documental</t>
  </si>
  <si>
    <t>1. Asignar un funcionario o contratista para la actualización del procedimiento.
2. Levantamiento de actas de mesas de trabajo y demás actividades que porpendan a obtener la información adecuada para la actualización del procedimiento con las personas que intervienen en éste.
3. Formulación de la actualización del Procedimiento.
4, Revisión del procedimiento por parte de los intervinientes.
5. Ajustes al procedimiento.
6. Presentación del procedimiento al Líder del proceso.
7. Ajustes finales al procedimiento.
8.  Aprobación del procedimiento por parte del Líder del proceso.
9. Presentación del procedimiento ante la Oficina Asesora de Planeación pra su oficialización y publicación.
10, Presentación del procedimiento actualizado a los funcionarios de la Entidad.</t>
  </si>
  <si>
    <t>Asignar a una persona que se encargue de la actualización del procedimiento y que aune esfuerzos con las personas intervinientes en dicho procedimiento para su adecuada actualización.</t>
  </si>
  <si>
    <t>Realizar la inclusión de información que esta pendiente por archivar en las historias laborales.</t>
  </si>
  <si>
    <t>Realizar circular interna de la Dirección Jurídica, donde se definan responsabilidades y lineamientos en la organización y verificación de la documentación de los procesos contractuales  y diligenciamiento de la lista de chequeo.</t>
  </si>
  <si>
    <t>Circular dirigida a todos aquellos que tienen la calidad de supervisor e interventor, con el fin de que den cumplimiento de allegar los documentos de los respectivos expedientes al archivo de contratación, incluye la socializacion del Manual de Contratación actualizado a 30 de diciembre de 2015</t>
  </si>
  <si>
    <t>Se emitió Circular 008 de 2016</t>
  </si>
  <si>
    <t>Como lider del proceso establecer cronograma con los encargados de las auditorias internas y de las herramientas de control, verificando el seguimiento y oportunidad de cada uno</t>
  </si>
  <si>
    <t>Nombre Auditor</t>
  </si>
  <si>
    <t>El normograma del proceso se encuentra desactualizado y no coincide con el consignado en el procedimiento 208-SADM-Pr-06 aprobado el 30 de noviembre de 2015</t>
  </si>
  <si>
    <r>
      <rPr>
        <b/>
        <sz val="10"/>
        <color theme="1"/>
        <rFont val="Arial"/>
        <family val="2"/>
      </rPr>
      <t xml:space="preserve">Noviembre 9 de 2016 </t>
    </r>
    <r>
      <rPr>
        <sz val="10"/>
        <color theme="1"/>
        <rFont val="Arial"/>
        <family val="2"/>
      </rPr>
      <t xml:space="preserve"> El hallazgo se cierra por lo expuesto en la acción </t>
    </r>
  </si>
  <si>
    <t>El literal b del paragrafo del articulo 3 del acuerdo 005 de 2008 establece para la prima técnica del nivel profesional: "Un 0.5% adicional por cada 40 horas de capacitación acreditadas hasta completar el 12,5%"  o hasta un 12.5% por especialización o postgrado no inferior a un año, o titulo universitario adicional de nivel profesional o de licenciatura. En cualquiera de los eventos ocntemplados la capacitación que se acredite deberá relacionarse o ser inherente a la profesión o desempeño del cargo. (negrilla subrayada fuera del texto original), con lo cual se precisa que no es fundamental poseer un titulo de formación de postgrado para obtener dicho porcentaje, sino que se puede suplir con capacitación acreditada, y fue por esta razón por medio de la cual se concedió dichos porcentajes a las personas nombradas en este hallazgo.</t>
  </si>
  <si>
    <r>
      <rPr>
        <b/>
        <sz val="10"/>
        <color theme="1"/>
        <rFont val="Arial"/>
        <family val="2"/>
      </rPr>
      <t xml:space="preserve">Noviembre 9 de 2016  </t>
    </r>
    <r>
      <rPr>
        <sz val="10"/>
        <color theme="1"/>
        <rFont val="Arial"/>
        <family val="2"/>
      </rPr>
      <t xml:space="preserve">El hallazgo se cierra por lo expuesto en la acción </t>
    </r>
  </si>
  <si>
    <r>
      <rPr>
        <b/>
        <sz val="10"/>
        <color theme="1"/>
        <rFont val="Arial"/>
        <family val="2"/>
      </rPr>
      <t>Diciembre 18</t>
    </r>
    <r>
      <rPr>
        <sz val="10"/>
        <color theme="1"/>
        <rFont val="Arial"/>
        <family val="2"/>
      </rPr>
      <t xml:space="preserve">/16:  Se verifico el cumplimiento de esta acción y no muestra avance ultima actualización del procedimiento fue en el año 2014. </t>
    </r>
  </si>
  <si>
    <t>Diciembre 18/16:  Se verifico el cumplimiento de esta acción y se verifica que la ultima actualización del formato se realizo el 22 de febrero de 2016, dando cumplimiento a la acción</t>
  </si>
  <si>
    <t>Claudia Yanet D'antonio Adame</t>
  </si>
  <si>
    <t>Yenny Milena Villamil Guerrero</t>
  </si>
  <si>
    <t>Graciela Zabala Rico</t>
  </si>
  <si>
    <t>Fernando Reinoso Guerra</t>
  </si>
  <si>
    <t>Carolina Montoya Duque</t>
  </si>
  <si>
    <t>Los documentos soporte de reembolso y ordenes de pago no se encuentran archivados a partir de los meses de julo, agosto y septiembre</t>
  </si>
  <si>
    <t>El archivo de la carpeta "Caja 2016(reembolsos)", presenta desorganización en la custodia de los recibos y formatos de la misma</t>
  </si>
  <si>
    <t>Según la Resolución 3218 del 29 de junio de 2016, artículo 3,existe la facultad de delegar, en un servidor publico del nivel Directivo, la responsabilidad de ordenación del gasto y de designar el servidor público responsable de la Caja Menor.</t>
  </si>
  <si>
    <t>Dentro del archivo se encontraba un póliza de seguro con la Aseguradora Previsora con número 92100000398, que no corresponde a la actualidad. La correcta es la No. 930-87-99400000065 de la Aseguradora Solidaria.</t>
  </si>
  <si>
    <t>El paragrafo tercero del articulo 3 de la Resolución 3218 de 2016 ordena que la designación del responsable de la caja menor se relizará mediante memorando, cuya copia se deberá a la Dirección de Gestión Corporativa y Cid, a la Subdirección Financiera y al oficina de control interno. No hay evidencia de este docuemento al momento del arqueo.</t>
  </si>
  <si>
    <t>No obra registro del arqueo y /o acompañamiento por parte de control interno en el momento de la entrega de la caja menor por parte de Andrea Cristina Melo Cerón, anterior responsable por su manejo.</t>
  </si>
  <si>
    <t xml:space="preserve">Se evidencia que hay documentos obsoletos, que aunque se encuentran en una carpeta para tal fin, no cuentan con una identificación que prevengan su uso no intencionado, tal como lo establece la norma en su numeral 4,2,3 Control de Documentos (Se evidenció en la carpeta "Planeación", backup archivos calidad documentos obsoletos"). Así mismo se observaron algunos documentos que no se encuentran protegidos, se incumple el numeral 4,2,3 de la norma NTCGP 1000 </t>
  </si>
  <si>
    <t>En el seguimiento al plan de mejoramiento del proceso se evidencian 33 acciones formuladas para 28 hallazgos, no se han cumplido y que a la fecha no se cuenta con base para su cierre. Además se evidencia que muchas de estas acciones no son apropiadas para dar tratamiento a las no conformidades encontradas, se incumple con los requisitos 8,5,2 de NTCGP 1000 y 7,3 de NTD-SIG 001</t>
  </si>
  <si>
    <t>Aunque se evidencian actos administrativos de adopción de la política de administración de riesgos, no se tiene establecida, implementada y divulgada una politica de riesgos para la entidad , con lo cual se incumple con lo establecido en el numeral 4,2,2 planificación de la gestión del riesgo de la norma NTD- SIG 001-2011</t>
  </si>
  <si>
    <t>Enviar un memorando al contratista José Leonardo  Pinto  Colorado.  solicitandole  el reintegro de los recursos faltantes en la caja menor.</t>
  </si>
  <si>
    <t>Ajustar el procedimiento de caja menor Código: 208-SADM-Pr-29 estbleciendo un punto de control que implique que responsable de caja menor relice un arqueo diario y ordenador del gasto, relice arqueos periodicos e implementar el control.</t>
  </si>
  <si>
    <t>Realizar arqueos periódicos a la operación de la Caja Menor</t>
  </si>
  <si>
    <t>Asignar  un fucionario de planta para el manejo de la caja menor.</t>
  </si>
  <si>
    <t>Actualizar el formato relación de pagos efectuados Código: 208-SADM-Ft-70 con la información actula e incluir el número y el nombre de la aseguradora de la póliza actual.</t>
  </si>
  <si>
    <t>Una vez se designe al funcionario responsable del manejo de la caja menor, se elaborá el respectivo  memeorando y se remitirá a las dependencias que corresponde.</t>
  </si>
  <si>
    <t>Cada vez que se cambie el reponsable de la caja menor se relizará un arqueo de acuerdo a lo establecido en el árticulo cuarto de la Resolución 0037 de 2016, dejando acta que evidencie el acompañamiento de control interno.</t>
  </si>
  <si>
    <t>Actualizar el procedimiento - Control de Documentos - 208 PLA-Pr-15, de manera que se deje claro el manejo de los documentos obsoletos.</t>
  </si>
  <si>
    <t xml:space="preserve">Establecer en el plan de acción de gestión, indicador asociado al cierre de hallazgos del plan de mejoramiento </t>
  </si>
  <si>
    <t>Actualizar la Resolución No 1354 - 2010 de manera que se ajuste y se incluya una política de administración del riesgo.</t>
  </si>
  <si>
    <t>Según se evidencia en el Listado maestro de documentos, desde el 2014 a la fecha, se han realizado 297 actualizaciones a los documentos del SGC. 
Cabe aclarar que corresponde a los responsables de procesos determinar la necesidad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Según lo establecido en la  Resolución 1358 del 8 de octubre de 2010 "Por medio de la cual se adopta el manual de procesos y procedimientos de la Caja de Vivienda Popular y se incluyen documentos de Gestión documental", es responsabilidad de las dependencias que conforman la estructura organizacional de la Caja de Vivienda Popular, mantener actualizados los procesos y procedimientos a su cargo.
Teniendo en cuenta que no es competencia de la Oficina Asesora de Planeación la actualización del contenido de los documentos de los procesos de la entidad. Se procede a cerrar las acciones y el hallazgo.</t>
  </si>
  <si>
    <r>
      <rPr>
        <b/>
        <sz val="10"/>
        <color theme="1"/>
        <rFont val="Arial"/>
        <family val="2"/>
      </rPr>
      <t>Diciembre 29 de 2016:</t>
    </r>
    <r>
      <rPr>
        <sz val="10"/>
        <color theme="1"/>
        <rFont val="Arial"/>
        <family val="2"/>
      </rPr>
      <t xml:space="preserve">
Ya se elaboró y formalizó el procedimiento respectivo.  Se encuentra publicado en la carpeta calidad y es vigente desde el 30 de diciembre de 2015. Procedimiento " PROGRAMACIÓN, ELABORACION, EJECUCION,
CONTROL Y SEGUIMIENTO DEL PLAN ANUAL
DE ADQUISICIONES"  208-PLA-Pr-20 , versión 01.
Se procede a cerrar la acción.</t>
    </r>
  </si>
  <si>
    <t>Revisión de la política de responsabilidad social y ejecución de las actividades asociadas a al Subsistema de Responsabilidad Social</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</si>
  <si>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accón y el hallazgo.</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</si>
  <si>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acción y el hallazgo.</t>
  </si>
  <si>
    <t>Diciembre 29 de 2016:
Se evidencia múltiples acciones tendientes al fortalecimiento de la política de responsabilidad social definida en la entidad.  
Se cuenta con un documento diagnóstico para la implementación del subsistema de responsabilidad social en articulación con el Sistema Integrado de Gestión y en cumplimiento al décimo quinto lineamiento distrital. En este documento se consolidan las actividades realizadas por la entidad respecto a cada una de las materias fundamentales de la responsabilidad social (gobernanza, derechos humanos, prácticas laborales, gestión ambiental, transparencia y anticorrupción y atención y servicio a la ciudadanía). Evidencia (\\serv-cv11\calidad\1. PROCESO DE GESTIÓN ESTRATÉGICA\DOCUMENTOS REFERENCIA\Responsabilidad Social\LINEAMIENTO 15).
La Oficina Asesora de Comunicaciones apoya el cubrimiento de todos los encuentros de participación ciudadana organizados por las áreas misionales de la entidad, en atención a la política de Rendición de Cuentas y la cultura de apertura de la información, transparencia y diálogo entre las entidades del estado y los ciudadanos. Se evidencia la divulgación de  la información a través dela página web, redes sociales (Facebook y Twitter), intranet, carteleras digitales, boletines de prensa, piezas gráficas y videos publicados en los diferentes medios internos y externos de la entidad. Evidencia (\\serv-cv11\calidad\27. PRESENTACIONES E INFORMES\SISTEMA INTEGRADO DE GESTIÓN\2016\RENDICIÓN CUENTAS).                                                                                                                                                                   
Adicionalmente, se han implementaron actividades para dar cumplimiento con la Política de Transparencia en el sentido de actualizar el Plan de Anticorrupción en los componentes de comunicaciones y rendición de cuentas. Así mismo se realizaron acciones de gestión operativa en aras de cumplir con la Ley 1712 de 2014 Ley de Transparencia y Acceso a la Información Pública. Se hizo seguimiento a la matriz de cumplimiento de Ley 1712, se actualizó el esquema de publicaciones y el sitio web de la entidad, como se describe a continuación. Evidencias en la Carpeta Comunicaciones/2016/Transparencia2016.
Teniendo en cuenta que se evidencian acciones  dirigidas al cumplimiento y fortalecimiento de la política de responsabilidad social, se procede a cerrar el hallazgo.</t>
  </si>
  <si>
    <r>
      <rPr>
        <b/>
        <sz val="8"/>
        <color theme="1"/>
        <rFont val="Arial"/>
        <family val="2"/>
      </rPr>
      <t>19 de mayo de 2016.</t>
    </r>
    <r>
      <rPr>
        <sz val="8"/>
        <color theme="1"/>
        <rFont val="Arial"/>
        <family val="2"/>
      </rPr>
      <t xml:space="preserve"> Se realizó reunión el 4 de septiembre de 2015 donde se tomaron decisiones para la disposición de estos residuos. Pendiente la evidencia del registro de reunión llevada a cabo
</t>
    </r>
    <r>
      <rPr>
        <b/>
        <sz val="8"/>
        <color theme="1"/>
        <rFont val="Arial"/>
        <family val="2"/>
      </rPr>
      <t>2 de Febrero de 2015:</t>
    </r>
    <r>
      <rPr>
        <sz val="8"/>
        <color theme="1"/>
        <rFont val="Arial"/>
        <family val="2"/>
      </rPr>
      <t xml:space="preserve">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t>
    </r>
    <r>
      <rPr>
        <b/>
        <sz val="8"/>
        <color theme="1"/>
        <rFont val="Arial"/>
        <family val="2"/>
      </rPr>
      <t xml:space="preserve">4 de Septiembre de 2015: </t>
    </r>
    <r>
      <rPr>
        <sz val="8"/>
        <color theme="1"/>
        <rFont val="Arial"/>
        <family val="2"/>
      </rPr>
      <t xml:space="preserve">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r>
  </si>
  <si>
    <t xml:space="preserve">
Se revisan los indicadores del proceso y se evidencia que se crearon dos (2) indicadores de eficacia, para  medir el cumplimiento del PIGA y el PIRE, estos fueron incluidos en el Plan de acción de gestión del proceso, con corte a 30 de diciembre 2016, para realizar seguimiento  del avance del cumplimiento a partir del primer trimestre de 2017. (evidencia plan de acción del proceso, publicado en la carpeta calidad).         
Teniendo en cuenta que con esto se da cumplimiento a la acción, Se procede a cerrar el hallazgo,                                                                                                                                                                                                                                                                                                                                                                                                                                                                                                                                                                                                                                                                                                                                                                                                                                                                                                                                                                                                                                                                                                                                                                                                                                                                                                                                                                                                                                                                                                                                                                                                                                                                                           
</t>
  </si>
  <si>
    <t xml:space="preserve">Se revisa el procedimiento, se evidencia su actualización en cuanto a normatividad, actividades, responsables, registros y demás aspectos. Se tienen registros que evidencian el desarrollo de las actividades de este. Se encuentra en versión 3 vigente a partir del 14 de diciembre de 2016. Evidencia: (\\serv-cv11\calidad\1. PROCESO DE GESTIÓN ESTRATÉGICA\PROCEDIMIENTOS\208-PLA-Pr-10 CRITERIOS AMB. PARA COMPRA Y GESTION CONTRACTUAL).
Teniendo en cuenta que se la acción fue eficaz, se procede a dar cierre al hallazgo.
</t>
  </si>
  <si>
    <t>Diciembre 29 de 2016:
Se revisa el procedimiento, se evidencia su actualización, en cuanto a actividades, responsables, registros y demás aspectos. Se tienen registros que evidencian el desarrollo de las actividades de este. Se encuentra en versión 3, vigente a partir del 14 de diciembre de 2016. De la fecha del hallazgo al día de hoy, ha sido actualizado 2 veces, como se puede evidenciar en el control de cambios del documento. Evidencia: procedimiento "Programa de uso eficiente de energía procedimiento para la gestión energética" 208-PLA-Pr-12, versión 3, publicado en la carpeta calidad (\\serv-cv11\calidad\1. PROCESO DE GESTIÓN ESTRATÉGICA\PROCEDIMIENTOS\208-PLA-Pr-12  GESTION ENERGETICA).
Teniendo en cuenta que se la acción fue eficaz, se procede a dar cierre al hallazgo.</t>
  </si>
  <si>
    <r>
      <rPr>
        <b/>
        <sz val="10"/>
        <color theme="1"/>
        <rFont val="Arial"/>
        <family val="2"/>
      </rPr>
      <t>19 de mayo de 2016.</t>
    </r>
    <r>
      <rPr>
        <sz val="10"/>
        <color theme="1"/>
        <rFont val="Arial"/>
        <family val="2"/>
      </rPr>
      <t xml:space="preserve"> En atención a que los enlaces son nuevos, el 28 de abril se oficializó, mediante correo, su identificación dentro del sistema SIG, donde se incluyen como enlaces ambientales. Se evidencia el listado de varias capacitaciones dadas en la vigencia 2016, como las del 19 de abril y el 3 de mayo.
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t>
    </r>
  </si>
  <si>
    <t>FFormular y/o ajustar el Plan de Acción de la entidad incluyendo indicadores que den cuenta del cumplimiento del PIRE.</t>
  </si>
  <si>
    <t xml:space="preserve">A la fecha, se evidencia la existencia del  “Plan Institucional de Respuesta a Emergencias PIRE” 208-PLA-Mn-02, versión 8. Se encuentra publicado en la carpeta calidad \\serv-cv11\calidad\1. PROCESO DE GESTIÓN ESTRATÉGICA\MANUALES\208-PLA-Mn-02 PLAN INSTITUCIONAL DE RESPUESTA A EMERGENCIAS\208-PLA-Mn-02 PIRE 2015. Vigente desde el 28 de abril de 2015.
Así mismo se cuanta con un Cronograma de actividades Plan Institucional de Respuesta a Emergencias 2015, debidamente publicado en la carpeta calidad \\serv-cv11\calidad\1. PROCESO DE GESTIÓN ESTRATÉGICA\MANUALES\208-PLA-Mn-02 PLAN INSTITUCIONAL DE RESPUESTA A EMERGENCIAS\ANEXOS PIRE.
Teniendo en cuenta que con esto se da cumplimiento a la acción, Se procede a cerrar el hallazgo, </t>
  </si>
  <si>
    <t xml:space="preserve">Se evidencia articulación de la política de responsabilidad social con las herramientas de gestión de la entidad. Así mismo,| con los objetivos de calidad definidos para la administración Bogotá Humana: "Promover la cultura de transparencia y probidad en desarrollo de los objetivos y procesos de la entidad" y "Promover una comunicación integral para construir relaciones de confianza con los actores con los cuales interactúa la entidad ".
En el marco del proyecto de inversión " Fortalecimiento institucional para la transparencia, participación ciudadana, control y responsabilidad social y anticorrupción" , se evidencian actividades como : 
1. Seguimiento al  plan de trabajo definido en la implementación de la evaluación a las declaraciones éticas   y/o pactos éticos establecidos y suscritos durante la vigencia 2015 por todos los procesos que hacen parte de la entidad en cumplimiento  de la Comunicación Educación para el Fortalecimiento de la Transparencia, Probidad y Ética de lo Público en la CVP (Anticorrupción) y 
2. Participar activamente en  la implementación del procedimiento de Rendición de Cuentas de la CVP
Hay articulación de la política de responsabilidad social con el Sistema Integrado de Gestión.
Adicionalmente, se ha actualizado el Plan de Anticorrupción en los componentes de comunicaciones y rendición de cuentas. 
Teniendo en cuenta qlo anterior, se procede a cerrar el hallazgo.
</t>
  </si>
  <si>
    <t>Ajustar y articular las herramientasd de gestión con  cada uno de los componentes del Subsistema de Responsabilidad Social</t>
  </si>
  <si>
    <t xml:space="preserve">
Revisar y ajustar la terminologia con la cual se denominara al area de servicio al ciudadano en la matriz del "Plan anticorrupción y de atención al ciudadano" </t>
  </si>
  <si>
    <t>De acuerdo al hallazgo, se revisa la matriz " Plan anticorrupción y de atención al ciudadano" publicada con corte a 30 de agosto de 2016, se evidencia que fue ajustado en cuanto a la forma estándar de nombrar al área de servicio al ciudadano. Evidencia: Plan anticorrupción y de atención al ciudadano, publicado con corte a 30 de agosto de 2016 (\\serv-cv11\calidad\15. CONSOLIDADO MAPAS DE RIESGO\RIESGOS ANTICORRUPCIÓN\2016\Seguimiento - fecha corte 30-08-2016).
Teniendo en cuenta lo anterior, se procede a cerrar el hallazgo.</t>
  </si>
  <si>
    <t>Solicitar a los líderes de proceso que tengan en cuenta al formular el plan de la vigencia actual  la formulación y el seguimiento de las vigencias anteriores para hacer el análisis y manejar la continuidad e las acciones</t>
  </si>
  <si>
    <t xml:space="preserve">
Se envió comunicación a todas las dependencias, mediante radicado 2016IE13459 del 5 de diciembre de 2016, solicitándoles reportar el seguimiento de los proyectos de inversión y de las metas del plan de desarrollo distrital "Bogotá Humana" y "Bogotá mejor para todos" a 31 de diciembre de 2016 y el cumplimiento a algunas directrices y tiempos para reportar su seguimiento.
Teniendo en cuenta que se cumple con la acción propuesta, para dar tratamiento al hallazgo, se procede a cerrar el hallazgo.</t>
  </si>
  <si>
    <t>Con el propósito de llevar mayor control, mensualmente se realiza seguimiento a la ejecución de las metas y actividades de cada uno de los proyectos de inversión de la Entidad mediante el reporte, revisión y ajuste del Formato Único de Seguimiento Sectorial. Así mismo se establecieron directrices respecto  al reporte de los proyecto de inversión, mediante comunicación N°  2016IE13459 del 5 de diciembre de 2016, enviada a todas las dependencias de la entidad.
Teniendo en cuenta que se cumple con la acción propuesta, para dar tratamiento al hallazgo, se procede a cerrar el hallazgo.</t>
  </si>
  <si>
    <t>Solicitar que en el seguimiento al plan anticorrupción, se relacione donde se encuentran las evidencias que soportan la ejecución de las aciones planteadas.</t>
  </si>
  <si>
    <t>Como se puede evidenciar en el seguimiento reportado a la acción formulada en el componente 3 rendición de cuentas del "Plan anticorrupción y de atención al ciudadano", para la vigencia 2016, la Dirección de Urbanizaciones y Titulación realizó dos eventos de participación ciudadana a través de 20 foros de inicio de obra realizados durante el mes de diciembre. Como evidencia de esto se tienen los listados de asistencia, que reposan en el archivo de gestión de la dirección de urbanizaciones y titulaciones y la información publicada en la página web de la entidad (http://cajaviviendapopular.gov.co/?q=Noticias/650-familias-bogotanas-aseguran-su-patrimonio-trav%C3%A9s-de-la-titulaci%C3%B3n) y los avances reportados en 
Así mismo, durante el mes de septiembre, se realizó otro  encuentro de participación ciudadana,  para informar sobre la gestión de la Dirección de la Dirección de Urbanizaciones y Titulación.  Se presentó un informe sobre el trabajo que ha adelantado este año a fin de que la comunidad de Usme, conociera los avances de los proyectos y programas  de la entidad en el marco del nuevo Plan de Desarrollo “Bogotá Mejor para Todos”.
 La Oficina Asesora de comunicaciones, promovió estos espacios y divulgó la información a través de boletines de prensa a medios de comunicación, videos relacionados con los eventos e hizo cubrimiento en las redes sociales (Facebook y Twitter), así mismo entregó folletos informativos.
Tenienedo en cuenta lo anterior, se procede a cerrar el hallazgo.</t>
  </si>
  <si>
    <t>Con el propósito de establecer lineamientos estándar para el desarrollo de los ejercicios de rendición de cuentas, se creó el procedimiento "Rendición de cuentas, participación ciudadana y control social" 208-PLA-Pr-19, el cual entro en vigencia a partir del 01 de abril de 2015, a la fecha se encuentra en versión 2. Así mismo creó el formato "Evaluación de la rendición de cuentas" 208-PLA-Ft-58, el cual entro en vigencia a partir del 6 de marzo de 2015 y paso a versión 2 a partir del 16 de diciembre de 2016.
Por otro lado, la Oficina Asesora de Planeación, envió solicitud a los líderes de procesos misionales, para que realicen las evaluaciones de los ejercicios de rendición de cuentas en el formato respectivo (208-PLA-Ft-58) y se generen el respectivo informe sobre cada evento ejecutado. 
Por último, la Oficina Asesora de Comunicaciones publica todos los soportes de los eventos en la página de la CVP, en cumplimiento a lo establecido en la Ley 1712 de 2014. 
Evidencias: procedimiento y formato publicados en la carpeta calidad (\\serv-cv11\calidad\1. PROCESO DE GESTIÓN ESTRATÉGICA), Correos y Página de la Entidad.
Teniendo en cuenta lo anterior, se procede a cerrar el hallazgo.</t>
  </si>
  <si>
    <t>Revisar  las acciones propuestas en el plan de mejoramiento presentado y realizar el respectivo seguimiento de su cumplimiento.</t>
  </si>
  <si>
    <t>En caso de encontrar acciones pendientes  por ejecutar, elaborar plan de trabajo interno, con responsables y fechas para dar cumplimiento a las mismas y poder reportar al área de Control Interno la evidencia de su ejecución.</t>
  </si>
  <si>
    <t xml:space="preserve">
El Plan estratégico de la entidad fue revisado, ajustado de acuerdo a l Plan de gobierno de la administración "Bogotá Humana" 2012 - 2016, oficializado y publicado. Así mismo se actualizó en el "Manual de calidad" 208-PLA-Mn-01, pasando a su versión 5 .Se definieron cinco (5) objetivos estratégicos, los cuales fueron actualizados en todas las caracterizaciones de los procesos de la entidad, como se puede evidenciar en la carpeta calidad.  (evidencias: manual de calidad y caracterizaciones de los 13 procesos de la entidad). De acuerdo con lo anterior se da cumplimiento a la acción propuesta, por tanto se procede a cerrar el hallazgo.</t>
  </si>
  <si>
    <t>Socializar a través de los enlaces la correcta aplicación de las TRD aprobadas.</t>
  </si>
  <si>
    <t>Las tablas de retención documental  han sido actualizadas y  aprobadas, se encuentran debidamente publicadas en la carpeta calidad (\\serv-cv11\calidad\10. PROCESO ADMINISTRACIÓN DE LA INFORMACIÓN\TABLAS RETENCION DOCUMENTAL\VIGENCIA 2016). 
Durante el mes de julio de 2016,se socializaron a través de talleres en cada una de las 13 dependencias de la entidad, con el objetivo de dar inducción en cuanto a su aplicación, organización y conservación, como evidencia se tienen publicados los registros de reunión y listados de asistencia por proceso en la carpeta calidad(\\serv-cv11\calidad\10. PROCESO ADMINISTRACIÓN DE LA INFORMACIÓN\TABLAS RETENCION DOCUMENTAL\CAPACITACIÓN TRD - 2016).
Así mismo se realizó sensibilización sobre el Subsistema Interno de Gestión Documental y Archivo el día 24 de Octubre - 2016. Evidencia (\\serv-cv11\calidad\27. PRESENTACIONES E INFORMES\SISTEMA INTEGRADO DE GESTIÓN\2016\SENSIBILIZACIÓN SIG - 2016).
Por último es importante aclarar que las tablas de retención documental se vienen ajustando de acuerdo a los cambios de los documentos (elaboración, modificación o anulación). En cuanto a los documentos que se mencionan en el hallazgo, algunos ya han sido anulados a la fecha.
Teniendo en cuenta que o anterior, se procede a cerrar el hallazgo.</t>
  </si>
  <si>
    <t>Revisar los documentos formalizados dentro del SIG, para verificar que se esten contemplando los aspectos mencionados en el hallazgo. De no encontrarse, solicitar a las dependencias responsables de los temas, actualizar sus documentos contemplando estos aspectos.</t>
  </si>
  <si>
    <t>Se revisa cada uno de los puntos contenidos en el hallazgo, se evidencia que el tema de  reporte e investigación de accidentes de trabajo, se encuentra contemplado dentro del Manual Subsistema de Gestión de Seguridad y Salud en el Trabajo, vigente desde el 9/02/2016 y publicado en la carpeta calidad (\\serv-cv11\calidad\12. PROCESO GESTIÓN HUMANA\MANUALES\208-SADM-Mn-07 SUBSISTEMA GESTIÓN SST). Así mismo, la protección del intercambio de información y el monitoreo del uso de los medios de procesamiento de información, se contemplan dentro de los procedimientos "Verificación de integridad de datos en sistemas de información" 208-DGC-Pr-08, Versión 1 ,  y "Administración de servidores" 208-DGC-Pr-12, versión 1 ( vigentes desde el 05-11-2015).
La construcción y actualización de normograma, se contempla dentro del procedimiento "control documental" 208-PLA-Pr-15, versión 6 (vigente desde 23/04/2015). Evidencia (\\serv-cv11\calidad\10. PROCESO ADMINISTRACIÓN DE LA INFORMACIÓN\PROCEDIMIENTOS\208-PLA-Pr-15 CONTROL DOCUMENTAL).
En cuanto a Planificación Operativa, para garantizar la prestación de los productos y/o servicios y el cumplimiento de sus requisitos, la OAP solicita mensualmente a los procesos misionales la caracterización y seguimiento de los mismos, a través de los formatos "Caracterización del producto y/o servicio conforme" 208-PLA-Ft-18 y "Seguimiento medición del producto y/o servicios no conforme" 208-PLA-Ft-26 para su publicación. Evidencia (\\serv-cv11\calidad\17. CONSOLIDADO SERVICIO NO CONFORME\2016)
Por último, respecto a la evaluación periódica o legal, se tiene el procedimiento de "Identificación y evaluación de requisitos legales" 208-PLA-Pr-22, versión 1 (vigente desde el 2/09/2016). Evidencia (\\serv-cv11\calidad\1. PROCESO DE GESTIÓN ESTRATÉGICA\PROCEDIMIENTOS\208-PLA-Pr-22 IDENTIFICACION Y EVALUACIÓN DE REQUISITOS LEGALES).
Teniendo en cuenta que no es necesario establecer un procedimiento para cada uno de los puntos señalados en el hallazgo y que con lo anterior se está dando cumplimiento a la acción, se procede a cerrar el hallazgo.</t>
  </si>
  <si>
    <r>
      <rPr>
        <b/>
        <sz val="10"/>
        <color theme="1"/>
        <rFont val="Arial"/>
        <family val="2"/>
      </rPr>
      <t>Diciembre 29 de 2016:</t>
    </r>
    <r>
      <rPr>
        <sz val="10"/>
        <color theme="1"/>
        <rFont val="Arial"/>
        <family val="2"/>
      </rPr>
      <t xml:space="preserve">
En el mes de enero de 2017, se reunirá el Comité Directivo, con el propósito de revisar la plataforma estratégica de la entidad, para ajustarla de acuerdo al nuevo Plan estratégico de la actual administración.  
 </t>
    </r>
  </si>
  <si>
    <t>El formato FUSS se encuentra debidamente identificado y disponible para su uso, en su versión vigente desde el  noviembre de 2016.  Esta publicado en la carpeta calidad  (\\serv-cv11\calidad\1. PROCESO DE GESTIÓN ESTRATÉGICA\FORMATOS -  PG01-FO382 FUSS V1). Se ha realizado socialización del mismo y se hace seguimiento mensual a su diligenciamiento, ya que en el  se reporta de seguimiento a los proyectos de inversión.
Teniendo en cuenta lo anterior, se procede a cerrar el hallazgo.</t>
  </si>
  <si>
    <t>Se han realizado  sensibilizaciones por parte de la OAP a todas las dependencias de la entidad, sobre el manejo de las herramientas de gestión (Evidencia: registros de asistencia y capacitaciones que se encuentran publicados en la carpeta de calidad). 
A la fecha se evidencia que las herramientas de gestión se vienen reportando oportunamente por parte de los procesos, de acuerdos con los tiempos establecidos para cada una y se encuentran debidamente publicadas. Así mismo se evidencia la constante  labor que realiza  la Oficina de Planeación, a través de correos  a todas las dependencias, con el propósito de recordar el diligenciamiento y reporte de estas herramientas.
Teniendo en cuenta que se vienen reportando estas herramientas y el seguimiento que se hace a la entrega oportuna de las mismas, se procede a cerrar la acción.</t>
  </si>
  <si>
    <t>Gestionar ante el comité SIG una reunión para realizar  la revisión por la dirección de la vigencia 2016.</t>
  </si>
  <si>
    <t>Durante la vigencia 2016, se realizó comité para efectuar la Revisión por la Dirección el día 31 de Octubre, el acta de dicho comité, el registro de sistencia y la presentación, se encuentran publicadas en la carpeta calidad  (\\serv-cv11\calidad\27. PRESENTACIONES E INFORMES\SISTEMA INTEGRADO DE GESTIÓN\2016\REVISIÓN POR LA DIRECCIÓN).
Dado que durante la vigencia se relizó un (1) solo comité y existe la evidencia correspondiente en cumpIlimiento con la norma NTCGP 1000:2009, numeral 5.6. Se procede a cerrar la acción y el hallazgo.</t>
  </si>
  <si>
    <t>Se tiene el procedimiento "FORMULACIÓN Y
SEGUIMIENTO DE INDICADORES" 208-PLA-Pr-16, vigente desde el 22 de junio de 2016, en el cual se establecen responsabilidades relacionadas con la fornulación y seguimiento a los planes de acción de gestión. Evidencia \\serv-cv11\calidad\1. PROCESO DE GESTIÓN ESTRATÉGICA\PROCEDIMIENTOS\208-PLA-Pr-16 FORMULACIÓN Y SEGUIMIENTO INDICADORES. Teniendo en cuanta lo anterior, se procede a cerrar la acción.</t>
  </si>
  <si>
    <t>Estado plan de mejoramiento por procesos - Vigencia 2017</t>
  </si>
  <si>
    <t>Eliminar la carpta de documentos obsoletos de la carpeta compartida con toda la entidad en el servidor ruta \\serv-cv11\calidad</t>
  </si>
  <si>
    <t xml:space="preserve">Cerrar los planes de mejoramiento abiertos </t>
  </si>
  <si>
    <t>Estructurar y establecer politicas de riego SIG</t>
  </si>
  <si>
    <t>Actualizar el normograma del proceso de adminstración y control de recursos e incluir las  resoluciones internas 0037 de 2016, 3218 de 2016 y la normatividad que se encuentra pendiente.</t>
  </si>
  <si>
    <t xml:space="preserve">Se cierra por cumplir con lo establecido </t>
  </si>
  <si>
    <t>Gestión Humana</t>
  </si>
  <si>
    <t>La caja menor registra un faltante de $16,667 pesis m/cte</t>
  </si>
  <si>
    <t>El normograma registra errores de vigencia y por tanto de actualización.</t>
  </si>
  <si>
    <t>No se evidencia la trazabilidad de las versiones en algunos documentos.</t>
  </si>
  <si>
    <t>Relacionar en todos los documentos del Sistema Integrado de Gestión, cuando se requiera, los puntos modificados, para mantener la trazabilidad de la infromación, cumpliendo así con lo estabelcido en la Norma Fundamental de la entidad.</t>
  </si>
  <si>
    <t xml:space="preserve">Validar que en cada cambio de versión, se guarde la trazabilidad de la información y se registren las actualizaciones efectuadas, de manera que se conserve el histórico. 
</t>
  </si>
  <si>
    <t>Diligenciar el formato establecido para éste fin - 208-PLA-Ft-02 Solicitud creación, modificación y eliminación de documentos  y diligenciar dentro de los documentos del proceso, todos los cambios efectuados.</t>
  </si>
  <si>
    <t>Silenia Neira Torres - Contratista</t>
  </si>
  <si>
    <t>Ruth Ciprian Huertas - Contratista</t>
  </si>
  <si>
    <t>No se tiene claridad en los puntos de control con el fin de eliminar o mitigar los riesgos en la caja menor.</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</si>
  <si>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</si>
  <si>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</si>
  <si>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</si>
  <si>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El procedimiento órdenes de pago no cuenta con puntos de control.</t>
  </si>
  <si>
    <t>Para los módulos de SI CAPIT@L PREDIS, PAC, TERCEROS, LIMAY, OPGET, SAI-SAE, SISCO y PERNO se requiere contar con los mensajes de advertencia o informativos que arroja el sistema, vinculados con el consecutivo de la Secretaria Distrital de Hacienda.</t>
  </si>
  <si>
    <t>La opción INFORMES ORGANOS DE CONTROL aún no se encuentra en producción, para PREDIS y PAC.</t>
  </si>
  <si>
    <t>El módulo SAI no registra la totalidad de los activos. Solo comprende bienes devolutivos y de consumo y no registra bienes inmuebles.</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</si>
  <si>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</si>
  <si>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No posee en el momento el módulo de Estado de Cambios en la situación financiera y el flujo de efectivo.</t>
  </si>
  <si>
    <t>En relación con las Normas Internacionales de Contabilidad para el Sector Público (NICSP), no se han realizado pruebas del módulo LIMAY. La dificultad para generar ambiente de pruebas consiste en que la entidad no cuenta con un DBA que garantice la estabilidad de la información al momento de desarrollar las pruebas pertinentes. Sin embargo se evidencia que el 5 de octubre se celebró una reunión con el Ingeniero Pinilla en la Subdirección Financiera y la asesora de NICSP 533-15, en la cual se planteó nuevamente la necesidad de crear un ambiente de pruebas y se determinaron los temas que se desarrollan por fuera de SI-CAPIT@L.</t>
  </si>
  <si>
    <t>No se encuentra en funcionamiento del Estado Diario de Tesorería.</t>
  </si>
  <si>
    <t>No se lleva el control y número de los cheques en el sistema.</t>
  </si>
  <si>
    <t>Para el módulo SAI-SAE no se han impartido capacitaciones integrales a los componentes del sistema con el fin de obtener resultados eficaces, confiables y reales de la información.</t>
  </si>
  <si>
    <t>Actualizar los procedimientos incorporando en ellos los formatos que utiliza actualmente el proceso.</t>
  </si>
  <si>
    <t>Se creo cuadro de control de planillas de ordenes de pago(Magnetico), se realizo cuadro de radicados de OP (Magnetico)  y se tiene un cuadro fisico de control de las planillas de OP.</t>
  </si>
  <si>
    <t>Diego Alexander Romero Porras - Contratista</t>
  </si>
  <si>
    <t xml:space="preserve">Ingresar el nuevo plan maestro y los planes alternos de acuerdo con los ajustes realizados </t>
  </si>
  <si>
    <t>Elizabeth Salina Bustos y Rafael Osorio Carrillo</t>
  </si>
  <si>
    <t xml:space="preserve">Ambiente pruebas lista para ejecutar los nuevos datos normativos </t>
  </si>
  <si>
    <t>Dora Alicia León - Funcionaria</t>
  </si>
  <si>
    <t xml:space="preserve">Alimentar la informacion a medida que se van realizando movimientos de tesoreria </t>
  </si>
  <si>
    <t>Una vez se realice el cierre contable  del mes anterior, ingresar los saldos iniciales de bancos  y revisar  los ajustes y desarrollos en el sistema Opget, para que funcione el modulo</t>
  </si>
  <si>
    <t>Una vez se realice el cierre  contable del mes anterior, ingresar los saldos de las cuentas corrientes y los números de los cheques en el sistema y revisar los ajustes y desarrollos que se deban realizar en el sistema Opget</t>
  </si>
  <si>
    <t>Oscar Suárez Ariza</t>
  </si>
  <si>
    <t>El normograma del proceso se encuentra desactualizado, como es el caso del Decreto Distrital 533 de 2015 y las resoluciones internas, entre otros ejemplos.</t>
  </si>
  <si>
    <t xml:space="preserve"> Actualización del normograma</t>
  </si>
  <si>
    <t>Ajustar  el normograma de conformidad con la normativa vigente y los lineamientos del SIG.</t>
  </si>
  <si>
    <t>Mensualmente se revisará el cronograma para veririfcar la pertinencia con las normas vigentes.</t>
  </si>
  <si>
    <t xml:space="preserve">Subdirector Administrativo , grupo de gestión documental y funcionario de la caja menor </t>
  </si>
  <si>
    <t>Solicitar al grupo de gestión documental una capacitación sobre la utiilización de la TRD dirigida a los responsables de la caja menor(ordenador de gasto y funcionario designado) y organizar los documentos  conforme a la TRD.</t>
  </si>
  <si>
    <t xml:space="preserve">Subdirector Administrativo </t>
  </si>
  <si>
    <t>En el formato de seguimiento de plan de mejoramiento no se registró la  revisión de la eficacia de las acciones para el item 201</t>
  </si>
  <si>
    <t>El Plan de acción de gestión no se encuentra actualizado, el último plan se encuentra a corte de Abril - 2016</t>
  </si>
  <si>
    <t xml:space="preserve">Reunión para socializar el correcto diligenciamiento del documento de trabajo  plan de mejoramiento por hallazgos </t>
  </si>
  <si>
    <t>Se actualizo el Plan de acción de Gestión, con corte a 30 de septiembre de 2016, fue remitido por correo a la Oficina Asesora de Planeación y fue publicado el 22 de noviembre de 2016</t>
  </si>
  <si>
    <t>La acción se cumplio, Se ajusto formulación de los mapas de riesgos vigencia 2015</t>
  </si>
  <si>
    <t>Se revisan las acciones formuladas en el plan de mejoramiento del decreto 371 (vigencia 2013). 
Se evidencia que para cada vigencia se tiene formulado un plan de acción de gestión, donde se establecen acciones a realizar con responsables y fechas, las cuales apuntan al cumplimiento de los objetivos institucionales. Así mismo, en el procedimiento “Formulación y seguimiento de indicadores” 208-PLA-Pr-16, se tiene establecida la responsabilidad de los líderes de proceso en la formulación de los planes de acción de gestión.
En cuanto a Responsabilidad social, se tiene una política de responsabilidad social en versión 2, vigente desde el 29 de agosto de 2014, en la cual se visualiza una completa articulación con la política de transparencia, probidad y lucha contra la corrupción, así mismo con el Sistema Integrado de Gestión. A la fecha esta política se encuentra en proceso de actualización, de acuerdo al plan de desarrollo de la actual administración.
Se cuenta con un documento diagnóstico para la implementación del subsistema de responsabilidad social en articulación con el Sistema Integrado de Gestión en el cual se consolidan las actividades realizadas por la entidad respecto a responsabilidad social, estas acciones evidencian el fortalecimiento de esta política (\\serv-cv11\calidad\1. PROCESO DE GESTIÓN ESTRATÉGICA\DOCUMENTOS REFERENCIA\Responsabilidad Social\LINEAMIENTO 15).
Por último con relación a los proyectos de inversión, mensualmente se realiza seguimiento al avance de ejecución de las metas y actividades de cada uno de los proyectos de inversión de la entidad mediante el Formato Único de Seguimiento Sectorial (PG01-FO382 FUSS, versión 1).  
Teniendo en cuenta que se evidencia cumplimiento de las acciones formuladas en el plan de mejoramiento, se procede a cerrar el hallazgo.</t>
  </si>
  <si>
    <t xml:space="preserve">La acción se cumplio eficazmente </t>
  </si>
  <si>
    <t>El formato se actualizo adecuadamente, la acción fue eficaz</t>
  </si>
  <si>
    <t xml:space="preserve">Se verifico la efectividad de la acción realizada </t>
  </si>
  <si>
    <t xml:space="preserve">La acción se ejecuto adecuadamente </t>
  </si>
  <si>
    <t xml:space="preserve">Se modifico el formato, se ejecuto la acción planteada </t>
  </si>
  <si>
    <t>Se actualizo la página SECOP. Eficazmente</t>
  </si>
  <si>
    <t xml:space="preserve">Se ejecuto la acción, con pertinencia </t>
  </si>
  <si>
    <t xml:space="preserve">Se cerró el hallazgo por la argumentación presentada </t>
  </si>
  <si>
    <t xml:space="preserve">* Once (11) acciones no presentan plan de mejoramiento </t>
  </si>
  <si>
    <t>Se evidencia el plan estrategico consolidado</t>
  </si>
  <si>
    <r>
      <t>16 de junio de 2016. Se da cierre, puesto que</t>
    </r>
    <r>
      <rPr>
        <sz val="10"/>
        <color rgb="FF000000"/>
        <rFont val="Arial"/>
        <family val="2"/>
      </rPr>
      <t xml:space="preserve"> la Dirección Jurídica presenta los soportes de trasferencia al archivo de gestión central de la entidad. Soportes firmados por la persona encargada de la época.</t>
    </r>
    <r>
      <rPr>
        <b/>
        <sz val="10"/>
        <color rgb="FF000000"/>
        <rFont val="Arial"/>
        <family val="2"/>
      </rPr>
      <t xml:space="preserve"> </t>
    </r>
  </si>
  <si>
    <t xml:space="preserve">Se cierra la actividad por cumplir con lo descrito en la acción </t>
  </si>
  <si>
    <t>Inoportuno</t>
  </si>
  <si>
    <t>Oportuno</t>
  </si>
  <si>
    <r>
      <t xml:space="preserve">14-01-2016: Se elaboraron y comunicaron siete (7) actos administrativos correspondientes a dos funcionarios en encargo y cinco en provisionalidad. Solicitan cierre.
</t>
    </r>
    <r>
      <rPr>
        <sz val="8"/>
        <rFont val="Arial"/>
        <family val="2"/>
      </rPr>
      <t xml:space="preserve">SE DEBE VERIFICAR LOS SOPORTES PARA PODER DAR CIERRE </t>
    </r>
  </si>
  <si>
    <t xml:space="preserve">Se cierra por cumplir con la actividad descrita </t>
  </si>
  <si>
    <t>Capacitar a los encargados de las Direcciones y Subdirecciones en los procedimientos y competencias para la contratación de la entidad.
Enviar solicitud para el traslado de este hallazgo al responsable de la implementación del Hallazgo ( Subdirección Financiera)
DEJAR LA ACCIÓN A SEGUIR</t>
  </si>
  <si>
    <r>
      <t xml:space="preserve">El artículo 106 del Decreto 1227 de 2005 en concocrdancia con lo dispuesto en el articulo 2,2,13,1,9 del Decreto Unico Reglamentario del Sector de  Función Pública numero 1083 de 2015 señala al tenor literal </t>
    </r>
    <r>
      <rPr>
        <b/>
        <sz val="10"/>
        <color theme="1"/>
        <rFont val="Arial"/>
        <family val="2"/>
      </rPr>
      <t xml:space="preserve">Terminos de concertación y formalización del Acuerdo de Gestión. </t>
    </r>
    <r>
      <rPr>
        <b/>
        <u/>
        <sz val="10"/>
        <color theme="1"/>
        <rFont val="Arial"/>
        <family val="2"/>
      </rPr>
      <t xml:space="preserve">En un plazo no mayor de cuatro (4) meses, contados a partir de la fecha de la poseción en su cargo, </t>
    </r>
    <r>
      <rPr>
        <sz val="10"/>
        <color theme="1"/>
        <rFont val="Arial"/>
        <family val="2"/>
      </rPr>
      <t xml:space="preserve">Fecha de posesión de la doctora Audrey Alvarez Bustos: 5 julio de 2016 y fecha de posesión de Adriana Alavarez Forero: 26 de septiembre de 2016, En atención del marco normativo descrito anteriormente; la doctora Audrey Alvarez Bustos y la Dra, Adriana Alvarez Forero, a la fecha de realizada la auditoria Interna (28 de julio de 2016), se encontraba dentro de los plazos establecidos para suscribir el referido acuerdo. </t>
    </r>
  </si>
  <si>
    <t xml:space="preserve">Se cierra en auditoria  del 23 de marzo de 2017, por cumplir con la actividad programada </t>
  </si>
  <si>
    <t>23 de marzo de 2017</t>
  </si>
  <si>
    <t>Se verifica el cumplimiento de la actividad descrita</t>
  </si>
  <si>
    <t xml:space="preserve">23 de marzo de 2017:  Con el acompañamiento del funcionario enlace, Nubia Ariza Guiza se revisa la carpeta  \\serv-cv11\comunicaciones\2017. Se encontraron 17 carpetas con sus subcarpetas a través de las cuales se archiva toda la documentación que se produce en el proceso. La funcionaria señala que se está implementando este sistema con los servidores y contratistas con el fin de preservar la información de la oficina.   </t>
  </si>
  <si>
    <t>23 de marzo de 2017:   Se verificó en la página web de la entidad la publicación de la documentación relacionada en los artículos 9° y 11° de la Ley 1712 de 2014.</t>
  </si>
  <si>
    <t>23 de marzo de 2017:   Se verificó en la página web de la entidad la publicación de esta herramienta con los requisitos del ordena el artículo 9°  de la Ley 1712 de 2014 comprobando su cumplimiento</t>
  </si>
  <si>
    <t>23 de marzo de 2017: Se verificó en la página web del vínculo que lleva al SECOP y se comprueba su funcionalidad</t>
  </si>
  <si>
    <t>23 de Marzo de 2017: Se revisa la página web para verificar el cumplimiento del Decreto Reglamentario 103 de 2015, en cuanto a la información requerida en los numerales 1, 2, 3, 4 del artículo 35 Instrumentos de Gestión de la Información Pública. Pueden encontrarse en el siguiente enlace http://www.cajaviviendapopular.gov.co/?q=content/transparencia. También se observa cumplimiento de los componentes descritos en el artículo 42 del mismo Decreto.</t>
  </si>
  <si>
    <t xml:space="preserve">Se actualizo el vinculo,  dando cumplimiento a la actividad </t>
  </si>
  <si>
    <t xml:space="preserve">23 de Marzo de 2017: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t>
  </si>
  <si>
    <t>Marzo 23 de 2017:  Revisado el Normograma del proceso se encontró en la hoja número dos (2) del documento  la Resolución 3564 de 2015 de Min TIC’S. 
En el informe de auditoría de del 15 de noviembre de 2016, se verificó la actualización de estos  procedimientos de conformidad con la norma mencionada, aunque no había  sido publicada en la carpeta de calidad. 
Una vez se revisa la carpeta de calidad se verifica la publicación de estos documentos.</t>
  </si>
  <si>
    <t>2. Diseño e implementación de un aplicativo de relocalización transitoria que controle la trazabilidad de la información entre, resoluciones memorandos, contratos, CDP, RP, y los giros realizados.</t>
  </si>
  <si>
    <t>3. El Diseño e implementación de un formato y un instructivo para el seguimiento de los convenios interadministrativos.</t>
  </si>
  <si>
    <t xml:space="preserve">De acuerdo con los registros reportados del producto no conforme se evidencia un seguimiento con los respectivos controles, según lo establecido en el procedimiento y en la norma NTCGP 1000-2009 numeral 8.3 Control de producto y/o servicio no conforme. Se cierra la no conformidad por cuanto atiende la causa raíz. </t>
  </si>
  <si>
    <t xml:space="preserve">Se cierra el hallazgo por cumplir con la acción programada </t>
  </si>
  <si>
    <r>
      <t xml:space="preserve">Febrero 14 de 2017: Una vez realizadas las revisiones y verificaciones correspondientes tomaron la decisión de continuar con los riesgos que tenían. </t>
    </r>
    <r>
      <rPr>
        <b/>
        <sz val="10"/>
        <color rgb="FF000000"/>
        <rFont val="Arial"/>
        <family val="2"/>
      </rPr>
      <t>Se cierra la No Conformidad.</t>
    </r>
  </si>
  <si>
    <t>14 de febrero de 2017: El formato "Programación y avance actividades proyectos de inversión, con código: 208-PLA-Ft-12, fue revisado y ajustado y se encuentra publicado en la carpeta de calidad \\serv-cv11\calidad\1. PROCESO DE GESTIÓN ESTRATÉGICA\FORMATOS. Se cumple con la acción. Cerrado.</t>
  </si>
  <si>
    <t>Febrero 14 de 2017:  Una vez verificada la publicación de las herramientas de gestión actualizadas en la carpeta de calidad se procede a cerrar el hallazgo de producto de la auditoría adelantada durante el primer semestre de 2016.</t>
  </si>
  <si>
    <t>Febrero 14 de 2017</t>
  </si>
  <si>
    <t>Al verificar el cumplimiento de la acción se cierra el hallazgo</t>
  </si>
  <si>
    <t xml:space="preserve">Se verifico el cumplimiento de la actividad, por esta razón se cierra el hallazgo </t>
  </si>
  <si>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</si>
  <si>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t xml:space="preserve">No es necesario formular plan de mejoramiento por ser repetitivo el hallazgo ya se tiene plan de mejoramiento, por esta razòn se cierra </t>
  </si>
  <si>
    <t>Octubre 3/16</t>
  </si>
  <si>
    <t>Se cierra por qaue ya tiene plan de mejoramiento. Hallazgo repetitivo</t>
  </si>
  <si>
    <t>Para la firma del informe de actividades mensual, los abogados deberán certificar previamente que los procesos que correspondan al periodo de dicho informe están debidamente actualizados en el SIPROJ, precisándose  que ello no podrá exigirse en principio  respecto de aquellos procesos que se encuentren sufriendo tramites de recursos ordinarios ante las distintas corporaciones judiciales, toda vez que los mismos pueden permanecer largo tiempo ingresados al despacho, lo cual impide el acceso material al expediente por un término que en la práctica resulta indeterminado atendiendo a la falta de perentoriedad para resolver los mismos.</t>
  </si>
  <si>
    <t>Se envió requerimiento a los abogados Alejandro Guayara y Juan Manuel Russi solicitándoles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</si>
  <si>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Se envió requerimiento a los abogados Alejandro Guayara y Juan Manuel Russi solicitándoles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</si>
  <si>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 xml:space="preserve">Administración y Control de recursos </t>
  </si>
  <si>
    <t>El Normograma del proceso, actualizado a 31 de diciembre de 2016 incluye normas derogadas.</t>
  </si>
  <si>
    <t>El Normograma del procedimiento  Asistencia Técnica a Hogares no ha sido actualizado desde octubre de 2015, las normas no están organizadas jerárquicamente y algunas se encuentran derogadas.</t>
  </si>
  <si>
    <t>Revisar y actualizar a tiempo la normatividad vigente, aplicable a la Dirección de Mejoramiento de Vivienda, con el fin de mantener y oficializar los cambios normativos en cada uno de los procesos de la Direccion.</t>
  </si>
  <si>
    <r>
      <rPr>
        <b/>
        <sz val="10"/>
        <color theme="1"/>
        <rFont val="Arial"/>
        <family val="2"/>
      </rPr>
      <t xml:space="preserve">23 de Marzo de 2017: </t>
    </r>
    <r>
      <rPr>
        <sz val="10"/>
        <color theme="1"/>
        <rFont val="Arial"/>
        <family val="2"/>
      </rPr>
      <t xml:space="preserve"> Se revisó la carpeta  \\serv-cv11\calidad\2. PROCESO DE GESTIÓN DE COMUNICACIONES y se encontraron algunos formatos actualizados, con excepción del formato 208-COM-Ft-16 Mapa de Navegación el cual tiene fecha de actualización del 3 de julio de 2015. El hallazgo se mantiene</t>
    </r>
  </si>
  <si>
    <r>
      <rPr>
        <b/>
        <sz val="10"/>
        <color theme="1"/>
        <rFont val="Arial"/>
        <family val="2"/>
      </rPr>
      <t>23 de marzo de 2017:</t>
    </r>
    <r>
      <rPr>
        <sz val="10"/>
        <color theme="1"/>
        <rFont val="Arial"/>
        <family val="2"/>
      </rPr>
      <t xml:space="preserve"> Se revisa el listado maestro de documentos y las carpetas con los formatos y los procedimientos, se encontraron algunas diferencias</t>
    </r>
  </si>
  <si>
    <r>
      <rPr>
        <b/>
        <sz val="10"/>
        <color theme="1"/>
        <rFont val="Arial"/>
        <family val="2"/>
      </rPr>
      <t xml:space="preserve">23 de marzo de 2017: </t>
    </r>
    <r>
      <rPr>
        <sz val="10"/>
        <color theme="1"/>
        <rFont val="Arial"/>
        <family val="2"/>
      </rPr>
      <t xml:space="preserve"> Llos procesos de la entidad en la actualidad se encuentran en fase de revisión y actualización de esta herramienta</t>
    </r>
  </si>
  <si>
    <r>
      <rPr>
        <b/>
        <sz val="10"/>
        <color theme="1"/>
        <rFont val="Arial"/>
        <family val="2"/>
      </rPr>
      <t xml:space="preserve">23 de marzo de 2017: </t>
    </r>
    <r>
      <rPr>
        <sz val="10"/>
        <color theme="1"/>
        <rFont val="Arial"/>
        <family val="2"/>
      </rPr>
      <t xml:space="preserve">Se verificó en la página web de la entidad la publicación de la documentación relacionada en los artículos 9° y 11° de la Ley 1712 de 2014.
El hallazgo se cierra.
</t>
    </r>
  </si>
  <si>
    <t xml:space="preserve">El hallazgo se cierra, la acción se cumplio de acuerdo a lo planeado </t>
  </si>
  <si>
    <r>
      <rPr>
        <b/>
        <sz val="10"/>
        <color rgb="FF000000"/>
        <rFont val="Arial"/>
        <family val="2"/>
      </rPr>
      <t xml:space="preserve">23 de marzo de 2017:  </t>
    </r>
    <r>
      <rPr>
        <sz val="10"/>
        <color rgb="FF000000"/>
        <rFont val="Arial"/>
        <family val="2"/>
      </rPr>
      <t xml:space="preserve">Se verificó en la página web de la entidad la publicación de esta herramienta con los requisitos del ordinal c artículo 9°  de la Ley 1712 de 2014 comprobando su cumplimiento. </t>
    </r>
    <r>
      <rPr>
        <b/>
        <sz val="10"/>
        <color rgb="FF000000"/>
        <rFont val="Arial"/>
        <family val="2"/>
      </rPr>
      <t>El hallazgo se cierra</t>
    </r>
  </si>
  <si>
    <t>Se verifico el directorio y se encontro actualizado, se cierra por ser efectiva la acción</t>
  </si>
  <si>
    <r>
      <rPr>
        <b/>
        <sz val="10"/>
        <color rgb="FF000000"/>
        <rFont val="Arial"/>
        <family val="2"/>
      </rPr>
      <t>23 de marzo de 2017:</t>
    </r>
    <r>
      <rPr>
        <sz val="10"/>
        <color rgb="FF000000"/>
        <rFont val="Arial"/>
        <family val="2"/>
      </rPr>
      <t xml:space="preserve">  Se verificó en la página web del vínculo que lleva al SECOP y se comprueba su funcionalidad. </t>
    </r>
    <r>
      <rPr>
        <b/>
        <sz val="10"/>
        <color rgb="FF000000"/>
        <rFont val="Arial"/>
        <family val="2"/>
      </rPr>
      <t>El hallazgo se cierra.</t>
    </r>
  </si>
  <si>
    <r>
      <t xml:space="preserve">7 de junio de 2016: </t>
    </r>
    <r>
      <rPr>
        <sz val="10"/>
        <color theme="1"/>
        <rFont val="Arial"/>
        <family val="2"/>
      </rPr>
      <t xml:space="preserve">Revisados los contenidos del decreto 103 de 2015, y la resoluciòn 3564 de 2015 MINTIC y el contraste con lo cargado en la pagina web , TRANSPARENCIA Y ACCESO A LA INFORMACIÓN PÚBLICA, NUMERAL 10, 10, INSTRUMENTOS DE GESTIÓN DE INFORMACIÓN PÚBLICA, se encuentran publicados los informes de solicitudes de acceso a la informaciòn  </t>
    </r>
    <r>
      <rPr>
        <b/>
        <sz val="10"/>
        <color theme="1"/>
        <rFont val="Arial"/>
        <family val="2"/>
      </rPr>
      <t xml:space="preserve"> </t>
    </r>
    <r>
      <rPr>
        <sz val="10"/>
        <color theme="1"/>
        <rFont val="Arial"/>
        <family val="2"/>
      </rPr>
      <t xml:space="preserve"> </t>
    </r>
  </si>
  <si>
    <r>
      <t xml:space="preserve">7 de Junio de 2016: </t>
    </r>
    <r>
      <rPr>
        <sz val="10"/>
        <color theme="1"/>
        <rFont val="Arial"/>
        <family val="2"/>
      </rPr>
      <t>Revisados los contenidos del del Decreto 103 de 2015 y la resoluciòn 3564 de 2015 MINTIC, y la contrastarse con lo cargado publicado en la pagina web de la CVP en el boton (banner o enlace) TRANSPARENCIA Y  ACCESO A LA INFORMACIÓN PÚBLICA, LOS 10  Items que se señalan, se encuentran publicados y actualizados de acuerdo con la normatividad.</t>
    </r>
  </si>
  <si>
    <r>
      <t xml:space="preserve">7 de junio de 2016: </t>
    </r>
    <r>
      <rPr>
        <sz val="10"/>
        <color theme="1"/>
        <rFont val="Arial"/>
        <family val="2"/>
      </rPr>
      <t xml:space="preserve"> se ha efectuado el ajuste  a las acciones correspondientes </t>
    </r>
    <r>
      <rPr>
        <b/>
        <sz val="10"/>
        <color theme="1"/>
        <rFont val="Arial"/>
        <family val="2"/>
      </rPr>
      <t xml:space="preserve"> </t>
    </r>
    <r>
      <rPr>
        <sz val="10"/>
        <color theme="1"/>
        <rFont val="Arial"/>
        <family val="2"/>
      </rPr>
      <t xml:space="preserve"> en el mapa de riesgos. En la matriz se han incluido, para cada una de las acciones frente al riesgo, la descripciòn de evidencias y su ubicación para proceder al seguimiento correspondiente, informar o reportar sobre las acciones emprendidas  desde marzo, junio para mitigar y reducir los riesgos. </t>
    </r>
  </si>
  <si>
    <t xml:space="preserve">Se cumplio con la acción  formulada a asatisfacciòn </t>
  </si>
  <si>
    <t>Actualizar el Normograma del proceso de conformidad con las observaciones formuladas.</t>
  </si>
  <si>
    <t>Se actualizará el Normograma de conformidad con las observaciones realizadas en el informe de resultados de la auditoria 2017.</t>
  </si>
  <si>
    <t>Se verificará la actualización  del Normograma de Comunicaciones</t>
  </si>
  <si>
    <t>En auditoria del abril de 2016 se evidencia que existen documentos en el contrato 606 de 2015 que no corresponde y se recomienda analizar nuevamente las causas de este hallazgo y formular nuevas acciones. Este hallazgo es igual al del 2013 por esta razón lo unimos a este.</t>
  </si>
  <si>
    <t>Revisar los expedientes de las vigencias 2015 y 2016, acorde con las tablas de retención - Archivo de Gestión</t>
  </si>
  <si>
    <t xml:space="preserve">Se modificó el Manual de Contratación y Supervisión en el mes de noviembre estructurándolo de modo tal que nos permita avanzar en los hallazgos establecidos a través de las diferentes auditorias. El Manual modificado puede encontrarse en la carpeta de calidad, proceso adquisición de bienes y servicios.” </t>
  </si>
  <si>
    <t xml:space="preserve">Se están utilizando formatos que no se encuentran formalizados en la carpeta de calidad, que en el listado maestro se encuentran inactivos  o no se utilizan las versiones actualizadas (Ver ítem Revisión de Contratos). </t>
  </si>
  <si>
    <t xml:space="preserve">No se publican la totalidad de los documentos en SECOP o se publican extemporáneamente. </t>
  </si>
  <si>
    <t xml:space="preserve">Se presenta desorden cronológico en los expedientes y algunos no se encuentran foliados; existen documentos que no corresponden al mismo o falta incorporar documentos (Ver ítem Revisión de Contratos). </t>
  </si>
  <si>
    <t xml:space="preserve">Existen contratos que dentro de los estudios previos carecen de cálculo de variable del presupuesto, factores de selección, riesgos previsibles y sustento de la garantía (Ver numeral 1 de este informe – Revisión de Contratos). </t>
  </si>
  <si>
    <t>No se evidencia en la totalidad de los contratos el formato de delegación de la supervisión. (Ver numeral 3 de este informe – Revisión de Contratos).</t>
  </si>
  <si>
    <t>Algunos formatos de evaluación de competencias y habilidades comportamentales no se encuentran firmados por el jefe de la dependencia. (Ver numeral 3 de este informe – Revisión de Contratos).</t>
  </si>
  <si>
    <t>En cuanto a las garantías (pólizas), en el contrato 153 no obra el documento original y en el contrato 50 no obra la prórroga de la garantía.</t>
  </si>
  <si>
    <t xml:space="preserve">En el normograma del proceso, no es efectiva la actualización hecha el 9 de noviembre ya que su información no es veras. </t>
  </si>
  <si>
    <t>El formato se encuentra formalizado en calidad bajo el nombre: CONTROL DE INGRESO DE DOCUMENTOS AL EXPEDIENTE: Código: 208-SADM-Ft-106.   Versión:1 Fecha:28/11/2016.
Lo anterior en el Proceso de administración de la información, formatos Subdirección Administrativa.</t>
  </si>
  <si>
    <t xml:space="preserve">El formato se formalizo e implemento de acuerdo a lo formulado en la acción </t>
  </si>
  <si>
    <t>Crear un punto de Control donde existan alertas para las publicaciones de los documentos contractuales en el SECOP dentro de los términos de Ley</t>
  </si>
  <si>
    <t>Revisar en la página del SECOP de manera  trimestral que las publicaciones se encuentren conforme a los términos de Ley.</t>
  </si>
  <si>
    <t>Realizar una revisión de la organización de los expedientes en aras de encontrar falencias para corregirlas y así presentar el informe correspondiente para la superación del hallazgo.</t>
  </si>
  <si>
    <t>Crear un punto de Control  mediante check list en el área de  Archivo de la Direccion de Gestión Corporativa y CID.</t>
  </si>
  <si>
    <t>los contratos establecidos en la muestra de auditoria serán revisados por cada uno de los abogados que adelantó el proceso contractual, para si es del caso establecer las correcciones a que haya lugar.</t>
  </si>
  <si>
    <t>Realizar un informe de manera trimestral donde se verifique  que la documentacion contractual se encuentre completa.</t>
  </si>
  <si>
    <t>Crear una matríz de seguimiento de las garatías contractuales como punto de control.</t>
  </si>
  <si>
    <t>Realizar un informe trimestral donde se verifique de acuerdo a la matríz de seguimiento que las garantías contractuales se encuentren vigentes.</t>
  </si>
  <si>
    <t>El Normograma del proceso de Adquisicion de Bienes y Servicios  se encuentra publicado con las respectivas actualizaciones, en el siguiente enlace: \\serv-cv11\calidad\11. PROCESO ADQUISICION DE BIENES Y SERVICIOS/NORMOGRAMA \2016\FECHA DE CORTE 08 DE FEBRERO 2017</t>
  </si>
  <si>
    <t xml:space="preserve">El normograma se encuentra actualizado y publicado </t>
  </si>
  <si>
    <r>
      <rPr>
        <b/>
        <sz val="10"/>
        <color theme="1"/>
        <rFont val="Arial"/>
        <family val="2"/>
      </rPr>
      <t>15-01-2015</t>
    </r>
    <r>
      <rPr>
        <sz val="10"/>
        <color theme="1"/>
        <rFont val="Arial"/>
        <family val="2"/>
      </rPr>
      <t xml:space="preserve">
No se tiene evidencia del traslado de esta acción  a los otros responsables de su cumplimiento.
</t>
    </r>
    <r>
      <rPr>
        <b/>
        <sz val="10"/>
        <color theme="1"/>
        <rFont val="Arial"/>
        <family val="2"/>
      </rPr>
      <t>18-05-2016</t>
    </r>
    <r>
      <rPr>
        <sz val="10"/>
        <color theme="1"/>
        <rFont val="Arial"/>
        <family val="2"/>
      </rPr>
      <t xml:space="preserve"> Se solicita cambio de fecha de finalización a 10 de junio de 2016. </t>
    </r>
    <r>
      <rPr>
        <b/>
        <sz val="10"/>
        <color theme="1"/>
        <rFont val="Arial"/>
        <family val="2"/>
      </rPr>
      <t xml:space="preserve">30-07-2016 </t>
    </r>
    <r>
      <rPr>
        <sz val="10"/>
        <color theme="1"/>
        <rFont val="Arial"/>
        <family val="2"/>
      </rPr>
      <t xml:space="preserve">En la fecha propuesta de cierre se estaba haciendo el traslado del Proceso de Gestión Contractual a la Dirección de Gestión Corporativa. Está pendiente una reunión con esa Dependencia para explicar y aclarar dudas frente a las acciones que quedaron pendientes.     </t>
    </r>
    <r>
      <rPr>
        <b/>
        <sz val="10"/>
        <color theme="1"/>
        <rFont val="Arial"/>
        <family val="2"/>
      </rPr>
      <t>20/06/2017</t>
    </r>
    <r>
      <rPr>
        <sz val="10"/>
        <color theme="1"/>
        <rFont val="Arial"/>
        <family val="2"/>
      </rPr>
      <t xml:space="preserve"> UNA VEZ REVISADA LA CARPETA DEL CONTRATO 042 DE 2013 SE LOGRA EVIDENCIAR QUE LA SOLICITUD DEL CERTIFICADO DE DISPONIBILIDAD PRESUPUESTAL SE ENCUENTRA FIRMADA POR LA PERSONA AUTORIZADA PARA LA ÉPOCA (VER FOLIO 61 DEL EXPEDIENTE, SE ANEXA DOCUMENTO CDP EN 1 FOLIO). DE IGUAL FORMA SE HAN VENIDO REALIZANDO CAPACITACIONES AL PERSONAL DE LA CVP EN CONTRATACIÓN. (SE ANEXA ASISTENCIA A LA CAPACITACIÓN EN 2 FOLIOS) Capacitación sobre manual de contratación 22-12-2016. </t>
    </r>
  </si>
  <si>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18-05-2016 Se cambia fecha de finalización para el 31 de diciembre de 2016.    21/06/2017 UNA VEZ REVISADAS LAS ACTAS DEL COMITE DE CONTRATACIÓN  DE FECHA NOVIEMBRE 4 DE 2016  SE LOGRA CONSTATAR QUE EFECTIVAMENTE SE HA VENIDO REALIZANDO RETROALIMENTACIÓN A LOS DIFERENTES PROCESOS CONTRACTUALES (ANEXO ACTA DE COMITE DE CONTRATACIÓN EN 10 FOLIOS).  
</t>
    </r>
    <r>
      <rPr>
        <b/>
        <sz val="10"/>
        <color theme="1"/>
        <rFont val="Arial"/>
        <family val="2"/>
      </rPr>
      <t/>
    </r>
  </si>
  <si>
    <t xml:space="preserve">Se da cierre a la no conformidad por cumplir con la actividad propuesta y por la eficacia de la misma </t>
  </si>
  <si>
    <t xml:space="preserve">De acuerdo al Decreto 1510 de 2013 en sus articulos 6 y 7,  la CVP realizará publicaciones  de manera semestral y como está estipulado en el procedimiento se remitirá a las areas de Planeación y Comunicaciones el plan Anual de Aquisiciones para su publicaciones en las respectivas carpetas.        </t>
  </si>
  <si>
    <t xml:space="preserve">20/06/2017 UNA VEZ VERIFICADA LA PAGINA DE TRANSPARENCIA DE LA ENTIDAD Y EL SECOP  SE LOGRA CONSTATAR QUE EL PLAN ANUAL DE ADQUISICIONES SE ENCUENTRA PUBLICADO DE ACUERDO A LO INDICADO POR LOS ARTICULOS 6 Y 7 DE LA LEY 1510 DE 2013 , se cierra por dar cumplimiento con la acción formulada </t>
  </si>
  <si>
    <t xml:space="preserve">Queda pendiente que en la Dirección de Gestión Corporativa definan los mecanismos de seguimiento a implementar, Julio 26 de 2017: se reviso los planes de mejoramiento y se encontraron debidamente formulados, por lo anterior se cierra la no conformidad </t>
  </si>
  <si>
    <t xml:space="preserve">Se cierra por la oportunidad en la formulaciòn de los palnes de mejoramiento </t>
  </si>
  <si>
    <r>
      <rPr>
        <b/>
        <sz val="9"/>
        <rFont val="Arial"/>
        <family val="2"/>
      </rPr>
      <t>23/05/2017</t>
    </r>
    <r>
      <rPr>
        <sz val="9"/>
        <rFont val="Arial"/>
        <family val="2"/>
      </rPr>
      <t xml:space="preserve">:Se evidencia por parte de la Subdirección Administrativa memorando con radicado 2016IE12806 al contratista José Leonardo Pinto. Solicitándole el reintegro de los recursos por valor de $16.667, a lo anterior el contratista en mención en respuesta sin radicado devuelve los recursos el 02 de diciembre de 2016. </t>
    </r>
  </si>
  <si>
    <r>
      <rPr>
        <b/>
        <sz val="10"/>
        <color theme="1"/>
        <rFont val="Arial"/>
        <family val="2"/>
      </rPr>
      <t>23/05/2017:</t>
    </r>
    <r>
      <rPr>
        <sz val="10"/>
        <color theme="1"/>
        <rFont val="Arial"/>
        <family val="2"/>
      </rPr>
      <t xml:space="preserve"> Por parte de la Subdirección Administrativa de acuerdo a la acción planteada durante la vigencia 2017, no se evidencia los arqueos periódicos con los que se mitigara el riesgo de sobrantes y faltantes de la caja menor, es de tener en cuenta que la fecha de la acción no se ha vencido.</t>
    </r>
  </si>
  <si>
    <r>
      <rPr>
        <b/>
        <sz val="10"/>
        <color theme="1"/>
        <rFont val="Arial"/>
        <family val="2"/>
      </rPr>
      <t>23/05/2017</t>
    </r>
    <r>
      <rPr>
        <sz val="10"/>
        <color theme="1"/>
        <rFont val="Arial"/>
        <family val="2"/>
      </rPr>
      <t>: No se evidencia el ajuste al procedimiento con la acción establecida, por lo tanto no se ha cumplido con la acción, es de tener en cuenta que la fecha de la acción no se ha vencido. Y se replanteo para cumplimiento el 31 de agosto de 2017.</t>
    </r>
  </si>
  <si>
    <r>
      <rPr>
        <b/>
        <sz val="10"/>
        <color theme="1"/>
        <rFont val="Arial"/>
        <family val="2"/>
      </rPr>
      <t xml:space="preserve">23/05/2017: </t>
    </r>
    <r>
      <rPr>
        <sz val="10"/>
        <color theme="1"/>
        <rFont val="Arial"/>
        <family val="2"/>
      </rPr>
      <t>No se evidencia solicitud de capacitación al grupo de gestión documental con relación a la utilización de las TRD, por tal razón la caja no es organizada de acuerdo a las TRD, se espera se replantee la fecha en que se cumplirá la acción. La fecha planteada para el cumplimiento es el 31 de agosto de 2017.</t>
    </r>
  </si>
  <si>
    <r>
      <rPr>
        <b/>
        <sz val="10"/>
        <color theme="1"/>
        <rFont val="Arial"/>
        <family val="2"/>
      </rPr>
      <t>23/05/2017:</t>
    </r>
    <r>
      <rPr>
        <sz val="10"/>
        <color theme="1"/>
        <rFont val="Arial"/>
        <family val="2"/>
      </rPr>
      <t>Los documentos soportes de reembolso se encuentra archivados en orden cronológico con sus soportes.</t>
    </r>
  </si>
  <si>
    <r>
      <t xml:space="preserve">23/05/2017:  </t>
    </r>
    <r>
      <rPr>
        <sz val="10"/>
        <color theme="1"/>
        <rFont val="Arial"/>
        <family val="2"/>
      </rPr>
      <t>Si bien es cierto en oficio radicado 2017IE6932 de fecha 05 de mayo de 2017, se delegó el manejo de la caja menor a la funcionaria Adriana Gómez, se evidencia que quien lleva el manejo de los recursos es el contratista José Leonardo Pinto. Dicha situación fue manifestada en el anterior arqueo quedando como no conformidad la cual se sigue presentando en la actual visita,  se espera se replantee la fecha en que se cumplirá la acción. La fecha planteada para el cumplimiento es el 31 de agosto de 2017.</t>
    </r>
  </si>
  <si>
    <t xml:space="preserve">Se cierra por cumplir con el objetivo </t>
  </si>
  <si>
    <t xml:space="preserve">Se cierra por cupmlir con lo propuesto </t>
  </si>
  <si>
    <t>Se evidencia en el arqueo de caja menor la utilización del formato con código 208-SADM-Ft-70 con la información del número de póliza y aseguradora actual.</t>
  </si>
  <si>
    <t xml:space="preserve">Se cierra por cumplir con lo propuesto </t>
  </si>
  <si>
    <r>
      <rPr>
        <b/>
        <sz val="10"/>
        <color theme="1"/>
        <rFont val="Arial"/>
        <family val="2"/>
      </rPr>
      <t>23/05/2017</t>
    </r>
    <r>
      <rPr>
        <sz val="10"/>
        <color theme="1"/>
        <rFont val="Arial"/>
        <family val="2"/>
      </rPr>
      <t>:Se evidencia el formato 208-PLA-Ft-20 normograma Administración y Control de Recursos, versión 2, vigente desde el 25/10/2011 las actualizaciones que a surtido el proceso, se verifican la normatividad y la fecha de las mismas.</t>
    </r>
  </si>
  <si>
    <r>
      <rPr>
        <b/>
        <sz val="10"/>
        <color theme="1"/>
        <rFont val="Arial"/>
        <family val="2"/>
      </rPr>
      <t xml:space="preserve">23/05/2017: </t>
    </r>
    <r>
      <rPr>
        <sz val="10"/>
        <color theme="1"/>
        <rFont val="Arial"/>
        <family val="2"/>
      </rPr>
      <t>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t>
    </r>
  </si>
  <si>
    <t>Identificar y actualizar los puntos de control de la caja menor e incorporarlos en el nuevo procedimiento para la gestión de la caja menor.</t>
  </si>
  <si>
    <r>
      <rPr>
        <b/>
        <sz val="10"/>
        <color theme="1"/>
        <rFont val="Arial"/>
        <family val="2"/>
      </rPr>
      <t xml:space="preserve">23/05/2017: </t>
    </r>
    <r>
      <rPr>
        <sz val="10"/>
        <color theme="1"/>
        <rFont val="Arial"/>
        <family val="2"/>
      </rPr>
      <t>No se evidencia la revisión y actualización, es de tener en cuenta que la fecha de la acción no se ha vencido. Se solicita una nueva fecha para el cumplimiento de la acción para el 31 de agosto de 2017.</t>
    </r>
  </si>
  <si>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</si>
  <si>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</si>
  <si>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</si>
  <si>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</si>
  <si>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t xml:space="preserve">Elaborar puntos de control </t>
  </si>
  <si>
    <r>
      <rPr>
        <b/>
        <sz val="10"/>
        <color theme="1"/>
        <rFont val="Arial"/>
        <family val="2"/>
      </rPr>
      <t xml:space="preserve">23/05/2017: </t>
    </r>
    <r>
      <rPr>
        <sz val="10"/>
        <color theme="1"/>
        <rFont val="Arial"/>
        <family val="2"/>
      </rPr>
      <t>Se evidencia base de datos con el control de radicados y planillas a mayo de 2017, a su vez se lleva base de datos con control de cheques de la Secretaria Hacienda Distrital de cuentas 2017, se recomienda incluir dentro del procedimientos las bases como puntos de control. Se solicito ampliación de fecha para el cumplimiento de la acción 31 de diciembre de 2017.</t>
    </r>
  </si>
  <si>
    <t xml:space="preserve">Se cierra por cumplir con lo planeado </t>
  </si>
  <si>
    <r>
      <rPr>
        <b/>
        <sz val="10"/>
        <color theme="1"/>
        <rFont val="Arial"/>
        <family val="2"/>
      </rPr>
      <t xml:space="preserve"> 23/05/2017:</t>
    </r>
    <r>
      <rPr>
        <sz val="10"/>
        <color theme="1"/>
        <rFont val="Arial"/>
        <family val="2"/>
      </rPr>
      <t xml:space="preserve">  La fecha establecida para esta actividad dentro del plan de acción es febrero de 2017. Se evidencian dos memorandos bajo los radicados 2017IE3925 y 2017IE4290 así: el 2017IE3925 de 6 de marzo de 2017, en su asunto remite la información para el Nuevo Marco Normativo Contable en archivos planos para ser cargados en el ambiente de pruebas; plan de cuentas, información adicional y planes alternos de PERNO, OPGET y SAE/SAI. Y el 2017IE4290 de 17 de marzo de 2017, en su asunto se solicita la capacitación y apoyo al cargue de transacciones en un ambiente de pruebas NICSP, a su vez se resalta “que los desarrollos de Propiedad, planta y equipo; alícuotas de prestaciones de prestaciones sociales y reconocimiento por permanecía se entregaron a la oficina de sistemas en octubre de 2016”. Se solicito ampliación de fecha para el cumplimiento de la acción 31 de diciembre de 2017.</t>
    </r>
  </si>
  <si>
    <r>
      <rPr>
        <b/>
        <sz val="10"/>
        <color theme="1"/>
        <rFont val="Arial"/>
        <family val="2"/>
      </rPr>
      <t xml:space="preserve">23/05/2017: </t>
    </r>
    <r>
      <rPr>
        <sz val="10"/>
        <color theme="1"/>
        <rFont val="Arial"/>
        <family val="2"/>
      </rPr>
      <t>A la fecha que se realizó la validación al seguimiento relacionó base con controles manuales (estado de tesorería desde el 21 de noviembre de 2016), y para el sistema se realizó requerimiento para el desarrollo del mismo.</t>
    </r>
  </si>
  <si>
    <t xml:space="preserve">Se cierra por cumlir con lo planeado </t>
  </si>
  <si>
    <r>
      <rPr>
        <b/>
        <sz val="10"/>
        <color theme="1"/>
        <rFont val="Arial"/>
        <family val="2"/>
      </rPr>
      <t xml:space="preserve">23/05/2017: </t>
    </r>
    <r>
      <rPr>
        <sz val="10"/>
        <color theme="1"/>
        <rFont val="Arial"/>
        <family val="2"/>
      </rPr>
      <t>A la fecha que se realizó la validación al seguimiento relacionado base con controles manuales (Excel), y para el sistema se realizó requerimiento para el desarrollo del mismo.</t>
    </r>
  </si>
  <si>
    <t xml:space="preserve">Se cierra por impactar la no conformidad </t>
  </si>
  <si>
    <t>Realizar instrucción por parte de la Oficina TIC para el correcto diligenciamiento de los módulos en el sistema con base en las debilidades encontradas por las personas responsables de dicha actividad.</t>
  </si>
  <si>
    <r>
      <rPr>
        <b/>
        <sz val="10"/>
        <color theme="1"/>
        <rFont val="Arial"/>
        <family val="2"/>
      </rPr>
      <t xml:space="preserve">23/05/2017: </t>
    </r>
    <r>
      <rPr>
        <sz val="10"/>
        <color theme="1"/>
        <rFont val="Arial"/>
        <family val="2"/>
      </rPr>
      <t>Por parte de la Subdirección Financiera se solicita el traslado a la Subdirección Financiera así: "Se solicita el cambio de responsable del Hallazgo por cuanto el aplica SAI/SAE, es responsabilidad de la Subdirección Administrativa y el proceso de capacitación lo debe efectuar el área sistemas de la Entidad".
La no conformidad se traslada para la Dirección Administrativa quien suscribe la acción el 13 de julio y propone fecha de terminación el 31 de agosto de 2017.</t>
    </r>
  </si>
  <si>
    <r>
      <rPr>
        <b/>
        <sz val="10"/>
        <color rgb="FF000000"/>
        <rFont val="Arial"/>
        <family val="2"/>
      </rPr>
      <t xml:space="preserve">23/05/2017: </t>
    </r>
    <r>
      <rPr>
        <sz val="10"/>
        <color rgb="FF000000"/>
        <rFont val="Arial"/>
        <family val="2"/>
      </rPr>
      <t>Se debe continuar con la labor de identificación, organización y archivo de los expedientes que contienen información histórica extensa.
13 de julio: Los instructivos 208-SFIN-In-02 y 208-SFIN-In-04 en verisión 2, vigente desde el 27 de febrero de 2015 se encuentra modificado en su totalidad del documento de cuerdo a las recomendaciones impartidas en la auditoría para la contabilización del VUR y provisión de CARTERA. Se encuentra publicado en la carpeta calidad.</t>
    </r>
  </si>
  <si>
    <t xml:space="preserve">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
al 13 de julio: Se evidencia la generación de trasferencias en el aplicativo SI CAPITAL. ingresos, egresos, traslados entre funcionarios, plan temporal y contratistas vs bodega. Se encuentra conciliado con contabilidad el inventario a 31 de diciembre de 2016 y 30 de junio de 2017 no se encuentran diferencias.  </t>
  </si>
  <si>
    <r>
      <rPr>
        <b/>
        <sz val="10"/>
        <color theme="1"/>
        <rFont val="Arial"/>
        <family val="2"/>
      </rPr>
      <t xml:space="preserve">21 de agosto de 2014: </t>
    </r>
    <r>
      <rPr>
        <sz val="10"/>
        <color theme="1"/>
        <rFont val="Arial"/>
        <family val="2"/>
      </rPr>
      <t>Se tiene planteado un cronograma de actividades del SI CAPITAL, se describen actividades tendientes a la integralidad del sistema, algunas actividades se terminan en diciembre de 2014, se debe realizar seguimiento para verificar el cumplimiento.
1</t>
    </r>
    <r>
      <rPr>
        <b/>
        <sz val="10"/>
        <color theme="1"/>
        <rFont val="Arial"/>
        <family val="2"/>
      </rPr>
      <t xml:space="preserve">3 de julio de 2017: </t>
    </r>
    <r>
      <rPr>
        <sz val="10"/>
        <color theme="1"/>
        <rFont val="Arial"/>
        <family val="2"/>
      </rPr>
      <t xml:space="preserve">Se mantiene la no conformidad dado que no se evidencia cronograma y no se encuentran integrados los módulos, en el caso de SAI/SAE se cruza la información pero se debe de realizar ajustes dado que carga errores, para PERNO no trasfiere la información completa teniendo que contar con soporte de ingeniero de sistemas y trabajar de forma manual.
Se solicita compartir la responsabilidad con la Oficina TIC. </t>
    </r>
  </si>
  <si>
    <r>
      <rPr>
        <b/>
        <sz val="10"/>
        <color theme="1"/>
        <rFont val="Arial"/>
        <family val="2"/>
      </rPr>
      <t xml:space="preserve">23/05/2017: </t>
    </r>
    <r>
      <rPr>
        <sz val="10"/>
        <color theme="1"/>
        <rFont val="Arial"/>
        <family val="2"/>
      </rPr>
      <t>Se evidencia la actualización del normograma dentro del procedimiento 208-SFIN-Pr-4 versión 3, vigente desde el 23 de junio de 2017.</t>
    </r>
  </si>
  <si>
    <t xml:space="preserve">Se cierra por cumplir con los objetivos </t>
  </si>
  <si>
    <t xml:space="preserve">se cierra por cumplir con lo propuesto </t>
  </si>
  <si>
    <r>
      <rPr>
        <b/>
        <sz val="10"/>
        <color theme="1"/>
        <rFont val="Arial"/>
        <family val="2"/>
      </rPr>
      <t xml:space="preserve">23/05/2017: </t>
    </r>
    <r>
      <rPr>
        <sz val="10"/>
        <color theme="1"/>
        <rFont val="Arial"/>
        <family val="2"/>
      </rPr>
      <t>No se evidencia la actualización del normograma, la acción y fecha propuesta vencieron, se continua con la no conformidad, se espera se replantee la fecha en que se cumplirá la acción. La fecha que se indica para el cumplimiento es el 31 de agosto de 2017.</t>
    </r>
  </si>
  <si>
    <r>
      <rPr>
        <b/>
        <sz val="10"/>
        <color theme="1"/>
        <rFont val="Arial"/>
        <family val="2"/>
      </rPr>
      <t xml:space="preserve">23/05/2017: </t>
    </r>
    <r>
      <rPr>
        <sz val="10"/>
        <color theme="1"/>
        <rFont val="Arial"/>
        <family val="2"/>
      </rPr>
      <t>Si bien es cierto en oficio radicado 2017IE6932 de fecha 05 de mayo de 2017, se delegó el manejo de la caja menor a la funcionaria Adriana Gómez, no se evidencia el envió de copias a las áreas de Dirección de Gestión Corporativa y CID, Subdirección Financiera y Control Interno, la acción tiene como fecha de terminación el 28 de febrero de 2017, la cual venció. La fecha planteada para el cumplimiento es el 31 de agosto de 2017.</t>
    </r>
  </si>
  <si>
    <r>
      <rPr>
        <b/>
        <sz val="10"/>
        <color theme="1"/>
        <rFont val="Arial"/>
        <family val="2"/>
      </rPr>
      <t xml:space="preserve">23/05/2017: </t>
    </r>
    <r>
      <rPr>
        <sz val="10"/>
        <color theme="1"/>
        <rFont val="Arial"/>
        <family val="2"/>
      </rPr>
      <t>Respecto a la entrega de la caja menor existe un acta con fecha 30 de junio de 2016, firmada por el subdirector administrativo Juan Pablo Velázquez Silva y la entonces responsable Andrea Cristina Melo Cerón. Se recomienda que se solicite el acompañamiento y levantamiento de acta cuando se designe la caja al funcionario. Se plantea fecha de cumplimiento de la acción para el 31 de agosto de 2017.</t>
    </r>
  </si>
  <si>
    <t>Actualmente la Secretaria Distrital de Hacienda solo permite a la Subdirección Financiera tener los consecutivos para la expedición de CDP Y RP,  estableciendo el módulo Perdis de la Secretaría de Hacienda, las alertas cuando se van a expedir dichos documentos. Solicitar el cierre de la no conformidad por medio de memorando</t>
  </si>
  <si>
    <t xml:space="preserve">se cierra por cumplir con lo establecido </t>
  </si>
  <si>
    <t>Solicitar el cierre de la no conformidad por medio de memorando</t>
  </si>
  <si>
    <r>
      <rPr>
        <b/>
        <sz val="10"/>
        <color theme="1"/>
        <rFont val="Arial"/>
        <family val="2"/>
      </rPr>
      <t xml:space="preserve">23/05/2017: </t>
    </r>
    <r>
      <rPr>
        <sz val="10"/>
        <color theme="1"/>
        <rFont val="Arial"/>
        <family val="2"/>
      </rPr>
      <t xml:space="preserve">Por medio de memorando con radicado 2017IE6611 de fecha 03 de mayo de 2017, se solicito el cierre de la no conformidad con los siguientes argumentos "Solicitamos el retiro del presente hallazgo en razón a que la Secretaria de Hacienda solo permite establecer consecutivos cuando se expide RP y CDP, los cuales están armonizados con los aplicativos de la CVP. Frente a los demás módulos es pertinente aclarar que cada uno de ellos cuenta con los consecutivos para las diferentes actuaciones pues el módulo es de manejo interno de la CVP". </t>
    </r>
  </si>
  <si>
    <r>
      <rPr>
        <b/>
        <sz val="10"/>
        <color theme="1"/>
        <rFont val="Arial"/>
        <family val="2"/>
      </rPr>
      <t xml:space="preserve">23/05/2017: </t>
    </r>
    <r>
      <rPr>
        <sz val="10"/>
        <color theme="1"/>
        <rFont val="Arial"/>
        <family val="2"/>
      </rPr>
      <t>Por medio de memorando con radicado 2017IE6611 de fecha 03 de mayo de 2017, se solicito el cierre de la no conformidad con los siguientes argumentos "Se solicita a la oficina de  Control Interno el retiro del hallazgo ya que PREDIS HACIENDA es un sistema de información que administra la Secretaría Distrital de Hacienda directamente, la CVP no está autorizada para modificarlo y sólo se constituye como un operador del sistema". Se evidencia que de acuerdo a las necesidades de la CVP en su momento se comparte el desarrollo con Hacienda; no se contrato el desarrollo, se contrato soporte y mantenimiento.</t>
    </r>
  </si>
  <si>
    <t xml:space="preserve">Se cierra por cumplir con lo estabolecido </t>
  </si>
  <si>
    <t>Establecer la justificación pertinente de la causa de este hallazgo, toda vez que la administración de bienes inmuebles tiene una estructura diferente a diferencia de la administración de la propiedad, planta y equipo que sí es a través del sistema dispuesto por los módulos establecidos en el nivel distrital.</t>
  </si>
  <si>
    <t>Por parte de la Subdirección financiera se solicita el cierre de la no conformidad bajo memorando 2017IE6611 de fecha 03 de mayo de 2017, así: "Solicitamos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 
A lo anterior se dio traslado a la Subdirección Administrativa la no conformidad para plantear su acción y fecha de terminación.
La respuesta por parte de la Subdirección Administrativa fue realizar una justificación dando las razones por las cuales no se desarrolla el cargue de los bienes inmuebles, como fecha de terminación el 30 de septiembre de 2017.</t>
  </si>
  <si>
    <t>Revisión de manuales con relación al manejo del Talento Humano</t>
  </si>
  <si>
    <t>Realizar la revisión, actualización, gestión de aprobación e implementación de los manuales que se encuentran dispuestos en el Sistema SÍ-CAPITAL.</t>
  </si>
  <si>
    <t>Se cierra por cumplir con lo desctito</t>
  </si>
  <si>
    <r>
      <rPr>
        <b/>
        <sz val="10"/>
        <color theme="1"/>
        <rFont val="Arial"/>
        <family val="2"/>
      </rPr>
      <t xml:space="preserve">23/05/2017: </t>
    </r>
    <r>
      <rPr>
        <sz val="10"/>
        <color theme="1"/>
        <rFont val="Arial"/>
        <family val="2"/>
      </rPr>
      <t>Por parte de la Subdirección financiera se solicita el cierre de la no conformidad bajo memorando 2017IE6611 de fecha 03 de mayo de 2017, así: "Se solicita respetuosamente retirar el hallazgo de conformidad con lo establecido por el Régimen de contabilidad pública, en la medida de que este dispone que este estado financiero aplica para las entidades clasificadas como empresas públicas y la CVP es un establecimiento público".
La no conformidad se cierra dado que se entiende que la CVP es un establecimiento público no un empresa publica.</t>
    </r>
  </si>
  <si>
    <t xml:space="preserve">Se cierra por cumplir con la acción </t>
  </si>
  <si>
    <t xml:space="preserve">Se cierra por cumplir con el objetivo  propuesto en la actividad programada </t>
  </si>
  <si>
    <t>Se cierra el hallazgo, se cumplio adecuadamente con  la acción.</t>
  </si>
  <si>
    <r>
      <rPr>
        <b/>
        <sz val="10"/>
        <color theme="1"/>
        <rFont val="Arial"/>
        <family val="2"/>
      </rPr>
      <t xml:space="preserve">23/05/2017: </t>
    </r>
    <r>
      <rPr>
        <sz val="10"/>
        <color theme="1"/>
        <rFont val="Arial"/>
        <family val="2"/>
      </rPr>
      <t xml:space="preserve">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t>
    </r>
    <r>
      <rPr>
        <b/>
        <sz val="10"/>
        <color theme="1"/>
        <rFont val="Arial"/>
        <family val="2"/>
      </rPr>
      <t xml:space="preserve">23/05/2017: </t>
    </r>
    <r>
      <rPr>
        <sz val="10"/>
        <color theme="1"/>
        <rFont val="Arial"/>
        <family val="2"/>
      </rPr>
      <t>Por parte de la Subdirección Administrativa se suscribe la acción y se presenta fecha de cumplimiento al 31 de diciembre de 2017.</t>
    </r>
  </si>
  <si>
    <t xml:space="preserve">Se cierra por cumplir con la utilización del formato </t>
  </si>
  <si>
    <t xml:space="preserve">Se cierra por cumplir con la actividad propuesta </t>
  </si>
  <si>
    <t xml:space="preserve">Se cierra por cumplir con lo  propuesto </t>
  </si>
  <si>
    <t xml:space="preserve">Se cierra por el cumplimiento de la actividad </t>
  </si>
  <si>
    <t xml:space="preserve">Se cierra por cumplimiento en la actividad </t>
  </si>
  <si>
    <t xml:space="preserve">Se cierra por cumplir con las acciones que se programaron </t>
  </si>
  <si>
    <r>
      <rPr>
        <b/>
        <sz val="10"/>
        <color theme="1"/>
        <rFont val="Arial"/>
        <family val="2"/>
      </rPr>
      <t>Agosto 3 de 2017:</t>
    </r>
    <r>
      <rPr>
        <sz val="10"/>
        <color theme="1"/>
        <rFont val="Arial"/>
        <family val="2"/>
      </rPr>
      <t xml:space="preserve"> Se verifico la carpeta del contrato No. 606 y se evidencia el archivo de los documentos en orden y relacionados con el contrato        </t>
    </r>
  </si>
  <si>
    <t xml:space="preserve">Se cierra por la eficacia en la acción propuesta </t>
  </si>
  <si>
    <t>Se Cierra, se verifico la eficacia de la actividad que se propuso</t>
  </si>
  <si>
    <t xml:space="preserve">Se cierra por cumplir con lo propuesto en la actividad </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</si>
  <si>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funciones de las personas responsables en el cargue de la información.
19-12-2014 Se evidencia el cumplimiento de esta acción por parte del personal de la Oficina Asesora de Planeación al definir las competencias dentro del SISCO, sin embargo se debe incluir  con los responsables de los gastos de funcionamiento.
</t>
    </r>
    <r>
      <rPr>
        <b/>
        <sz val="10"/>
        <color theme="1"/>
        <rFont val="Arial"/>
        <family val="2"/>
      </rPr>
      <t>Diciembre 29 de 2016</t>
    </r>
    <r>
      <rPr>
        <sz val="10"/>
        <color theme="1"/>
        <rFont val="Arial"/>
        <family val="2"/>
      </rPr>
      <t xml:space="preserve">
La propuesta de El Manual, está elaborada por parte de quienes intervienen, se tiene pendiente la aprobación, para darle claridad a las responsabilidades y manejo, por lo cual se requiere que la Dirección de Gestión Corporativa revise el documento y lo apruebe. 
En su momento el profesional Oscar Gallo, tiene la propuesta, por lo cual se solicitará a la DGC, retome el tema para el cierre del hallazgo.  
Se enviará a la Dirección Corporativa, como responsable del documento, para su revisión y /o aprobación - Proceso de Bienes y Servicios.
</t>
    </r>
    <r>
      <rPr>
        <b/>
        <sz val="10"/>
        <color theme="1"/>
        <rFont val="Arial"/>
        <family val="2"/>
      </rPr>
      <t xml:space="preserve">31/05/2017:  </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</si>
  <si>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t xml:space="preserve">Se cierra por cumplir con la eficacia de la acción </t>
  </si>
  <si>
    <r>
      <rPr>
        <b/>
        <sz val="10"/>
        <color theme="1"/>
        <rFont val="Arial"/>
        <family val="2"/>
      </rPr>
      <t xml:space="preserve">31/05/2017: </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</si>
  <si>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r>
      <rPr>
        <b/>
        <sz val="10"/>
        <color theme="1"/>
        <rFont val="Arial"/>
        <family val="2"/>
      </rPr>
      <t>31/05/2017</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</si>
  <si>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t>Se cierra por verificarse la efectividad de las actividades</t>
  </si>
  <si>
    <t xml:space="preserve">Se cierra por evidenciarse la efectividad de las acciones </t>
  </si>
  <si>
    <r>
      <rPr>
        <b/>
        <sz val="10"/>
        <color theme="1"/>
        <rFont val="Arial"/>
        <family val="2"/>
      </rPr>
      <t xml:space="preserve">31/05/2017: </t>
    </r>
    <r>
      <rPr>
        <sz val="10"/>
        <color theme="1"/>
        <rFont val="Arial"/>
        <family val="2"/>
      </rPr>
      <t xml:space="preserve">Para la vigencia 2017, se incluyó dentro del plan de acción de gestión del proceso, un indicador relacionado con el seguimiento a los hallazgos abiertos y a las acciones formuladas en el plan de mejoramiento. Evidencia (\\serv-cv11\calidad\16. CONSOLIDADO PLANES DE ACCIÓN DE GESTIÓN\2017\I TRIMESTRE).
El hallazgo se cierra.
</t>
    </r>
  </si>
  <si>
    <r>
      <rPr>
        <b/>
        <sz val="10"/>
        <color theme="1"/>
        <rFont val="Arial"/>
        <family val="2"/>
      </rPr>
      <t xml:space="preserve">31/05/2017: </t>
    </r>
    <r>
      <rPr>
        <sz val="10"/>
        <color theme="1"/>
        <rFont val="Arial"/>
        <family val="2"/>
      </rPr>
      <t xml:space="preserve">Se revisaron las acciones formuladas dentro del plan de mejoramiento, se replantearon algunas y se ejecutaron de acuerdo a lo planeado. Su evidencia, se remitió a Control Interno, para su revisión y cierre.
De acuerdo a la evidencia reportada, se procedió a dar cierre a las 33 acciones que se encontraban abiertas. El hallazgo se cierra.
Dada la eficacia de las acciones, el hallazgo se cierra..
</t>
    </r>
  </si>
  <si>
    <t xml:space="preserve">Mediante la Resolución No. 764 del 14 de Febrero de 2017, se formuló, aprobó y adoptó la política de administración del riesgo en la entidad.
Se  efectuó la respectiva Divulgación a través de capacitaciones, carteleras digitales, intranet y página web de la entidad.
Lo anterior complementando la Resolución 1354 - 2010, a través de la cual se definieron aspectos metodológicos para su implementación en la Caja de Vivienda Popular.
Evidencia: Acta de comité directivo de enero 13 de 2017. El hallazgo se cierra.
</t>
  </si>
  <si>
    <r>
      <rPr>
        <b/>
        <sz val="10"/>
        <color theme="1"/>
        <rFont val="Arial"/>
        <family val="2"/>
      </rPr>
      <t xml:space="preserve">31/05/2017: </t>
    </r>
    <r>
      <rPr>
        <sz val="10"/>
        <color theme="1"/>
        <rFont val="Arial"/>
        <family val="2"/>
      </rPr>
      <t xml:space="preserve">Se tiene establecido un plan de trabajo para la vigencia 2017, en el que se da a conocer el estado actual de cada uno de los productos mínimos requeridos en la entidad a mayo de 2017, así mismo se establecen acciones para su implementación y el avance de estas a la fecha. Se evidencia un porcentaje de implementación del 82%. Evidencia: Plan de trabajo MECI  \\serv-cv11\calidad\26. MECI\MECI.
Se ha cumplido con la acción planteada para dar tratamiento al hallazgo. Se procede a su cierre
</t>
    </r>
  </si>
  <si>
    <t>Se cierra por la eficacia en la acción 
Es importante mencionar que la responsabilidad de la implementación de los productos del MECI, corresponde a la OAP, así mismo corresponde al area de Control Interno  la medición y seguimiento de los productos ya implementados.</t>
  </si>
  <si>
    <r>
      <rPr>
        <b/>
        <sz val="10"/>
        <color theme="1"/>
        <rFont val="Arial"/>
        <family val="2"/>
      </rPr>
      <t xml:space="preserve">31/05/2017: </t>
    </r>
    <r>
      <rPr>
        <sz val="10"/>
        <color theme="1"/>
        <rFont val="Arial"/>
        <family val="2"/>
      </rPr>
      <t xml:space="preserve">Se realizó comité directivo el 13 de enero de 2017, en este se presentó por parte de la Oficina Asesora de Planeación, el plan estratégico de la entidad, para revisión y aprobación. A respecto el Director sugirió que el documento debía ser revisado por la Dirección Jurídica antes de su formalización. (evidencia: acta de comité directivo- enero 13). 
Se evidencian correos durante los meses de enero y febrero, mediante los cuales se realizó dicha solicitud de revisión por parte de la OAP a la Dirección Jurídica, así mismo, correos con las observaciones y los ajustes realizados al documento.  Finalmente, se expidió Resolución No. 764 del 14 de Febrero de 2017, por medio de la cual es adoptado el Plan Estratégico de la entidad. El hallazgo se cierra.
</t>
    </r>
  </si>
  <si>
    <r>
      <rPr>
        <b/>
        <sz val="10"/>
        <color theme="1"/>
        <rFont val="Arial"/>
        <family val="2"/>
      </rPr>
      <t xml:space="preserve">29/12/2016: </t>
    </r>
    <r>
      <rPr>
        <sz val="10"/>
        <color theme="1"/>
        <rFont val="Arial"/>
        <family val="2"/>
      </rPr>
      <t>En cuanto a la actualización de los procedimientos,  es importante aclarar, que corresponde a los responsables de procesos determinar la necesidad y pertinencia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 evidencia la constante labor de la OAP, en cuanto a que se ha solicitado a todos los responsables de procesos revisar y actualizar la documentación del SIG, en escenarios como sensibilizaciones del Sistema Integrado de Gestión, reuniones con cada uno de los jefes de área, reunión de Revisión por la Dirección y  mediante memorando 216IE13496 del 5 de diciembre de 2016.  A la fecha se evidencia la actualización de algunos procedimientos, según la información reportada en el Listado Maestro de Registros LMR.
Respecto a los procedimientos básicos de la norma, se evidencia que a la fecha han sido actualizados los procedimientos de: “Control de producto y/o servicio no conforme”, “Auditorías Internas” y “Acciones correctivas, preventivas y de mejora”. En auditoría interna realizada en el mes de noviembre, se dejó como oportunidad de mejora, la actualización del procedimiento  "Control documental" 208-PLA-Pr-15, en cuanto a algunos aspectos que no se están contemplando dentro de este. Sin embargo corresponde al responsable de proceso determinar la necesidad y pertinencia de su actualización. Así mismo se dejó como oportunidad de mejora, formalizar dentro del SIG una plantilla estándar para la elaboración de procedimientos, teniendo en cuenta que se observa que no hay criterios estándar para esto.
Por último, se evidencia la gestión de la OAP, en cuento a la actualización de logos institucionales en los documentos. 
Teniendo en cuenta lo anteriormente expuesto, se procede a cerrar el hallazgo, ya que no es competencia de la Oficina Asesora de Planeación la actualización del contenido de los documentos de los procesos de la entidad.</t>
    </r>
  </si>
  <si>
    <t xml:space="preserve">1. El mapa de riesgos asociado con los procesos y con la gestión institucional, no cumple con lo establecido en el literal g, del numeral 4.2.2” Planificación del riesgo”, de la NTD- SIG 001:2011 “ la entidad debe estructurar un mapa de riesgos asociados con los procesos y con la gestión institucional. El mapa debe involucrar riesgos estratégicos, operativos, financieros, normativos, tecnológicos, conocimiento, ambientales y de salud ocupacional”.
</t>
  </si>
  <si>
    <t>Formular plan de trabajo , con cada una de las áreas para establecer los riesgos a incluir dentro de la matriz. El mapa de riesgos se ajustará con la inclusión de riesgos, para todos los procesos de la entidad, de acuerdo a la aplicación establecida para la matriz.  Debemos resaltar, que se cuenta con algunos riegos relacionados, no todos son de corrupción, sin embargo, se relacionaran otros para tener mas completa la imnformación.</t>
  </si>
  <si>
    <t>1, capacitar al  personal , frente a la formulacón de riesgos, de manera que se tenga conceptos claros, y se logre una mejor estructuración de los campos de la matriz.                                                                                                                         2. Ajustar la matriz de Riesgos , para ampliar la tipificación de los mismos.</t>
  </si>
  <si>
    <r>
      <rPr>
        <b/>
        <sz val="9"/>
        <color theme="1"/>
        <rFont val="Arial"/>
        <family val="2"/>
      </rPr>
      <t>19 de mayo de 2016.</t>
    </r>
    <r>
      <rPr>
        <sz val="9"/>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9"/>
        <color theme="1"/>
        <rFont val="Arial"/>
        <family val="2"/>
      </rPr>
      <t xml:space="preserve">Se fija fecha de cierre el 30 de junio de 2016(fecha inicial 30-05-2014). </t>
    </r>
    <r>
      <rPr>
        <sz val="9"/>
        <color theme="1"/>
        <rFont val="Arial"/>
        <family val="2"/>
      </rPr>
      <t xml:space="preserve">
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r>
  </si>
  <si>
    <t>Se cierra por la efectividad de la acción</t>
  </si>
  <si>
    <r>
      <rPr>
        <b/>
        <sz val="9"/>
        <rFont val="Arial"/>
        <family val="2"/>
      </rPr>
      <t xml:space="preserve">4/05/2017: </t>
    </r>
    <r>
      <rPr>
        <sz val="9"/>
        <rFont val="Arial"/>
        <family val="2"/>
      </rPr>
      <t xml:space="preserve">se verifican datos con el contratista Walter Rincón (contrato 055/17). la muestra selectiva de doce procesos demuestra que se encuentran actualizados. El hallazgo se cierra.    </t>
    </r>
    <r>
      <rPr>
        <b/>
        <sz val="9"/>
        <rFont val="Arial"/>
        <family val="2"/>
      </rPr>
      <t xml:space="preserve"> 14 de octubre de 2016. </t>
    </r>
    <r>
      <rPr>
        <sz val="9"/>
        <rFont val="Arial"/>
        <family val="2"/>
      </rPr>
      <t xml:space="preserve">Con memorando 2016IE5811, formulan plan de mejoramiento. Una vez revisados los soportes enviados por la Dirección Jurídica se evidencia que aún el aplicativo se encuentra desactualizado. Se mantiene abierta la acción. </t>
    </r>
    <r>
      <rPr>
        <b/>
        <sz val="9"/>
        <rFont val="Arial"/>
        <family val="2"/>
      </rPr>
      <t xml:space="preserve">   </t>
    </r>
    <r>
      <rPr>
        <sz val="9"/>
        <rFont val="Arial"/>
        <family val="2"/>
      </rPr>
      <t xml:space="preserve">(se replantea la acción y la fecha de cumplimiento)  </t>
    </r>
    <r>
      <rPr>
        <b/>
        <sz val="9"/>
        <rFont val="Arial"/>
        <family val="2"/>
      </rPr>
      <t xml:space="preserve">                                              16 de junio de 2016</t>
    </r>
    <r>
      <rPr>
        <sz val="9"/>
        <rFont val="Arial"/>
        <family val="2"/>
      </rPr>
      <t>. Una vez revisado el aplicativo se evidencia que subsiste esta situación. GENERAR PLAN DE MEJORAMIENTO</t>
    </r>
  </si>
  <si>
    <r>
      <rPr>
        <b/>
        <sz val="8"/>
        <color theme="1"/>
        <rFont val="Arial"/>
        <family val="2"/>
      </rPr>
      <t>4/05/2017:</t>
    </r>
    <r>
      <rPr>
        <sz val="8"/>
        <color theme="1"/>
        <rFont val="Arial"/>
        <family val="2"/>
      </rPr>
      <t xml:space="preserve"> El SIPROJWEB se encuentra actualizado. El hallazgo se cierra. </t>
    </r>
    <r>
      <rPr>
        <b/>
        <sz val="8"/>
        <color theme="1"/>
        <rFont val="Arial"/>
        <family val="2"/>
      </rPr>
      <t xml:space="preserve">  14 oct 2016. </t>
    </r>
    <r>
      <rPr>
        <sz val="8"/>
        <color theme="1"/>
        <rFont val="Arial"/>
        <family val="2"/>
      </rPr>
      <t xml:space="preserve">Una vez revisados los soportes enviados por la Dirección Jurídica se evidencia que aún el aplicativo se encuentra desactualizado. Se mantiene el hallazgo.  (se replantea la acción y la fecha de cumplimiento)                                             </t>
    </r>
    <r>
      <rPr>
        <b/>
        <sz val="8"/>
        <color theme="1"/>
        <rFont val="Arial"/>
        <family val="2"/>
      </rPr>
      <t xml:space="preserve">16 de junio de 2016. </t>
    </r>
    <r>
      <rPr>
        <sz val="8"/>
        <color theme="1"/>
        <rFont val="Arial"/>
        <family val="2"/>
      </rPr>
      <t>La acción continúa y dentro del ejercicio de la auditoría se sigue evidenciando la falta de actualización en el aplicativo.</t>
    </r>
    <r>
      <rPr>
        <b/>
        <sz val="8"/>
        <color theme="1"/>
        <rFont val="Arial"/>
        <family val="2"/>
      </rPr>
      <t xml:space="preserve">
30-01-2015 </t>
    </r>
    <r>
      <rPr>
        <sz val="8"/>
        <color theme="1"/>
        <rFont val="Arial"/>
        <family val="2"/>
      </rPr>
      <t xml:space="preserve">De acuerdo a la última Auditoría realizada en el mes de Diciembre el sistema SIPROJWEB, se encuentra aún desactualizado.
</t>
    </r>
    <r>
      <rPr>
        <b/>
        <sz val="8"/>
        <color theme="1"/>
        <rFont val="Arial"/>
        <family val="2"/>
      </rPr>
      <t xml:space="preserve">13-06-2013 </t>
    </r>
    <r>
      <rPr>
        <sz val="8"/>
        <color theme="1"/>
        <rFont val="Arial"/>
        <family val="2"/>
      </rPr>
      <t>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</si>
  <si>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t xml:space="preserve">Se cierra por cumplir con la eficacia de las acciones </t>
  </si>
  <si>
    <r>
      <t xml:space="preserve">2 de junio de 2017: </t>
    </r>
    <r>
      <rPr>
        <sz val="10"/>
        <color theme="1"/>
        <rFont val="Arial"/>
        <family val="2"/>
      </rPr>
      <t xml:space="preserve"> Con el memorando 2017IE7930 del 26 de mayo de 2017, la Dirección Jurídica informa a Control Interno lo expuesto por la Subdirección Administrativa en el memorando 2017IE4452 del 27 de marzo de 2017, sobre las razones por las cuales no se ha ejecutado la acción de organizar la documentación correspondiente a la Dirección Jurídica que debe concluir con la digitalización del archivo del proceso; y que solo a su finalización podrá cumplirse con la digitalización . El hallazgo se cierra.</t>
    </r>
  </si>
  <si>
    <t xml:space="preserve">Se cierra por cumplir  con la acción formulada </t>
  </si>
  <si>
    <r>
      <t xml:space="preserve">26/04/2017: </t>
    </r>
    <r>
      <rPr>
        <sz val="10"/>
        <color theme="1"/>
        <rFont val="Arial"/>
        <family val="2"/>
      </rPr>
      <t xml:space="preserve"> se solicito acompañamiento para la efectiva  gestión documental  de la Dirección Jurídica, según memoranods 2016IE14567 del 28 de diciembre de 2016 y 2017IE3829 del 1 de marzo de 2017. Se eviddencia la calsificación de  archivos y se observan las carpetas ordenadas y organizadas. El hallazgo se cierra.</t>
    </r>
  </si>
  <si>
    <r>
      <t xml:space="preserve">4/05/2017: </t>
    </r>
    <r>
      <rPr>
        <sz val="10"/>
        <color theme="1"/>
        <rFont val="Arial"/>
        <family val="2"/>
      </rPr>
      <t xml:space="preserve"> El aplicativo SIPROJ ha sido actualizado (ver numerales 1 y 2) El hallazgo se cierra </t>
    </r>
  </si>
  <si>
    <t xml:space="preserve">Se cierra por la efectividad de la acción </t>
  </si>
  <si>
    <r>
      <t xml:space="preserve">26/04/2017: </t>
    </r>
    <r>
      <rPr>
        <sz val="10"/>
        <color theme="1"/>
        <rFont val="Arial"/>
        <family val="2"/>
      </rPr>
      <t xml:space="preserve"> El procedimiento fue actualizado el 20 de diciembre de 2016. El hallazgo se cierra </t>
    </r>
  </si>
  <si>
    <t xml:space="preserve">Se cierra por cumplir con la actividad formulada </t>
  </si>
  <si>
    <r>
      <t xml:space="preserve">26/04/2017: </t>
    </r>
    <r>
      <rPr>
        <sz val="10"/>
        <color theme="1"/>
        <rFont val="Arial"/>
        <family val="2"/>
      </rPr>
      <t xml:space="preserve"> Al revisar la carpeta del abogado Catrlos Dario Barrera se verificó que el 17 de febrero de 2017 presentó el informe de enero. Mediante oficio 2017IE2341 se le requiere el cumplimiento en la presentación de los informes. Al revisar la carpeta del abogado Alejandro Guayara se encuentran los informes de febrero y marzo de 2017. Al revisar la carpeta de la abogada Solangel Torres Vega se encuentran los informes de febrero y marzo. se evidencia el cumplimiento de la acción. El hallazgo se cierra.</t>
    </r>
  </si>
  <si>
    <t xml:space="preserve">Se cierra la acción formulada se ejecuto de acuerdo a lo propuesto </t>
  </si>
  <si>
    <r>
      <t xml:space="preserve">26/04/2017: </t>
    </r>
    <r>
      <rPr>
        <sz val="10"/>
        <color theme="1"/>
        <rFont val="Arial"/>
        <family val="2"/>
      </rPr>
      <t>se verificaron los requerimientos a los abogados esternos para que se cumpla con el diligenciamiento de los informes y en las carpetas fisicas se evidencia su presentación en el formato requerido. Al revisar la actualización del historico de las actuaciones se establece su cumplimiento. El hallazgo se cierra.</t>
    </r>
  </si>
  <si>
    <t xml:space="preserve">Se cierra el hallazgo por la efectividad de la acciòn propuesta </t>
  </si>
  <si>
    <r>
      <rPr>
        <b/>
        <sz val="10"/>
        <color theme="1"/>
        <rFont val="Arial"/>
        <family val="2"/>
      </rPr>
      <t>19 de julio de 2017</t>
    </r>
    <r>
      <rPr>
        <sz val="10"/>
        <color theme="1"/>
        <rFont val="Arial"/>
        <family val="2"/>
      </rPr>
      <t xml:space="preserve">. El 18 de julio se entregó la versión final de las TRD actualizadas y aprobadas por el Comité de Sistemas, para ser aprobadas por el Comité del Sistema Integrado de Gestión en sesión del 23 de julio. Se cierra el hallazgo.                                                                                      La Dirección de Urbanizaciones y Titulación presenta un cronograma con actividades que se desarrollarán durante 2016. Sin embargo una de las actividades propuestas se desarrollará en 2017.
Esta acción correctiva se deja abierta hasta diciembre de 2016.
</t>
    </r>
  </si>
  <si>
    <t>18/072017</t>
  </si>
  <si>
    <t xml:space="preserve">Se cierra el hallazgo por cumplir con la acción planteada </t>
  </si>
  <si>
    <r>
      <rPr>
        <b/>
        <sz val="10"/>
        <color theme="1"/>
        <rFont val="Arial"/>
        <family val="2"/>
      </rPr>
      <t>30 de mayo de 2017.</t>
    </r>
    <r>
      <rPr>
        <sz val="10"/>
        <color theme="1"/>
        <rFont val="Arial"/>
        <family val="2"/>
      </rPr>
      <t xml:space="preserve"> Se comparó la matriz de riesgos de la vigencia 2016 con la de la vigencia 2017; en la primera se identificaron 11 riesgos de gestión y 3 de corrupción y en la actual se tienen identificados cuatro de corrupción. Se evidencia que no fue tomado como insumo el mapa de riesgos de la vigencia 2016 para la construcción de la matriz de riesgos vigencia 2017. El hallazgo continúa abierto.</t>
    </r>
  </si>
  <si>
    <r>
      <rPr>
        <b/>
        <sz val="10"/>
        <color theme="1"/>
        <rFont val="Arial"/>
        <family val="2"/>
      </rPr>
      <t xml:space="preserve">30 de mayo de 2017. </t>
    </r>
    <r>
      <rPr>
        <sz val="10"/>
        <color theme="1"/>
        <rFont val="Arial"/>
        <family val="2"/>
      </rPr>
      <t xml:space="preserve">Se verificó la formulación de la matriz del producto no conforme. Se cierra el hallazgo. </t>
    </r>
  </si>
  <si>
    <t>Se cumplio con la actividad establecida, por lo tanto, se cierra la no conformidad.</t>
  </si>
  <si>
    <r>
      <rPr>
        <b/>
        <sz val="10"/>
        <color theme="1"/>
        <rFont val="Arial"/>
        <family val="2"/>
      </rPr>
      <t>30 de mayo de 2017</t>
    </r>
    <r>
      <rPr>
        <sz val="10"/>
        <color theme="1"/>
        <rFont val="Arial"/>
        <family val="2"/>
      </rPr>
      <t xml:space="preserve">. Las acciones fueron formuladas oportunamente. Se cierra el hallazgo </t>
    </r>
  </si>
  <si>
    <t xml:space="preserve">Se cierra el hallazgo, se cumplio con la actividad programada </t>
  </si>
  <si>
    <r>
      <rPr>
        <b/>
        <sz val="10"/>
        <color theme="1"/>
        <rFont val="Arial"/>
        <family val="2"/>
      </rPr>
      <t xml:space="preserve">30 de mayo de 20170: </t>
    </r>
    <r>
      <rPr>
        <sz val="10"/>
        <color theme="1"/>
        <rFont val="Arial"/>
        <family val="2"/>
      </rPr>
      <t xml:space="preserve"> En el plan de acción de la vigencia 2017 existen dos actividades sin reporte de avance en las actividades del primer trimestre del año. Al cierre de la vigencia 2016 algunas metas se cumplieron en un 50%, un 86% y un 62%; otra meta se alcanzó el 109% de lo planeado. No se evidencian acciones de mejora en la medición y análisis de los indicadores. El hallazgo continúa abierto</t>
    </r>
  </si>
  <si>
    <r>
      <rPr>
        <b/>
        <sz val="10"/>
        <color theme="1"/>
        <rFont val="Arial"/>
        <family val="2"/>
      </rPr>
      <t xml:space="preserve">30/05/2017: </t>
    </r>
    <r>
      <rPr>
        <sz val="10"/>
        <color theme="1"/>
        <rFont val="Arial"/>
        <family val="2"/>
      </rPr>
      <t>Al verificar la información del proyecto, la actividad 3 - Elaborar la Prefactibilidad del 100 % de los Predios con Potencial de Desarrollo Urbanístico no registra avance, aunque la ejecución de recursos tiene un avance de 96.7%. El hallazgo se cierra debido a que el proyecto no continuo en ejecución.</t>
    </r>
  </si>
  <si>
    <t>El hallazgo se cierra. Debido a que el proyecto no continuó en ejecución</t>
  </si>
  <si>
    <r>
      <rPr>
        <b/>
        <sz val="10"/>
        <color theme="1"/>
        <rFont val="Arial"/>
        <family val="2"/>
      </rPr>
      <t xml:space="preserve">30 de mayo de 2017: </t>
    </r>
    <r>
      <rPr>
        <sz val="10"/>
        <color theme="1"/>
        <rFont val="Arial"/>
        <family val="2"/>
      </rPr>
      <t xml:space="preserve"> El normograma se encuentra desactualizado. Registra normas derogadas o modificadas. El hallazgo continúa abierto.</t>
    </r>
  </si>
  <si>
    <t>Verificado en el Formato Único de Seguimiento Sectorial FUSS la ejecución del proyecto 471, programada para el periodo 2017, presenta un avance en las metas uno y tres del 60% y 70% de cumplimiento en el primer trimestre, debido a la subestimación de las metas en la elaboración del proyecto, lo que implica que para los tres trimestres que restan en el año se trabajará sobre 40% y 30% de las metas planeadas para toda la vigencia.</t>
  </si>
  <si>
    <r>
      <rPr>
        <b/>
        <sz val="10"/>
        <color theme="1"/>
        <rFont val="Arial"/>
        <family val="2"/>
      </rPr>
      <t xml:space="preserve">03/11/16 </t>
    </r>
    <r>
      <rPr>
        <sz val="10"/>
        <color theme="1"/>
        <rFont val="Arial"/>
        <family val="2"/>
      </rPr>
      <t xml:space="preserve">  se presenta la Resolución No. 4664 del 12 de septiembre de 2016 por medio de la cual se adopta la política de seguridad informática de la CVP  01/05/2015  l hallazgo se cierra</t>
    </r>
  </si>
  <si>
    <t>Noviembre 24/16 Verificando la información registrada en el  directorio de funcionarios se evidencia que en la intranet aún se encuentran funcionarios de la planta temporal que se desvincularon de la CVP el 30 de Junio/16, verificando la información de la página WEB  en cuanto al directorio de Contratistas, planta fija y planta transitoria  se encuentra actualizado Por lo anterior se cierra la no conformidad, pero se recomienda actualizar en  la intranet el directorio de funcionarios.</t>
  </si>
  <si>
    <t xml:space="preserve">Se cierra por cumplir con la acción formulada </t>
  </si>
  <si>
    <r>
      <rPr>
        <b/>
        <sz val="9"/>
        <color theme="1"/>
        <rFont val="Arial"/>
        <family val="2"/>
      </rPr>
      <t xml:space="preserve">7 de junio de 2017. </t>
    </r>
    <r>
      <rPr>
        <sz val="9"/>
        <color theme="1"/>
        <rFont val="Arial"/>
        <family val="2"/>
      </rPr>
      <t xml:space="preserve">Se revisaron las actas de las capacitaciones impartidas a los responsables del área, sobre “Seguimiento y control de PQRS”, lo cual ha contribuido con la reducción de los tiempos y ha disminuido el número de PQRS vencidas, de ocho (8) en marzo a un número de dos (2) PQRS en el mes de abril. </t>
    </r>
    <r>
      <rPr>
        <b/>
        <sz val="9"/>
        <color theme="1"/>
        <rFont val="Arial"/>
        <family val="2"/>
      </rPr>
      <t>La no conformidad se cierra.</t>
    </r>
  </si>
  <si>
    <t xml:space="preserve">Se cierra por la eficacia de la acción </t>
  </si>
  <si>
    <r>
      <t xml:space="preserve">No tiene plan de mejoramiento
</t>
    </r>
    <r>
      <rPr>
        <b/>
        <sz val="10"/>
        <rFont val="Arial"/>
        <family val="2"/>
      </rPr>
      <t>Nov 24/16:</t>
    </r>
    <r>
      <rPr>
        <sz val="10"/>
        <rFont val="Arial"/>
        <family val="2"/>
      </rPr>
      <t xml:space="preserve"> Pendiente acta de reunión.
Solicitar autorización para activar el punto de control 
Se mantiene abierta la no conformidad
</t>
    </r>
    <r>
      <rPr>
        <b/>
        <sz val="10"/>
        <rFont val="Arial"/>
        <family val="2"/>
      </rPr>
      <t>Diciembre 20 de 2016:</t>
    </r>
    <r>
      <rPr>
        <sz val="10"/>
        <rFont val="Arial"/>
        <family val="2"/>
      </rPr>
      <t xml:space="preserve"> No se presenta avance de la acción, por lo tanto se mantiene abierta la no conformidad
</t>
    </r>
  </si>
  <si>
    <r>
      <rPr>
        <b/>
        <sz val="10"/>
        <color theme="1"/>
        <rFont val="Arial"/>
        <family val="2"/>
      </rPr>
      <t xml:space="preserve">
Diciembre 20 de 2016: </t>
    </r>
    <r>
      <rPr>
        <sz val="10"/>
        <color theme="1"/>
        <rFont val="Arial"/>
        <family val="2"/>
      </rPr>
      <t>no se presenta avance de la acción se mantiene abierta la no conformidad</t>
    </r>
    <r>
      <rPr>
        <b/>
        <sz val="10"/>
        <color theme="1"/>
        <rFont val="Arial"/>
        <family val="2"/>
      </rPr>
      <t xml:space="preserve">
Diciembre 31 de 2015:</t>
    </r>
    <r>
      <rPr>
        <sz val="10"/>
        <color theme="1"/>
        <rFont val="Arial"/>
        <family val="2"/>
      </rPr>
      <t xml:space="preserve">
La circular se expedirá una vez se valide por parte de la OAP.
</t>
    </r>
  </si>
  <si>
    <r>
      <rPr>
        <b/>
        <sz val="10"/>
        <color theme="1"/>
        <rFont val="Arial"/>
        <family val="2"/>
      </rPr>
      <t>Diciembre 20 de 2016</t>
    </r>
    <r>
      <rPr>
        <sz val="10"/>
        <color theme="1"/>
        <rFont val="Arial"/>
        <family val="2"/>
      </rPr>
      <t xml:space="preserve">: No se presenta avance de la acción, por lo tanto se mantiene abierta la no conformidad
</t>
    </r>
    <r>
      <rPr>
        <b/>
        <sz val="10"/>
        <color theme="1"/>
        <rFont val="Arial"/>
        <family val="2"/>
      </rPr>
      <t>6 de mayo de 2015:</t>
    </r>
    <r>
      <rPr>
        <sz val="10"/>
        <color theme="1"/>
        <rFont val="Arial"/>
        <family val="2"/>
      </rPr>
      <t xml:space="preserve">
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equipo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
Aunque la política de seguridad de la información ya está establecida, se verifica que no atiende  la no conformidad presentada que va encaminada a la necesidad de tener registros de los cambios o ajustes realizado, por lo anterior se deja la no conformidad abierta. 
</t>
    </r>
  </si>
  <si>
    <r>
      <rPr>
        <b/>
        <sz val="9"/>
        <color theme="1"/>
        <rFont val="Arial"/>
        <family val="2"/>
      </rPr>
      <t xml:space="preserve">23/05/2017: </t>
    </r>
    <r>
      <rPr>
        <sz val="9"/>
        <color theme="1"/>
        <rFont val="Arial"/>
        <family val="2"/>
      </rPr>
      <t xml:space="preserve">A partir del primer trimestre del año en curso se puso en marcha el sistema SIMO, el cual articula el digiturno con las pantallas ubicadas en el área de servicio al ciudadano. Se verificó su correcto funcionamiento y se comprobó su efectividad. La no conformidad se cierra.                                                                                                                </t>
    </r>
    <r>
      <rPr>
        <b/>
        <sz val="9"/>
        <color theme="1"/>
        <rFont val="Arial"/>
        <family val="2"/>
      </rPr>
      <t>14 de junio de 2016:</t>
    </r>
    <r>
      <rPr>
        <sz val="9"/>
        <color theme="1"/>
        <rFont val="Arial"/>
        <family val="2"/>
      </rPr>
      <t xml:space="preserve"> En el desarrollo de esta auditoría se evidencia de nuevo que la pantalla no se encuentra en funcionamiento. La acción debe ser reformulada o reasignada.
Correo de respuesta para dar a conocer las comunicaciones al área de sistemas. Esta informa que se han “generado varias comunicaciones para dar solución a la problemática y se observa que la empresa no ha estado muy receptiva para apoyarnos y eso se ve reflejado en las demoras”
</t>
    </r>
  </si>
  <si>
    <r>
      <rPr>
        <b/>
        <sz val="9"/>
        <color theme="1"/>
        <rFont val="Arial"/>
        <family val="2"/>
      </rPr>
      <t xml:space="preserve">19 de mayo de 2017. </t>
    </r>
    <r>
      <rPr>
        <sz val="9"/>
        <color theme="1"/>
        <rFont val="Arial"/>
        <family val="2"/>
      </rPr>
      <t xml:space="preserve">De acuerdo con la información suministrada el procedimiento de servicio al ciudadano formato 208-SADM-Pr-06, se encuentra en proceso de revisión y actualización. Una vez sea actualizado y publicado en la capeta de calidad se procederá a las verificaciones correspondientes para el levantamiento de la no conformidad. Se revisó el listado maestro de documentos y se encontró que la codificación coincide con la del documento en cuanto a la fecha de vigencia y la versión. La no conformidad se mantiene.                                                          </t>
    </r>
    <r>
      <rPr>
        <b/>
        <sz val="9"/>
        <color theme="1"/>
        <rFont val="Arial"/>
        <family val="2"/>
      </rPr>
      <t xml:space="preserve">14 de junio de 2016: </t>
    </r>
    <r>
      <rPr>
        <sz val="9"/>
        <color theme="1"/>
        <rFont val="Arial"/>
        <family val="2"/>
      </rPr>
      <t>Se evidenció la actualización del procedimiento desde el punto de vista de la nueva normatividad aplicable. Falta verificar el listado maestro de documentos contra el procedimiento, para garantizar la codificación de los registros.</t>
    </r>
  </si>
  <si>
    <r>
      <rPr>
        <b/>
        <sz val="10"/>
        <color theme="1"/>
        <rFont val="Arial"/>
        <family val="2"/>
      </rPr>
      <t xml:space="preserve">28/05/2017: </t>
    </r>
    <r>
      <rPr>
        <sz val="10"/>
        <color theme="1"/>
        <rFont val="Arial"/>
        <family val="2"/>
      </rPr>
      <t>Se revisó el Normograma publicado en la carpeta de calidad del proceso, el cual presenta fecha de actualización 30 de abril de 2017. El enlace del proceso señor Roberto Carlos Narváez Cortés, solicitó ampliación del plazo para efectuar las correcciones tendientes al cierre de la no conformidad; sin embargo, no se corrigieron en su totalidad. El nuevo normograma presenta fecha de actualización 31 de mayo de 2017. La no conformidad se mantiene.</t>
    </r>
  </si>
  <si>
    <r>
      <rPr>
        <b/>
        <sz val="10"/>
        <color theme="1"/>
        <rFont val="Arial"/>
        <family val="2"/>
      </rPr>
      <t xml:space="preserve">Diciembre 20 de 2016: </t>
    </r>
    <r>
      <rPr>
        <sz val="10"/>
        <color theme="1"/>
        <rFont val="Arial"/>
        <family val="2"/>
      </rPr>
      <t>Se verifico el enlace que se reporta anteriormente y se evidencia que presenta error, por lo anterior, se mantiene abierta la no conformidad</t>
    </r>
    <r>
      <rPr>
        <b/>
        <sz val="10"/>
        <color theme="1"/>
        <rFont val="Arial"/>
        <family val="2"/>
      </rPr>
      <t xml:space="preserve">
Noviembre 12 de 2015:</t>
    </r>
    <r>
      <rPr>
        <sz val="10"/>
        <color theme="1"/>
        <rFont val="Arial"/>
        <family val="2"/>
      </rPr>
      <t xml:space="preserve">
Los manuales se encuentran almacenados  en el servidor del Sistema y publicados en la ayuda en línea Sistema@ SI C@pital. (ver http://servcv2:7778/documentacion/manuales.html) 
Se envía a planeación comunicado el 30-12-2015 para que se suba la información a calidad
Noviembre 204/16 
</t>
    </r>
  </si>
  <si>
    <r>
      <rPr>
        <b/>
        <sz val="10"/>
        <color theme="1"/>
        <rFont val="Arial"/>
        <family val="2"/>
      </rPr>
      <t>Noviembre 24 de 2016</t>
    </r>
    <r>
      <rPr>
        <sz val="10"/>
        <color theme="1"/>
        <rFont val="Arial"/>
        <family val="2"/>
      </rPr>
      <t xml:space="preserve"> No se presentó avance de esta acción, por lo anterior de deja abierta la no conformidad</t>
    </r>
  </si>
  <si>
    <r>
      <rPr>
        <b/>
        <sz val="10"/>
        <color theme="1"/>
        <rFont val="Arial"/>
        <family val="2"/>
      </rPr>
      <t xml:space="preserve">Noviembre 24 de 2016: </t>
    </r>
    <r>
      <rPr>
        <sz val="10"/>
        <color theme="1"/>
        <rFont val="Arial"/>
        <family val="2"/>
      </rPr>
      <t xml:space="preserve"> No se presentó avance de esta acción, por lo anterior de deja abierta la no conformidad</t>
    </r>
  </si>
  <si>
    <r>
      <rPr>
        <b/>
        <sz val="10"/>
        <color theme="1"/>
        <rFont val="Arial"/>
        <family val="2"/>
      </rPr>
      <t xml:space="preserve">Noviembre 24 de 2016 </t>
    </r>
    <r>
      <rPr>
        <sz val="10"/>
        <color theme="1"/>
        <rFont val="Arial"/>
        <family val="2"/>
      </rPr>
      <t xml:space="preserve"> No se presentó avance de esta acción, por lo anterior de deja abierta la no conformidad</t>
    </r>
  </si>
  <si>
    <r>
      <t>1</t>
    </r>
    <r>
      <rPr>
        <b/>
        <sz val="10"/>
        <color rgb="FF000000"/>
        <rFont val="Arial"/>
        <family val="2"/>
      </rPr>
      <t xml:space="preserve">8/12/2016: </t>
    </r>
    <r>
      <rPr>
        <sz val="10"/>
        <color rgb="FF000000"/>
        <rFont val="Arial"/>
        <family val="2"/>
      </rPr>
      <t>Se verificó la implementación del aplicativo y se evidencia que existe control sobre los pagos de arrendamiento en cuanto al valor y el tiempo en que se efectúan. Se cierra la no conformidad por cuanto atiende la causa raíz.</t>
    </r>
  </si>
  <si>
    <t>Se cierra por cumplir con la acción que se formulo</t>
  </si>
  <si>
    <r>
      <t>28 de diciembre de 2016. Se verificaron algunas acciones de mejora formuladas dentro del proceso, tales como: 1. Actualización del procedimiento 208 - REAS - Pr-06 RELOCALIZACIÓN TRANSITORIA.
2. Diseño e implementación de un aplicativo de relocalización transitoria que controle la trazabilidad de la información entre, resoluciones memorandos, contratos, CDP, RP, y los giros realizados.
3. El Diseño e implementación de un formato y un instructivo para el seguimiento de los convenios interadministrativos.
4. El Diseño e Implementación del procedimiento 208 - REAS Pr - 07 Reparto Notarial. 5. Actualización de los siguientes formatos: 208 - REAS - Ft-33 RELOCALIZACIÓN TRANSITORIA.   LISTA DE CHEQUEO REASENTAMIENTO; Formato 208 - REAS - Ft - 42 Notificacion Resoluciones  VUR. Estas acciones de mejora nacen del producto de la autoevaluación y el mejoramiento continuo que ha implementado el proceso. De acuerdo con lo anterior</t>
    </r>
    <r>
      <rPr>
        <b/>
        <sz val="10"/>
        <color theme="1"/>
        <rFont val="Arial"/>
        <family val="2"/>
      </rPr>
      <t xml:space="preserve"> se cierra la no conformidad</t>
    </r>
  </si>
  <si>
    <t xml:space="preserve">Se cierra por la eficacia en la acción </t>
  </si>
  <si>
    <r>
      <rPr>
        <b/>
        <sz val="9"/>
        <color theme="1"/>
        <rFont val="Arial"/>
        <family val="2"/>
      </rPr>
      <t>28 de diciembre de 2016</t>
    </r>
    <r>
      <rPr>
        <sz val="9"/>
        <color theme="1"/>
        <rFont val="Arial"/>
        <family val="2"/>
      </rPr>
      <t xml:space="preserve">. Se evidencia la formulación de los planes de mejoramiento del proceso y la contratación de Lady Andrea Córdoba Navarro (contrato No. 115 de 2016); el objeto del contrato comprende elaborar o actualizar y realizar el seguimiento a la herramienta plan de mejoramiento de proceso y de la contraloría y demás entes de control acorde a los lineamientos establecidos por Control Interno. De acuerdo con lo anterior se </t>
    </r>
    <r>
      <rPr>
        <b/>
        <sz val="9"/>
        <color theme="1"/>
        <rFont val="Arial"/>
        <family val="2"/>
      </rPr>
      <t>cierra  la no conformidad.</t>
    </r>
  </si>
  <si>
    <t xml:space="preserve">Se cierra por cumplir con lo formulado en la acción </t>
  </si>
  <si>
    <r>
      <rPr>
        <b/>
        <sz val="10"/>
        <color theme="1"/>
        <rFont val="Arial"/>
        <family val="2"/>
      </rPr>
      <t>28 de diciembre de 2016</t>
    </r>
    <r>
      <rPr>
        <sz val="10"/>
        <color theme="1"/>
        <rFont val="Arial"/>
        <family val="2"/>
      </rPr>
      <t>. En el link \\ serv-cv11 \ calidad \ 17. CONSOLIDADO SERVICIO NO CONFORME \ 2016 \ FECHA DE CORTE 30 SEPTIEMBRE se observa la medición del producto no conforme, junto con su debido tratamiento. De acuerdo con lo anterior se cierra la no conformidad.</t>
    </r>
  </si>
  <si>
    <t xml:space="preserve">Se cierra por atender la no conformidad con eficacia </t>
  </si>
  <si>
    <r>
      <rPr>
        <b/>
        <sz val="10"/>
        <color rgb="FF000000"/>
        <rFont val="Arial"/>
        <family val="2"/>
      </rPr>
      <t xml:space="preserve">16/12/2016: </t>
    </r>
    <r>
      <rPr>
        <sz val="10"/>
        <color rgb="FF000000"/>
        <rFont val="Arial"/>
        <family val="2"/>
      </rPr>
      <t xml:space="preserve">Se verifica el cumplimiento de la acción reformulada y se procede al cierre.                </t>
    </r>
    <r>
      <rPr>
        <b/>
        <sz val="10"/>
        <color rgb="FF000000"/>
        <rFont val="Arial"/>
        <family val="2"/>
      </rPr>
      <t>29 de diciembre de 2015:</t>
    </r>
    <r>
      <rPr>
        <sz val="10"/>
        <color rgb="FF000000"/>
        <rFont val="Arial"/>
        <family val="2"/>
      </rPr>
      <t xml:space="preserve">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                                                                                 </t>
    </r>
  </si>
  <si>
    <r>
      <t xml:space="preserve">16/12/2016 </t>
    </r>
    <r>
      <rPr>
        <sz val="10"/>
        <color theme="1"/>
        <rFont val="Arial"/>
        <family val="2"/>
      </rPr>
      <t>En cuanto al diligenciamiento y envio de los registros del formato M-ODT-FM-023 Certificación actualización de información Distrital del Empleo y la Administración Pública - SIDEAP; se evidencio que este instrumento fue diligenciado y enviado hasta febrero de 2014 y que en la actualidad tal actividad no se lleva acabo.   Se verifica el cumplimiento de la acción formulada, a partir de los envíos dentro de los términos estableciods y la utilización del formato correspondiente. Se procede al cierre.</t>
    </r>
  </si>
  <si>
    <t xml:space="preserve">De acuerdo con las acciones formuladas y los indicadores en el plan de mejoramiento vigente, se evidencia que los criterios para realizar las mediciones del mismo no están estandarizados, se evalúan actividades en algunos casos y en otros se evalúan las sub-actividades, 
Es importante tener claridad en la medición de los planes de acción, al tener los indicadores formulados correctamente y realizar la medición y análisis de los mismos, estos arrojan datos que aportan información muy relevante para el desarrollo del proceso.
</t>
  </si>
  <si>
    <t>El Normograma del proceso se encuentra desactualizado. Se verificó que no hay una organización jerárquica ni cronológica de las normas. De igual manera se encuentran unas normas que a la fecha ya han sido derogadas; por ejemplo: Decreto Reglamentario 1713 de 2002, modificado por el Decreto Reglamentario 838 de 2005 y derogado por el artículo 120 del Decreto Reglamentario 2981 de 2013.</t>
  </si>
  <si>
    <t>Subsiste la desactualización del Normograma del proceso.</t>
  </si>
  <si>
    <t>Actualizar y publicar el normograma</t>
  </si>
  <si>
    <t>Concertar el Plan de Acción de Gestión vigencia 2017 con  indicadores que midan las actividades</t>
  </si>
  <si>
    <t>03/11/16   se presenta la Resolución No. 4664 del 12 de septiembre de 2016 por medio de la cual se adopta la política de seguridad informática de la CVP  01/05/2015  l hallazgo se cierra</t>
  </si>
  <si>
    <r>
      <rPr>
        <b/>
        <sz val="9"/>
        <color theme="1"/>
        <rFont val="Arial"/>
        <family val="2"/>
      </rPr>
      <t xml:space="preserve">14 de junio de 2016: </t>
    </r>
    <r>
      <rPr>
        <sz val="9"/>
        <color theme="1"/>
        <rFont val="Arial"/>
        <family val="2"/>
      </rPr>
      <t>Se vuelve a evidenciar que la pantalla no se encuentra en funcionamiento.</t>
    </r>
  </si>
  <si>
    <t xml:space="preserve">12 de junio de 2017. Se evidenció la formulación de los nuevos indicadores en el Plan de Acción de Gestión a 31 de marzo de 2017, y su publicación en la ruta: \\serv-cv11\calidad\16. CONSOLIDADO PLANES DE ACCIÓN DE GESTIÓN\2017\I TRIMESTRE, de los indicadores medirán lo siguiente:
• La eficacia en el desarrollo de la asistencia técnica, social y financiera a los hogares beneficiarios del programa de Mejoramiento de Vivienda localizados en zona urbana y rural, (No. de asistencias técnicas, social y jurídicas realizadas / No. de asistencias técnicas, social y jurídicas programadas realizar) *100
• La eficacia en la entrega de un diagnóstico que cumpla con la normatividad aplicable, con el fin de que se asigne el Subsidio Distrital de Vivienda en Especie por parte de la SDH. 
• La supervisión a la interventoría de obra de los proyectos de mejoramiento de vivienda desarrollados mediante el Subsidio Distrital de Vivienda en Especie – SDVE.
• El cumplimiento a la Ley 1712 de 2014.
</t>
  </si>
  <si>
    <t>Se cierra la no conformidad por el cumplimiento de la acción formulada</t>
  </si>
  <si>
    <r>
      <rPr>
        <b/>
        <sz val="10"/>
        <rFont val="Arial"/>
        <family val="2"/>
      </rPr>
      <t xml:space="preserve">12 de junio de 2017. </t>
    </r>
    <r>
      <rPr>
        <sz val="10"/>
        <rFont val="Arial"/>
        <family val="2"/>
      </rPr>
      <t>Se constató que mediante correo enviado el 10 de marzo de 2017 a la Oficina Asesora de Planeación, fue remitido el seguimiento y la medición del Servicio no Conforme – Asistencia Técnica y el Servicio No Conforme – Supervisión a la Interventoría de Obra; verificados en la ruta: \\serv-cv11\calidad\17. CONSOLIDADO SERVICIO NO CONFORME\2017\FECHA DE CORTE ABRIL 2017 -Caracterización del Producto y/o Servicio DMV (Asistencia Técnica-abril); y \\serv-cv11\calidad\17. CONSOLIDADO SERVICIO NO CONFORME\2017\FECHA DE CORTE ABRIL 2017-Caracterización del Producto y/o Servicio DMV (Supervisión Técnica Mejoramiento-abril)</t>
    </r>
    <r>
      <rPr>
        <b/>
        <sz val="10"/>
        <rFont val="Arial"/>
        <family val="2"/>
      </rPr>
      <t>.
El hallazgo se cierra.                                   22-marz-2016</t>
    </r>
    <r>
      <rPr>
        <sz val="10"/>
        <rFont val="Arial"/>
        <family val="2"/>
      </rPr>
      <t>: Se esta a la espera de las directrices dadas por planeación. No hay avance se solicita ampliación de la fecha de finalización. Se amplia al 30 may 2016.</t>
    </r>
    <r>
      <rPr>
        <b/>
        <sz val="10"/>
        <rFont val="Arial"/>
        <family val="2"/>
      </rPr>
      <t xml:space="preserve"> </t>
    </r>
    <r>
      <rPr>
        <sz val="10"/>
        <rFont val="Arial"/>
        <family val="2"/>
      </rPr>
      <t xml:space="preserve">
 </t>
    </r>
  </si>
  <si>
    <r>
      <t xml:space="preserve"> </t>
    </r>
    <r>
      <rPr>
        <b/>
        <sz val="11"/>
        <color theme="1"/>
        <rFont val="Arial"/>
        <family val="2"/>
      </rPr>
      <t xml:space="preserve"> 12 de junio de 2017</t>
    </r>
    <r>
      <rPr>
        <sz val="11"/>
        <color theme="1"/>
        <rFont val="Arial"/>
        <family val="2"/>
      </rPr>
      <t xml:space="preserve">. Se revisó el formato 208-SADM-Ft-02-FUID PROGRAMAS-DMV—2017 en la ruta\\serv-cv11\vivienda\ARCHIVO DMV 2016\BASES DE INFORMACION\FUID INVENTARIOS DMV 2017\FUID MEJORAMIENTO DE VIVIENDA2017, y se evidencia que a junio de 2017 la información se encuentra debidamente actualizada y es coherente con los registros del proceso. Sin embargo, el alcance de la misma va hasta la oficialización de las Tablas de Retención Documental por parte de la Secretaría General.
No se cierra el Hallazgo.
    </t>
    </r>
    <r>
      <rPr>
        <b/>
        <sz val="11"/>
        <rFont val="Arial"/>
        <family val="2"/>
      </rPr>
      <t>22-mar2016:</t>
    </r>
    <r>
      <rPr>
        <sz val="11"/>
        <rFont val="Arial"/>
        <family val="2"/>
      </rPr>
      <t xml:space="preserve"> No se ha realizado avance, considerando que a la fecha no hay directriz dada sobre este tema y considerando que no hay responsable de liderarlo dentro de la CVP. Se solicta ampliación de fecha al 30 may 2016</t>
    </r>
  </si>
  <si>
    <r>
      <rPr>
        <b/>
        <sz val="10"/>
        <color theme="1"/>
        <rFont val="Arial"/>
        <family val="2"/>
      </rPr>
      <t>9 de junio de 2017.</t>
    </r>
    <r>
      <rPr>
        <sz val="10"/>
        <color theme="1"/>
        <rFont val="Arial"/>
        <family val="2"/>
      </rPr>
      <t xml:space="preserve"> Se revisó el normograma publicado en la carpeta calidad \\serv-cv11\calidad\5. PROCESO MEJORAMIENTO DE VIVIENDA-208-PLA-Ft--20-NORMOGRAMA-MEJORAMIENTO-DE-VIVIENDA de fecha 31 de mayo de 2017, y se evidencia la correcta jerarquización y la actualización de la normatividad derogada del proceso. 
El hallazgo se cierra.
</t>
    </r>
  </si>
  <si>
    <t xml:space="preserve">Se cierra el hallazgo por cumplir con eficiencia la acción formulada </t>
  </si>
  <si>
    <t>El Nomograma del procedimiento 208-MV-Pr-04 SUPERVISIÓN A LA INTERVENTORÍA DE OBRA no ha sido actualizado desde el 4 de agosto de 2016, las normas no están organizadas jerárquicamente y algunas se encuentran derogadas.</t>
  </si>
  <si>
    <t>Revisar y ajustar el procedimiento "208-MV-Pr-04 SUPERVISIÓN A LA INTERVENTORÍA DE OBRA" en la carpeta de calidad, con la Normatividad vigente aplicable al proceso de la Dirección y organizarla jerárquicamente.</t>
  </si>
  <si>
    <t>Revisar y actualizar los procedimientos de la Dirección de Mejoramiento de Vivienda, de Vivienda, de acuerdo a la normatividad vigente.
Adicionalmente se realizara una separacion de los dos procesos inmersos en el procedimiento.</t>
  </si>
  <si>
    <t xml:space="preserve">Mensualmente se efectua seguimiento al cumplimiento de las metas del proyecto 471 las cuales están definidas para ejecutarlas en un 95% </t>
  </si>
  <si>
    <t xml:space="preserve"> </t>
  </si>
  <si>
    <t>Revisar y  actualizar los procedimientos de la Dirección de Mejoramiento de Vivienda, de acuerdo a la normatividad vigente.</t>
  </si>
  <si>
    <t xml:space="preserve">Revisar y  ajustar el procedimiento "208-MV-pr-03 PROCEDIMIENTOS DE ASISTENCIA TECNICA A HOGARES PARA EL MEJORAMIENTO DE VIVIENDA" en la carpeta de calidad, con la normatividad vigente aplicable al proceso de la Dirección </t>
  </si>
  <si>
    <t>Aplicar las Tablas de Retencion Documental - TRD vigentes sobre los expedientes identificados en la auditoria.</t>
  </si>
  <si>
    <r>
      <rPr>
        <b/>
        <sz val="10"/>
        <color theme="1"/>
        <rFont val="Arial"/>
        <family val="2"/>
      </rPr>
      <t>14 de junio de 2016</t>
    </r>
    <r>
      <rPr>
        <sz val="10"/>
        <color theme="1"/>
        <rFont val="Arial"/>
        <family val="2"/>
      </rPr>
      <t xml:space="preserve">: Se asignó a la contratista Silenia Neira Torres para el seguimiento y la formulación de los planes de mejoramiento del proceso servicio al ciudadano. No se evidencia la formulación del indicador de cumplimiento.  </t>
    </r>
    <r>
      <rPr>
        <b/>
        <sz val="10"/>
        <color theme="1"/>
        <rFont val="Arial"/>
        <family val="2"/>
      </rPr>
      <t xml:space="preserve"> Junio 6 de 2017: </t>
    </r>
    <r>
      <rPr>
        <sz val="10"/>
        <color theme="1"/>
        <rFont val="Arial"/>
        <family val="2"/>
      </rPr>
      <t xml:space="preserve"> Se verifico la publicación en la página web  de los informes de PQRs, por lo anterior se cerro la no conformidad </t>
    </r>
  </si>
  <si>
    <t xml:space="preserve">Se cerro por cumplir con las acciones planteadas </t>
  </si>
  <si>
    <r>
      <rPr>
        <b/>
        <sz val="10"/>
        <color theme="1"/>
        <rFont val="Arial"/>
        <family val="2"/>
      </rPr>
      <t>19 de mayo de 2017:</t>
    </r>
    <r>
      <rPr>
        <sz val="10"/>
        <color theme="1"/>
        <rFont val="Arial"/>
        <family val="2"/>
      </rPr>
      <t xml:space="preserve"> No se evidenció avance, no se encontraron Tablas de Retención Documental asociadas al proceso, sin embargo, es de conocimiento que los procesos de la entidad se encuentran en fase de revisión y actualización de esta herramienta. La no conformidad se mantiene.                                                                                                              </t>
    </r>
    <r>
      <rPr>
        <b/>
        <sz val="9"/>
        <color theme="1"/>
        <rFont val="Arial"/>
        <family val="2"/>
      </rPr>
      <t>14 de junio de 2016:</t>
    </r>
    <r>
      <rPr>
        <sz val="9"/>
        <color theme="1"/>
        <rFont val="Arial"/>
        <family val="2"/>
      </rPr>
      <t>No se evidenció avance. Se presenta el inventario de activos de información de la Dirección Corporativa y CID sin ninguno de los componentes que tengan relación directa  proceso servicio al ciudadano.</t>
    </r>
  </si>
  <si>
    <t xml:space="preserve">Actualizar el procedimiento de Servicio al Ciudadano  </t>
  </si>
  <si>
    <t xml:space="preserve">Documentar las tablas de retenciòn de aucerdo con lo establecido la Ley 594 de 2000  y el Acuerdo 039 de 2002 del Archivo General de la Nación </t>
  </si>
  <si>
    <t xml:space="preserve">1- Designar profesional para realizar la actualizaciòn del proceso.       </t>
  </si>
  <si>
    <t xml:space="preserve">2- Actualizar el procedimiento de Servicio al Ciudadano conforme a la normatividad vigente.                                                                          </t>
  </si>
  <si>
    <t>Actualizar y publicar el normograma del proceso de Servicio al Ciudadano</t>
  </si>
  <si>
    <t xml:space="preserve">25 de julio de 2017.  Se verificó el avance en la actualización de los procedimientos Reubicación Definitiva y Relocalización Transitoria. Se trabaja sobre el procedimiento Cuentas de Ahorro Programado: se verifica el registro de reunión de fecha 31 de julio de 2017 y se establece que se encuentra avanzado. El hallazgo se cierra.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</si>
</sst>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mm/yyyy;@"/>
    <numFmt numFmtId="166" formatCode="dd/mmm/yyyy"/>
    <numFmt numFmtId="167" formatCode="0.0%"/>
    <numFmt numFmtId="168" formatCode="_(* #,##0_);_(* \(#,##0\);_(* &quot;-&quot;??_);_(@_)"/>
    <numFmt numFmtId="169" formatCode="[$-C0A]dd\-mmm\-yy;@"/>
  </numFmts>
  <fonts count="4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0"/>
      <color theme="1"/>
      <name val="Calibri"/>
      <family val="2"/>
      <scheme val="minor"/>
    </font>
    <font>
      <sz val="10"/>
      <color theme="1"/>
      <name val="Arial"/>
      <family val="2"/>
    </font>
    <font>
      <sz val="11"/>
      <color theme="1"/>
      <name val="Calibri"/>
      <family val="2"/>
      <scheme val="minor"/>
    </font>
    <font>
      <sz val="10"/>
      <name val="Calibri"/>
      <family val="2"/>
      <scheme val="minor"/>
    </font>
    <font>
      <b/>
      <sz val="10"/>
      <name val="Calibri"/>
      <family val="2"/>
      <scheme val="minor"/>
    </font>
    <font>
      <sz val="10"/>
      <color rgb="FF000000"/>
      <name val="Arial"/>
      <family val="2"/>
    </font>
    <font>
      <b/>
      <sz val="10"/>
      <color rgb="FF000000"/>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b/>
      <sz val="12"/>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sz val="11"/>
      <color rgb="FF000000"/>
      <name val="Arial"/>
      <family val="2"/>
    </font>
    <font>
      <b/>
      <sz val="11"/>
      <color theme="1"/>
      <name val="Arial"/>
      <family val="2"/>
    </font>
    <font>
      <b/>
      <sz val="12"/>
      <color rgb="FF000000"/>
      <name val="Arial"/>
      <family val="2"/>
    </font>
    <font>
      <sz val="10"/>
      <name val="Arial"/>
      <family val="2"/>
    </font>
    <font>
      <b/>
      <sz val="20"/>
      <color theme="1"/>
      <name val="Calibri"/>
      <family val="2"/>
      <scheme val="minor"/>
    </font>
    <font>
      <sz val="8"/>
      <name val="Arial"/>
      <family val="2"/>
    </font>
    <font>
      <b/>
      <sz val="18"/>
      <color theme="1"/>
      <name val="Arial"/>
      <family val="2"/>
    </font>
    <font>
      <b/>
      <sz val="9"/>
      <color rgb="FFFFCCCC"/>
      <name val="Arial"/>
      <family val="2"/>
    </font>
    <font>
      <sz val="10"/>
      <color rgb="FFFF0000"/>
      <name val="Arial"/>
      <family val="2"/>
    </font>
    <font>
      <sz val="11"/>
      <color rgb="FF000000"/>
      <name val="Calibri"/>
      <family val="2"/>
      <scheme val="minor"/>
    </font>
    <font>
      <sz val="9"/>
      <name val="Arial"/>
      <family val="2"/>
    </font>
    <font>
      <b/>
      <sz val="14"/>
      <color theme="1"/>
      <name val="Arial"/>
      <family val="2"/>
    </font>
    <font>
      <sz val="11"/>
      <name val="Arial"/>
      <family val="2"/>
    </font>
    <font>
      <b/>
      <sz val="11"/>
      <color rgb="FF000000"/>
      <name val="Arial"/>
      <family val="2"/>
    </font>
    <font>
      <b/>
      <sz val="16"/>
      <color theme="1"/>
      <name val="Arial"/>
      <family val="2"/>
    </font>
    <font>
      <b/>
      <sz val="11"/>
      <color rgb="FFFFCCCC"/>
      <name val="Arial"/>
      <family val="2"/>
    </font>
    <font>
      <b/>
      <sz val="10"/>
      <name val="Arial"/>
      <family val="2"/>
    </font>
    <font>
      <u/>
      <sz val="11"/>
      <color theme="10"/>
      <name val="Calibri"/>
      <family val="2"/>
      <scheme val="minor"/>
    </font>
    <font>
      <sz val="11"/>
      <name val="Calibri"/>
      <family val="2"/>
      <scheme val="minor"/>
    </font>
    <font>
      <b/>
      <sz val="10"/>
      <color rgb="FFFFCCCC"/>
      <name val="Arial"/>
      <family val="2"/>
    </font>
    <font>
      <b/>
      <u/>
      <sz val="10"/>
      <color theme="1"/>
      <name val="Arial"/>
      <family val="2"/>
    </font>
    <font>
      <b/>
      <sz val="11"/>
      <name val="Arial"/>
      <family val="2"/>
    </font>
    <font>
      <b/>
      <sz val="9"/>
      <name val="Arial"/>
      <family val="2"/>
    </font>
  </fonts>
  <fills count="3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gradientFill degree="90">
        <stop position="0">
          <color theme="0"/>
        </stop>
        <stop position="0.5">
          <color theme="6" tint="0.80001220740379042"/>
        </stop>
        <stop position="1">
          <color theme="0"/>
        </stop>
      </gradientFill>
    </fill>
    <fill>
      <patternFill patternType="solid">
        <fgColor theme="4" tint="0.79998168889431442"/>
        <bgColor indexed="64"/>
      </patternFill>
    </fill>
    <fill>
      <gradientFill degree="90">
        <stop position="0">
          <color theme="0"/>
        </stop>
        <stop position="0.5">
          <color theme="9" tint="0.80001220740379042"/>
        </stop>
        <stop position="1">
          <color theme="0"/>
        </stop>
      </gradientFill>
    </fill>
    <fill>
      <patternFill patternType="solid">
        <fgColor rgb="FFFFC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000000"/>
      </patternFill>
    </fill>
    <fill>
      <patternFill patternType="solid">
        <fgColor theme="0" tint="-4.9989318521683403E-2"/>
        <bgColor indexed="64"/>
      </patternFill>
    </fill>
    <fill>
      <gradientFill degree="90">
        <stop position="0">
          <color theme="0"/>
        </stop>
        <stop position="0.5">
          <color theme="5" tint="0.80001220740379042"/>
        </stop>
        <stop position="1">
          <color theme="0"/>
        </stop>
      </gradientFill>
    </fill>
    <fill>
      <gradientFill degree="90">
        <stop position="0">
          <color theme="0"/>
        </stop>
        <stop position="0.5">
          <color theme="4" tint="0.80001220740379042"/>
        </stop>
        <stop position="1">
          <color theme="0"/>
        </stop>
      </gradientFill>
    </fill>
    <fill>
      <patternFill patternType="solid">
        <fgColor theme="6" tint="0.39997558519241921"/>
        <bgColor indexed="64"/>
      </patternFill>
    </fill>
    <fill>
      <patternFill patternType="solid">
        <fgColor theme="9"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rgb="FF000000"/>
      </patternFill>
    </fill>
    <fill>
      <patternFill patternType="solid">
        <fgColor rgb="FFFFFF00"/>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gradientFill degree="45">
        <stop position="0">
          <color theme="0"/>
        </stop>
        <stop position="1">
          <color theme="4"/>
        </stop>
      </gradientFill>
    </fill>
    <fill>
      <gradientFill degree="135">
        <stop position="0">
          <color theme="0"/>
        </stop>
        <stop position="1">
          <color theme="5" tint="0.40000610370189521"/>
        </stop>
      </gradient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rgb="FF000000"/>
      </bottom>
      <diagonal/>
    </border>
    <border>
      <left style="thin">
        <color indexed="64"/>
      </left>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style="double">
        <color indexed="64"/>
      </top>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0" fontId="23" fillId="0" borderId="0"/>
    <xf numFmtId="0" fontId="6" fillId="0" borderId="0"/>
    <xf numFmtId="0" fontId="37" fillId="0" borderId="0" applyNumberFormat="0" applyFill="0" applyBorder="0" applyAlignment="0" applyProtection="0"/>
  </cellStyleXfs>
  <cellXfs count="847">
    <xf numFmtId="0" fontId="0" fillId="0" borderId="0" xfId="0"/>
    <xf numFmtId="0" fontId="0" fillId="0" borderId="0" xfId="0"/>
    <xf numFmtId="0" fontId="4" fillId="0" borderId="0" xfId="0" applyFont="1"/>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165" fontId="7" fillId="0" borderId="1" xfId="0" applyNumberFormat="1" applyFont="1" applyFill="1" applyBorder="1" applyAlignment="1">
      <alignment vertical="center"/>
    </xf>
    <xf numFmtId="0" fontId="7" fillId="0" borderId="1" xfId="0" applyFont="1" applyFill="1" applyBorder="1" applyAlignment="1"/>
    <xf numFmtId="165" fontId="7" fillId="0" borderId="1" xfId="0" applyNumberFormat="1" applyFont="1" applyFill="1" applyBorder="1"/>
    <xf numFmtId="165" fontId="7" fillId="0" borderId="1" xfId="0" applyNumberFormat="1" applyFont="1" applyFill="1" applyBorder="1" applyAlignment="1">
      <alignment vertical="center" wrapText="1"/>
    </xf>
    <xf numFmtId="0" fontId="7" fillId="0" borderId="1" xfId="0" applyFont="1" applyFill="1" applyBorder="1" applyAlignment="1">
      <alignment wrapText="1"/>
    </xf>
    <xf numFmtId="165" fontId="7" fillId="0" borderId="1" xfId="1" applyNumberFormat="1" applyFont="1" applyFill="1" applyBorder="1" applyAlignment="1">
      <alignment vertical="center"/>
    </xf>
    <xf numFmtId="0" fontId="0" fillId="0" borderId="0" xfId="0" applyAlignment="1"/>
    <xf numFmtId="165" fontId="7"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Fill="1" applyBorder="1"/>
    <xf numFmtId="0" fontId="5" fillId="0" borderId="1" xfId="0" applyFont="1" applyFill="1" applyBorder="1" applyAlignment="1">
      <alignment horizontal="center" vertical="center" wrapText="1"/>
    </xf>
    <xf numFmtId="0" fontId="11" fillId="8" borderId="0" xfId="0" applyFont="1" applyFill="1"/>
    <xf numFmtId="0" fontId="11" fillId="8" borderId="0" xfId="0" applyFont="1" applyFill="1" applyAlignment="1">
      <alignment horizontal="center" vertical="center"/>
    </xf>
    <xf numFmtId="0" fontId="0" fillId="4" borderId="0" xfId="0" applyFill="1"/>
    <xf numFmtId="0" fontId="0" fillId="0" borderId="0" xfId="0" applyAlignment="1">
      <alignment wrapText="1"/>
    </xf>
    <xf numFmtId="0" fontId="0" fillId="9" borderId="0" xfId="0" applyFill="1"/>
    <xf numFmtId="0" fontId="14" fillId="0" borderId="0" xfId="0" applyFont="1" applyAlignment="1">
      <alignment horizontal="left" vertical="center"/>
    </xf>
    <xf numFmtId="0" fontId="14" fillId="0" borderId="0" xfId="0" applyFont="1" applyBorder="1" applyAlignment="1">
      <alignment horizontal="right"/>
    </xf>
    <xf numFmtId="0" fontId="15" fillId="10" borderId="6" xfId="0" applyFont="1" applyFill="1" applyBorder="1" applyAlignment="1">
      <alignment vertical="center"/>
    </xf>
    <xf numFmtId="0" fontId="14" fillId="0" borderId="0" xfId="0" applyFont="1" applyFill="1" applyBorder="1" applyAlignment="1"/>
    <xf numFmtId="165" fontId="14" fillId="0" borderId="0" xfId="0" applyNumberFormat="1" applyFont="1" applyBorder="1" applyAlignment="1"/>
    <xf numFmtId="0" fontId="14" fillId="0" borderId="0" xfId="0" applyFont="1" applyBorder="1" applyAlignment="1">
      <alignment horizontal="center"/>
    </xf>
    <xf numFmtId="0" fontId="14" fillId="0" borderId="0"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14" fillId="0" borderId="0" xfId="0" applyFont="1" applyBorder="1" applyAlignment="1"/>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6" fillId="3" borderId="8" xfId="0" applyFont="1" applyFill="1" applyBorder="1" applyAlignment="1">
      <alignment horizontal="center" vertical="center" wrapText="1"/>
    </xf>
    <xf numFmtId="165" fontId="14" fillId="3" borderId="8" xfId="0" applyNumberFormat="1"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justify" vertical="center" wrapText="1"/>
    </xf>
    <xf numFmtId="0" fontId="5" fillId="0" borderId="3" xfId="0" applyFont="1" applyBorder="1" applyAlignment="1">
      <alignment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20" fillId="0" borderId="3" xfId="0" applyFont="1" applyBorder="1"/>
    <xf numFmtId="0" fontId="17" fillId="0" borderId="3" xfId="0" applyFont="1" applyBorder="1" applyAlignment="1">
      <alignment horizontal="center" vertical="center"/>
    </xf>
    <xf numFmtId="0" fontId="5" fillId="0" borderId="1" xfId="0" applyFont="1" applyBorder="1" applyAlignment="1">
      <alignment horizontal="center" vertical="center"/>
    </xf>
    <xf numFmtId="2" fontId="5" fillId="3" borderId="3" xfId="0" applyNumberFormat="1" applyFont="1" applyFill="1" applyBorder="1"/>
    <xf numFmtId="0" fontId="5" fillId="2" borderId="3" xfId="0" applyFont="1" applyFill="1" applyBorder="1" applyAlignment="1">
      <alignment horizontal="justify" vertical="center" wrapText="1"/>
    </xf>
    <xf numFmtId="0" fontId="5" fillId="2" borderId="3" xfId="0" applyFont="1" applyFill="1" applyBorder="1" applyAlignment="1">
      <alignment wrapText="1"/>
    </xf>
    <xf numFmtId="0" fontId="5" fillId="2" borderId="3" xfId="0" applyFont="1" applyFill="1" applyBorder="1" applyAlignment="1">
      <alignment horizontal="center" vertical="center" wrapText="1"/>
    </xf>
    <xf numFmtId="0" fontId="14" fillId="2" borderId="0" xfId="0" applyFont="1" applyFill="1" applyAlignment="1">
      <alignment horizontal="left" vertical="center"/>
    </xf>
    <xf numFmtId="0" fontId="5" fillId="0" borderId="0" xfId="0" applyFont="1" applyAlignment="1"/>
    <xf numFmtId="165" fontId="5" fillId="0" borderId="0" xfId="0" applyNumberFormat="1" applyFont="1" applyAlignment="1"/>
    <xf numFmtId="0" fontId="5" fillId="0" borderId="0" xfId="0" applyFont="1" applyAlignment="1">
      <alignment horizontal="center"/>
    </xf>
    <xf numFmtId="0" fontId="5" fillId="0" borderId="0" xfId="0" applyFont="1" applyFill="1" applyAlignment="1">
      <alignment horizontal="left" vertical="center"/>
    </xf>
    <xf numFmtId="0" fontId="16" fillId="0" borderId="11" xfId="0" applyFont="1" applyBorder="1" applyAlignment="1">
      <alignment horizontal="center" vertical="center"/>
    </xf>
    <xf numFmtId="0" fontId="14" fillId="5" borderId="12" xfId="0" applyFont="1" applyFill="1" applyBorder="1" applyAlignment="1">
      <alignment horizontal="center" vertical="center" wrapText="1"/>
    </xf>
    <xf numFmtId="0" fontId="10" fillId="7" borderId="13" xfId="0" applyFont="1" applyFill="1" applyBorder="1" applyAlignment="1">
      <alignment horizontal="center" vertical="center"/>
    </xf>
    <xf numFmtId="0" fontId="14" fillId="0" borderId="7" xfId="0" applyFont="1" applyBorder="1" applyAlignment="1"/>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4" fillId="5" borderId="8" xfId="0" applyFont="1" applyFill="1" applyBorder="1" applyAlignment="1">
      <alignment horizontal="center" vertical="center" wrapText="1"/>
    </xf>
    <xf numFmtId="0" fontId="10" fillId="7" borderId="9" xfId="0" applyFont="1" applyFill="1" applyBorder="1" applyAlignment="1">
      <alignment horizontal="center" vertical="center"/>
    </xf>
    <xf numFmtId="0" fontId="14" fillId="12" borderId="14" xfId="0" applyFont="1" applyFill="1" applyBorder="1" applyAlignment="1">
      <alignment horizontal="center" vertical="center"/>
    </xf>
    <xf numFmtId="0" fontId="15" fillId="0" borderId="0" xfId="0" applyFont="1" applyAlignment="1"/>
    <xf numFmtId="0" fontId="5" fillId="13" borderId="15" xfId="0" applyFont="1" applyFill="1" applyBorder="1" applyAlignment="1"/>
    <xf numFmtId="0" fontId="14" fillId="3" borderId="1" xfId="0" applyFont="1" applyFill="1" applyBorder="1" applyAlignment="1">
      <alignment horizontal="center" vertical="center"/>
    </xf>
    <xf numFmtId="0" fontId="5" fillId="0" borderId="16" xfId="0" applyFont="1" applyBorder="1" applyAlignment="1">
      <alignment horizontal="center" vertical="center"/>
    </xf>
    <xf numFmtId="0" fontId="5" fillId="13" borderId="17" xfId="0" applyFont="1" applyFill="1" applyBorder="1" applyAlignment="1"/>
    <xf numFmtId="0" fontId="14" fillId="0" borderId="18" xfId="0" applyFont="1" applyBorder="1" applyAlignment="1">
      <alignment horizontal="center" vertical="center"/>
    </xf>
    <xf numFmtId="0" fontId="5" fillId="0" borderId="3" xfId="0" applyFont="1" applyBorder="1" applyAlignment="1">
      <alignment horizontal="center"/>
    </xf>
    <xf numFmtId="0" fontId="5" fillId="0" borderId="19" xfId="0" applyFont="1" applyBorder="1" applyAlignment="1">
      <alignment horizontal="center" vertical="center"/>
    </xf>
    <xf numFmtId="0" fontId="5" fillId="12" borderId="20" xfId="0" applyFont="1" applyFill="1" applyBorder="1" applyAlignment="1">
      <alignment horizontal="center" vertical="center"/>
    </xf>
    <xf numFmtId="0" fontId="5" fillId="5" borderId="21" xfId="0" applyFont="1" applyFill="1" applyBorder="1" applyAlignment="1"/>
    <xf numFmtId="0" fontId="5" fillId="0" borderId="4" xfId="0" applyFont="1" applyBorder="1" applyAlignment="1">
      <alignment horizontal="center" vertical="center"/>
    </xf>
    <xf numFmtId="0" fontId="14" fillId="3" borderId="22" xfId="0" applyFont="1" applyFill="1" applyBorder="1" applyAlignment="1">
      <alignment horizontal="center" vertical="center"/>
    </xf>
    <xf numFmtId="0" fontId="5" fillId="0" borderId="23" xfId="0" applyFont="1" applyBorder="1" applyAlignment="1">
      <alignment horizontal="center" vertical="center"/>
    </xf>
    <xf numFmtId="0" fontId="5" fillId="5" borderId="24" xfId="0" applyFont="1" applyFill="1" applyBorder="1" applyAlignment="1"/>
    <xf numFmtId="0" fontId="14" fillId="0" borderId="25" xfId="0" applyFont="1" applyBorder="1" applyAlignment="1">
      <alignment horizontal="center" vertical="center"/>
    </xf>
    <xf numFmtId="0" fontId="5" fillId="0" borderId="26" xfId="0" applyFont="1" applyBorder="1" applyAlignment="1">
      <alignment horizont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12" borderId="28" xfId="0" applyFont="1" applyFill="1" applyBorder="1" applyAlignment="1">
      <alignment horizontal="center" vertical="center"/>
    </xf>
    <xf numFmtId="0" fontId="14" fillId="0" borderId="25" xfId="0" applyFont="1" applyBorder="1" applyAlignment="1">
      <alignment horizontal="right"/>
    </xf>
    <xf numFmtId="0" fontId="14" fillId="0" borderId="29" xfId="0" applyFont="1" applyBorder="1" applyAlignment="1">
      <alignment horizont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Fill="1" applyBorder="1" applyAlignment="1">
      <alignment horizontal="right" vertical="center" wrapText="1"/>
    </xf>
    <xf numFmtId="0" fontId="5" fillId="3" borderId="2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14" fillId="3" borderId="33" xfId="0" applyFont="1" applyFill="1" applyBorder="1" applyAlignment="1">
      <alignment horizontal="center" vertical="center"/>
    </xf>
    <xf numFmtId="0" fontId="14" fillId="0" borderId="34" xfId="0" applyFont="1" applyFill="1" applyBorder="1" applyAlignment="1">
      <alignment horizontal="right" vertical="center" wrapText="1"/>
    </xf>
    <xf numFmtId="0" fontId="14" fillId="3" borderId="6" xfId="0" applyFont="1" applyFill="1" applyBorder="1" applyAlignment="1">
      <alignment horizontal="center" vertical="center"/>
    </xf>
    <xf numFmtId="0" fontId="5" fillId="0" borderId="0" xfId="0" applyFont="1" applyFill="1" applyBorder="1" applyAlignment="1">
      <alignment horizontal="center" vertical="center"/>
    </xf>
    <xf numFmtId="0" fontId="14" fillId="14" borderId="35" xfId="0" applyFont="1" applyFill="1" applyBorder="1" applyAlignment="1">
      <alignment horizontal="center" vertical="center"/>
    </xf>
    <xf numFmtId="165" fontId="5" fillId="0" borderId="0" xfId="0" applyNumberFormat="1" applyFont="1" applyFill="1" applyBorder="1" applyAlignment="1"/>
    <xf numFmtId="0" fontId="9" fillId="0" borderId="0" xfId="0" applyFont="1" applyFill="1" applyBorder="1"/>
    <xf numFmtId="0" fontId="5" fillId="0" borderId="0" xfId="0" applyFont="1" applyFill="1" applyBorder="1"/>
    <xf numFmtId="0" fontId="16" fillId="14" borderId="36" xfId="0" applyFont="1" applyFill="1" applyBorder="1" applyAlignment="1">
      <alignment horizontal="center" vertical="center"/>
    </xf>
    <xf numFmtId="0" fontId="14" fillId="5" borderId="37" xfId="0" applyFont="1" applyFill="1" applyBorder="1" applyAlignment="1">
      <alignment horizontal="center" vertical="center" wrapText="1"/>
    </xf>
    <xf numFmtId="0" fontId="14" fillId="0" borderId="0" xfId="0" applyFont="1" applyAlignment="1">
      <alignment horizontal="right"/>
    </xf>
    <xf numFmtId="0" fontId="21" fillId="15" borderId="0" xfId="0" applyFont="1" applyFill="1" applyAlignment="1"/>
    <xf numFmtId="0" fontId="5" fillId="14" borderId="20" xfId="0" applyFont="1" applyFill="1" applyBorder="1"/>
    <xf numFmtId="0" fontId="5" fillId="0" borderId="38" xfId="0" applyFont="1" applyBorder="1" applyAlignment="1">
      <alignment horizontal="center" vertical="center"/>
    </xf>
    <xf numFmtId="0" fontId="5" fillId="14" borderId="40" xfId="0" applyFont="1" applyFill="1" applyBorder="1"/>
    <xf numFmtId="0" fontId="5" fillId="0" borderId="22" xfId="0" applyFont="1" applyBorder="1" applyAlignment="1">
      <alignment horizontal="center" vertical="center"/>
    </xf>
    <xf numFmtId="0" fontId="5" fillId="0" borderId="4" xfId="0" applyFont="1" applyBorder="1" applyAlignment="1">
      <alignment horizontal="center" vertical="center" wrapText="1"/>
    </xf>
    <xf numFmtId="0" fontId="17" fillId="13" borderId="21" xfId="0" applyFont="1" applyFill="1" applyBorder="1" applyAlignment="1">
      <alignment horizontal="center"/>
    </xf>
    <xf numFmtId="0" fontId="17" fillId="5" borderId="4" xfId="0" applyFont="1" applyFill="1" applyBorder="1" applyAlignment="1">
      <alignment horizontal="center"/>
    </xf>
    <xf numFmtId="0" fontId="14" fillId="3" borderId="4" xfId="0" applyFont="1" applyFill="1" applyBorder="1" applyAlignment="1">
      <alignment horizontal="center" vertical="center"/>
    </xf>
    <xf numFmtId="0" fontId="14" fillId="3" borderId="23" xfId="0" applyFont="1" applyFill="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0" fillId="0" borderId="18" xfId="0" applyBorder="1"/>
    <xf numFmtId="0" fontId="5" fillId="0" borderId="18" xfId="0" applyFont="1" applyBorder="1" applyAlignment="1">
      <alignment horizontal="center" vertical="center"/>
    </xf>
    <xf numFmtId="0" fontId="5" fillId="6" borderId="6" xfId="0" applyFont="1" applyFill="1" applyBorder="1" applyAlignment="1">
      <alignment horizontal="center" vertical="center"/>
    </xf>
    <xf numFmtId="0" fontId="0" fillId="0" borderId="15" xfId="0" applyBorder="1" applyAlignment="1">
      <alignment wrapText="1"/>
    </xf>
    <xf numFmtId="0" fontId="5" fillId="0" borderId="15" xfId="0" applyFont="1" applyBorder="1" applyAlignment="1">
      <alignment horizontal="center" vertical="center"/>
    </xf>
    <xf numFmtId="0" fontId="0" fillId="0" borderId="15" xfId="0" applyBorder="1"/>
    <xf numFmtId="0" fontId="14" fillId="7" borderId="35" xfId="0" applyFont="1" applyFill="1" applyBorder="1" applyAlignment="1">
      <alignment horizontal="center" vertical="center"/>
    </xf>
    <xf numFmtId="0" fontId="16" fillId="14" borderId="41" xfId="0" applyFont="1" applyFill="1" applyBorder="1" applyAlignment="1">
      <alignment horizontal="center" vertical="center"/>
    </xf>
    <xf numFmtId="0" fontId="14" fillId="5" borderId="7" xfId="0" applyFont="1" applyFill="1" applyBorder="1" applyAlignment="1">
      <alignment horizontal="center" vertical="center" wrapText="1"/>
    </xf>
    <xf numFmtId="0" fontId="5" fillId="14" borderId="42" xfId="0" applyFont="1" applyFill="1" applyBorder="1"/>
    <xf numFmtId="0" fontId="5" fillId="14" borderId="43" xfId="0" applyFont="1" applyFill="1" applyBorder="1"/>
    <xf numFmtId="0" fontId="5" fillId="0" borderId="21" xfId="0" applyFont="1" applyBorder="1" applyAlignment="1">
      <alignment horizontal="center" vertical="center"/>
    </xf>
    <xf numFmtId="0" fontId="5" fillId="0" borderId="44" xfId="0" applyFont="1" applyBorder="1" applyAlignment="1">
      <alignment horizontal="center" vertical="center"/>
    </xf>
    <xf numFmtId="0" fontId="5" fillId="6" borderId="33" xfId="0" applyFont="1" applyFill="1" applyBorder="1" applyAlignment="1">
      <alignment horizontal="center" vertical="center"/>
    </xf>
    <xf numFmtId="0" fontId="0" fillId="0" borderId="21" xfId="0" applyBorder="1"/>
    <xf numFmtId="0" fontId="15" fillId="0" borderId="0" xfId="0" applyFont="1" applyAlignment="1">
      <alignment horizontal="right"/>
    </xf>
    <xf numFmtId="0" fontId="5" fillId="3" borderId="31"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22" fillId="0" borderId="21" xfId="0" applyFont="1" applyBorder="1" applyAlignment="1">
      <alignment horizontal="center" vertical="center"/>
    </xf>
    <xf numFmtId="0" fontId="17" fillId="13" borderId="4" xfId="0" applyFont="1" applyFill="1" applyBorder="1" applyAlignment="1"/>
    <xf numFmtId="0" fontId="17" fillId="5" borderId="4" xfId="0" applyFont="1" applyFill="1" applyBorder="1" applyAlignment="1"/>
    <xf numFmtId="165" fontId="14" fillId="0" borderId="23" xfId="0" applyNumberFormat="1" applyFont="1" applyBorder="1" applyAlignment="1">
      <alignment horizontal="center" vertical="center"/>
    </xf>
    <xf numFmtId="167" fontId="5" fillId="0" borderId="19" xfId="2" applyNumberFormat="1" applyFont="1" applyBorder="1" applyAlignment="1">
      <alignment horizontal="center" vertical="center"/>
    </xf>
    <xf numFmtId="167" fontId="5" fillId="0" borderId="19" xfId="2" applyNumberFormat="1" applyFont="1" applyFill="1" applyBorder="1" applyAlignment="1">
      <alignment horizontal="center" vertical="center"/>
    </xf>
    <xf numFmtId="167" fontId="5" fillId="0" borderId="23" xfId="2" applyNumberFormat="1" applyFont="1" applyBorder="1" applyAlignment="1">
      <alignment horizontal="center" vertical="center"/>
    </xf>
    <xf numFmtId="0" fontId="5" fillId="0" borderId="45" xfId="0" applyFont="1" applyBorder="1" applyAlignment="1">
      <alignment horizontal="center" vertical="center"/>
    </xf>
    <xf numFmtId="0" fontId="5" fillId="0" borderId="46" xfId="2" applyNumberFormat="1" applyFont="1" applyBorder="1" applyAlignment="1">
      <alignment horizontal="center" vertical="center"/>
    </xf>
    <xf numFmtId="167" fontId="5" fillId="0" borderId="47" xfId="2" applyNumberFormat="1" applyFont="1" applyBorder="1" applyAlignment="1">
      <alignment horizontal="center" vertical="center"/>
    </xf>
    <xf numFmtId="0" fontId="5" fillId="0" borderId="45" xfId="0" applyFont="1" applyFill="1" applyBorder="1" applyAlignment="1">
      <alignment horizontal="center" vertical="center"/>
    </xf>
    <xf numFmtId="167" fontId="5" fillId="0" borderId="45" xfId="2"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horizontal="center" vertical="center"/>
    </xf>
    <xf numFmtId="0" fontId="0" fillId="0" borderId="1" xfId="0" applyFill="1" applyBorder="1"/>
    <xf numFmtId="14" fontId="0" fillId="0" borderId="1" xfId="0" applyNumberFormat="1" applyFill="1" applyBorder="1"/>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2" borderId="31" xfId="0" applyNumberFormat="1" applyFont="1" applyFill="1" applyBorder="1" applyAlignment="1">
      <alignment horizontal="center" vertical="center"/>
    </xf>
    <xf numFmtId="0" fontId="5" fillId="3" borderId="48" xfId="0" applyFont="1" applyFill="1" applyBorder="1" applyAlignment="1">
      <alignment horizontal="center" vertical="center"/>
    </xf>
    <xf numFmtId="0" fontId="5" fillId="0" borderId="17" xfId="0" applyFont="1" applyBorder="1" applyAlignment="1">
      <alignment horizontal="center" vertical="center"/>
    </xf>
    <xf numFmtId="0" fontId="14" fillId="2" borderId="8"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2" borderId="33" xfId="0" applyFont="1" applyFill="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4" fillId="0" borderId="0" xfId="0" applyFont="1"/>
    <xf numFmtId="0" fontId="0" fillId="0" borderId="1" xfId="0" applyBorder="1"/>
    <xf numFmtId="0" fontId="0" fillId="0" borderId="1" xfId="0" applyBorder="1" applyAlignment="1">
      <alignment wrapText="1"/>
    </xf>
    <xf numFmtId="0" fontId="0" fillId="0" borderId="1" xfId="0" applyBorder="1" applyAlignment="1">
      <alignment horizontal="justify" vertical="top"/>
    </xf>
    <xf numFmtId="0" fontId="11" fillId="3" borderId="1" xfId="0" applyFont="1" applyFill="1" applyBorder="1" applyAlignment="1">
      <alignment horizontal="center"/>
    </xf>
    <xf numFmtId="0" fontId="11" fillId="3" borderId="3" xfId="0" applyFont="1" applyFill="1" applyBorder="1" applyAlignment="1">
      <alignment horizontal="center"/>
    </xf>
    <xf numFmtId="14" fontId="0" fillId="0" borderId="1" xfId="0" applyNumberFormat="1" applyBorder="1" applyAlignment="1">
      <alignment horizontal="justify" vertical="top" wrapText="1"/>
    </xf>
    <xf numFmtId="14" fontId="0" fillId="0" borderId="1" xfId="0" applyNumberFormat="1" applyBorder="1"/>
    <xf numFmtId="0" fontId="25" fillId="17"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5" fillId="17" borderId="1" xfId="0" applyFont="1" applyFill="1" applyBorder="1" applyAlignment="1">
      <alignment vertical="center" wrapText="1"/>
    </xf>
    <xf numFmtId="0" fontId="19" fillId="0" borderId="1" xfId="0" applyFont="1" applyBorder="1" applyAlignment="1">
      <alignment horizontal="center" vertical="center" wrapText="1"/>
    </xf>
    <xf numFmtId="166" fontId="19" fillId="0" borderId="1" xfId="0" applyNumberFormat="1" applyFont="1" applyBorder="1" applyAlignment="1">
      <alignment horizontal="center" vertical="center"/>
    </xf>
    <xf numFmtId="0" fontId="5" fillId="0" borderId="3" xfId="0" applyFont="1" applyBorder="1" applyAlignment="1">
      <alignment horizontal="left" vertical="center" wrapText="1"/>
    </xf>
    <xf numFmtId="0" fontId="16" fillId="4" borderId="55" xfId="0" applyFont="1" applyFill="1" applyBorder="1" applyAlignment="1">
      <alignment horizontal="center" vertical="center" wrapText="1"/>
    </xf>
    <xf numFmtId="0" fontId="17" fillId="13" borderId="22" xfId="0" applyFont="1" applyFill="1" applyBorder="1" applyAlignment="1">
      <alignment horizontal="center" vertical="center"/>
    </xf>
    <xf numFmtId="0" fontId="5" fillId="0" borderId="8" xfId="0" applyFont="1" applyBorder="1" applyAlignment="1">
      <alignment horizontal="center" vertical="center" wrapText="1"/>
    </xf>
    <xf numFmtId="0" fontId="16" fillId="3" borderId="59" xfId="0" applyFont="1" applyFill="1" applyBorder="1" applyAlignment="1">
      <alignment horizontal="center" vertical="center" wrapText="1"/>
    </xf>
    <xf numFmtId="0" fontId="5" fillId="19" borderId="3" xfId="0" applyFont="1" applyFill="1" applyBorder="1" applyAlignment="1">
      <alignment horizontal="center" vertical="center"/>
    </xf>
    <xf numFmtId="14" fontId="0" fillId="0" borderId="1" xfId="0" applyNumberFormat="1" applyFill="1" applyBorder="1" applyAlignment="1">
      <alignment horizontal="justify" vertical="top" wrapText="1"/>
    </xf>
    <xf numFmtId="0" fontId="0" fillId="0" borderId="1" xfId="0" applyFill="1" applyBorder="1" applyAlignment="1">
      <alignment horizontal="justify" vertical="top"/>
    </xf>
    <xf numFmtId="169" fontId="25" fillId="0" borderId="1" xfId="0" applyNumberFormat="1" applyFont="1" applyFill="1" applyBorder="1" applyAlignment="1">
      <alignment horizontal="center" vertical="center" wrapText="1"/>
    </xf>
    <xf numFmtId="0" fontId="16" fillId="0" borderId="60" xfId="0" applyFont="1" applyBorder="1" applyAlignment="1">
      <alignment horizontal="center" vertical="center"/>
    </xf>
    <xf numFmtId="14" fontId="0" fillId="0" borderId="61" xfId="0" applyNumberFormat="1" applyBorder="1"/>
    <xf numFmtId="0" fontId="0" fillId="0" borderId="1" xfId="0" applyFill="1" applyBorder="1" applyAlignment="1">
      <alignment wrapText="1"/>
    </xf>
    <xf numFmtId="0" fontId="25" fillId="0" borderId="1" xfId="0" applyFont="1" applyFill="1" applyBorder="1" applyAlignment="1">
      <alignment horizontal="center" vertical="center" wrapText="1"/>
    </xf>
    <xf numFmtId="14" fontId="0" fillId="0" borderId="51" xfId="0" applyNumberFormat="1" applyFill="1" applyBorder="1" applyAlignment="1">
      <alignment horizontal="justify" vertical="top" wrapText="1"/>
    </xf>
    <xf numFmtId="0" fontId="0" fillId="0" borderId="2" xfId="0" applyFill="1" applyBorder="1" applyAlignment="1">
      <alignment wrapText="1"/>
    </xf>
    <xf numFmtId="0" fontId="5" fillId="0" borderId="1" xfId="0" applyFont="1" applyBorder="1" applyAlignment="1">
      <alignment horizontal="justify" vertical="top" wrapText="1"/>
    </xf>
    <xf numFmtId="0" fontId="17" fillId="0" borderId="1" xfId="0" applyFont="1" applyFill="1" applyBorder="1" applyAlignment="1">
      <alignment horizontal="center" vertical="center" wrapText="1"/>
    </xf>
    <xf numFmtId="0" fontId="0" fillId="0" borderId="1" xfId="0" applyFill="1" applyBorder="1" applyAlignment="1">
      <alignment horizontal="justify" vertical="top" wrapText="1"/>
    </xf>
    <xf numFmtId="14" fontId="0" fillId="0" borderId="1" xfId="0" applyNumberFormat="1" applyBorder="1" applyAlignment="1">
      <alignment vertical="center"/>
    </xf>
    <xf numFmtId="0" fontId="0" fillId="0" borderId="1" xfId="0" applyBorder="1" applyAlignment="1">
      <alignment horizontal="center" vertical="center"/>
    </xf>
    <xf numFmtId="0" fontId="10" fillId="11" borderId="59" xfId="0" applyFont="1" applyFill="1" applyBorder="1" applyAlignment="1">
      <alignment horizontal="center" vertical="center" wrapText="1"/>
    </xf>
    <xf numFmtId="0" fontId="5" fillId="0" borderId="62" xfId="0" applyFont="1" applyBorder="1" applyAlignment="1">
      <alignment vertical="top" wrapText="1"/>
    </xf>
    <xf numFmtId="0" fontId="5" fillId="0" borderId="62" xfId="0" applyFont="1" applyBorder="1" applyAlignment="1">
      <alignment horizontal="justify" vertical="top" wrapText="1"/>
    </xf>
    <xf numFmtId="0" fontId="17" fillId="0" borderId="62" xfId="0" applyFont="1" applyBorder="1" applyAlignment="1">
      <alignment vertical="top"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14" fillId="3" borderId="66" xfId="0" applyFont="1" applyFill="1" applyBorder="1" applyAlignment="1">
      <alignment horizontal="center" vertical="center" wrapText="1"/>
    </xf>
    <xf numFmtId="0" fontId="10" fillId="11" borderId="66" xfId="0" applyFont="1" applyFill="1" applyBorder="1" applyAlignment="1">
      <alignment horizontal="center" vertical="center" wrapText="1"/>
    </xf>
    <xf numFmtId="0" fontId="16" fillId="3" borderId="66" xfId="0" applyFont="1" applyFill="1" applyBorder="1" applyAlignment="1">
      <alignment horizontal="center" vertical="center" wrapText="1"/>
    </xf>
    <xf numFmtId="20" fontId="0" fillId="0" borderId="1" xfId="0" applyNumberFormat="1" applyBorder="1" applyAlignment="1">
      <alignment horizontal="justify" vertical="top" wrapText="1"/>
    </xf>
    <xf numFmtId="166" fontId="19" fillId="17" borderId="3" xfId="0" applyNumberFormat="1" applyFont="1" applyFill="1" applyBorder="1" applyAlignment="1">
      <alignment horizontal="center" vertical="center"/>
    </xf>
    <xf numFmtId="0" fontId="5" fillId="17" borderId="3" xfId="0" applyFont="1" applyFill="1" applyBorder="1" applyAlignment="1">
      <alignment horizontal="center" vertical="center"/>
    </xf>
    <xf numFmtId="169" fontId="25" fillId="17" borderId="1" xfId="0" applyNumberFormat="1" applyFont="1" applyFill="1" applyBorder="1" applyAlignment="1">
      <alignment horizontal="center" vertical="center" wrapText="1"/>
    </xf>
    <xf numFmtId="0" fontId="5" fillId="17" borderId="3"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27" fillId="2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8" fontId="0" fillId="0" borderId="1" xfId="0" applyNumberFormat="1" applyBorder="1" applyAlignment="1">
      <alignment horizontal="justify" vertical="top" wrapText="1"/>
    </xf>
    <xf numFmtId="169" fontId="23" fillId="0" borderId="1" xfId="0" applyNumberFormat="1" applyFont="1" applyFill="1" applyBorder="1" applyAlignment="1">
      <alignment horizontal="center" vertical="center" wrapText="1"/>
    </xf>
    <xf numFmtId="166" fontId="19" fillId="0" borderId="3" xfId="0" applyNumberFormat="1" applyFont="1" applyFill="1" applyBorder="1" applyAlignment="1">
      <alignment horizontal="center" vertical="center"/>
    </xf>
    <xf numFmtId="18" fontId="0" fillId="0" borderId="1" xfId="0" applyNumberFormat="1" applyFill="1" applyBorder="1" applyAlignment="1">
      <alignment horizontal="justify" vertical="top" wrapText="1"/>
    </xf>
    <xf numFmtId="0" fontId="29" fillId="0" borderId="0" xfId="0" applyFont="1"/>
    <xf numFmtId="0" fontId="29" fillId="0" borderId="0" xfId="0" applyFont="1" applyAlignment="1">
      <alignment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62" xfId="0" applyFont="1" applyFill="1" applyBorder="1" applyAlignment="1">
      <alignment horizontal="justify" vertical="top" wrapText="1"/>
    </xf>
    <xf numFmtId="14"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5" fillId="0" borderId="3" xfId="0" applyFont="1" applyFill="1" applyBorder="1" applyAlignment="1">
      <alignment horizontal="center" vertical="center"/>
    </xf>
    <xf numFmtId="0" fontId="5" fillId="0" borderId="17" xfId="0" applyFont="1" applyFill="1" applyBorder="1" applyAlignment="1">
      <alignment horizontal="center" vertical="center"/>
    </xf>
    <xf numFmtId="2" fontId="5" fillId="0" borderId="3" xfId="0" applyNumberFormat="1" applyFont="1" applyFill="1" applyBorder="1" applyAlignment="1">
      <alignment horizontal="center" vertical="center" wrapText="1"/>
    </xf>
    <xf numFmtId="0" fontId="5" fillId="0" borderId="0" xfId="0" applyFont="1" applyFill="1"/>
    <xf numFmtId="0" fontId="5" fillId="3" borderId="25"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2" borderId="33" xfId="0" applyFont="1" applyFill="1" applyBorder="1" applyAlignment="1">
      <alignment horizontal="center" vertical="center" wrapText="1"/>
    </xf>
    <xf numFmtId="0" fontId="10" fillId="7" borderId="54" xfId="0" applyFont="1" applyFill="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5" fillId="3" borderId="6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3" borderId="32" xfId="0" applyFont="1" applyFill="1" applyBorder="1" applyAlignment="1">
      <alignment horizontal="center" vertical="center" wrapText="1"/>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6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5" fillId="22" borderId="0" xfId="0" applyFont="1" applyFill="1" applyAlignment="1">
      <alignment horizontal="center" vertical="center"/>
    </xf>
    <xf numFmtId="0" fontId="5" fillId="22" borderId="16" xfId="0" applyFont="1" applyFill="1" applyBorder="1" applyAlignment="1">
      <alignment horizontal="center" vertical="center"/>
    </xf>
    <xf numFmtId="0" fontId="3" fillId="0" borderId="0" xfId="0" applyFont="1"/>
    <xf numFmtId="15" fontId="3" fillId="0" borderId="0" xfId="0" applyNumberFormat="1" applyFont="1"/>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 fillId="0" borderId="1" xfId="0" applyFont="1" applyBorder="1" applyAlignment="1">
      <alignment wrapText="1"/>
    </xf>
    <xf numFmtId="0" fontId="3" fillId="0" borderId="3" xfId="0" applyFont="1" applyBorder="1" applyAlignment="1">
      <alignment horizontal="justify" vertical="justify"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5" fontId="3" fillId="0" borderId="3" xfId="0" applyNumberFormat="1" applyFont="1" applyBorder="1" applyAlignment="1">
      <alignment horizontal="center" vertical="center"/>
    </xf>
    <xf numFmtId="15" fontId="3"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4" fontId="23" fillId="0" borderId="3" xfId="0" applyNumberFormat="1" applyFont="1" applyFill="1" applyBorder="1" applyAlignment="1">
      <alignment horizontal="center" vertical="center" wrapText="1"/>
    </xf>
    <xf numFmtId="0" fontId="5" fillId="0" borderId="64" xfId="0" applyFont="1" applyFill="1" applyBorder="1" applyAlignment="1">
      <alignment horizontal="center" vertical="center"/>
    </xf>
    <xf numFmtId="2" fontId="5" fillId="3"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4" fontId="0" fillId="0" borderId="1" xfId="0" applyNumberFormat="1" applyBorder="1" applyAlignment="1">
      <alignment wrapText="1"/>
    </xf>
    <xf numFmtId="20" fontId="0" fillId="0" borderId="1" xfId="0" applyNumberFormat="1" applyFill="1" applyBorder="1" applyAlignment="1">
      <alignment horizontal="justify" vertical="top" wrapText="1"/>
    </xf>
    <xf numFmtId="0" fontId="0" fillId="0" borderId="1" xfId="0" applyFill="1" applyBorder="1" applyAlignment="1">
      <alignment horizontal="center" vertical="top"/>
    </xf>
    <xf numFmtId="0" fontId="26" fillId="23" borderId="6" xfId="0" applyFont="1" applyFill="1" applyBorder="1" applyAlignment="1">
      <alignment horizontal="center" vertical="center"/>
    </xf>
    <xf numFmtId="0" fontId="19" fillId="0" borderId="21" xfId="0" applyFont="1" applyBorder="1" applyAlignment="1">
      <alignment horizontal="center" vertical="center" wrapText="1"/>
    </xf>
    <xf numFmtId="0" fontId="19" fillId="0" borderId="23" xfId="0" applyFont="1" applyBorder="1" applyAlignment="1">
      <alignment horizontal="center" vertical="center" wrapText="1"/>
    </xf>
    <xf numFmtId="0" fontId="5" fillId="21"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0" borderId="0" xfId="0" applyFont="1" applyBorder="1"/>
    <xf numFmtId="0" fontId="5" fillId="0" borderId="0" xfId="0" applyFont="1" applyBorder="1" applyAlignment="1">
      <alignment vertical="center"/>
    </xf>
    <xf numFmtId="0" fontId="5" fillId="0" borderId="20"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36" xfId="0" applyFont="1" applyBorder="1" applyAlignment="1">
      <alignment horizontal="center" vertical="center"/>
    </xf>
    <xf numFmtId="0" fontId="5" fillId="0" borderId="36" xfId="0" applyFont="1" applyBorder="1" applyAlignment="1">
      <alignment horizontal="center" vertical="center" wrapText="1"/>
    </xf>
    <xf numFmtId="0" fontId="5" fillId="0" borderId="58" xfId="0" applyFont="1" applyBorder="1" applyAlignment="1">
      <alignment horizontal="center" vertical="center"/>
    </xf>
    <xf numFmtId="0" fontId="31" fillId="0" borderId="0" xfId="0" applyFont="1" applyAlignment="1">
      <alignment horizontal="right"/>
    </xf>
    <xf numFmtId="0" fontId="19" fillId="0" borderId="79" xfId="0" applyFont="1" applyBorder="1" applyAlignment="1">
      <alignment horizontal="center" vertical="center" wrapText="1"/>
    </xf>
    <xf numFmtId="14" fontId="0" fillId="0" borderId="0" xfId="0" applyNumberFormat="1" applyAlignment="1">
      <alignment horizontal="center"/>
    </xf>
    <xf numFmtId="0" fontId="5" fillId="18" borderId="3" xfId="0" applyFont="1" applyFill="1" applyBorder="1" applyAlignment="1">
      <alignment horizontal="center" vertical="center" wrapText="1"/>
    </xf>
    <xf numFmtId="0" fontId="19" fillId="13" borderId="75" xfId="0" applyFont="1" applyFill="1" applyBorder="1" applyAlignment="1">
      <alignment horizontal="center" vertical="center" wrapText="1"/>
    </xf>
    <xf numFmtId="0" fontId="19" fillId="5" borderId="67" xfId="0" applyFont="1" applyFill="1" applyBorder="1" applyAlignment="1">
      <alignment horizontal="center" vertical="center"/>
    </xf>
    <xf numFmtId="0" fontId="21" fillId="30" borderId="29" xfId="0" applyFont="1" applyFill="1" applyBorder="1" applyAlignment="1">
      <alignment horizontal="center" vertical="center"/>
    </xf>
    <xf numFmtId="0" fontId="19" fillId="0" borderId="75" xfId="0" applyFont="1" applyBorder="1" applyAlignment="1">
      <alignment horizontal="center" vertical="center" wrapText="1"/>
    </xf>
    <xf numFmtId="0" fontId="19" fillId="0" borderId="67" xfId="0" applyFont="1" applyBorder="1" applyAlignment="1">
      <alignment horizontal="center" vertical="center" wrapText="1"/>
    </xf>
    <xf numFmtId="0" fontId="14" fillId="31" borderId="75" xfId="0" applyFont="1" applyFill="1" applyBorder="1" applyAlignment="1">
      <alignment horizontal="center" vertical="center"/>
    </xf>
    <xf numFmtId="0" fontId="14" fillId="32" borderId="79" xfId="0" applyFont="1" applyFill="1" applyBorder="1" applyAlignment="1">
      <alignment horizontal="center" vertical="center"/>
    </xf>
    <xf numFmtId="0" fontId="21" fillId="29" borderId="86" xfId="0" applyFont="1" applyFill="1" applyBorder="1" applyAlignment="1">
      <alignment horizontal="center" vertical="center"/>
    </xf>
    <xf numFmtId="0" fontId="21" fillId="30" borderId="87" xfId="0" applyFont="1" applyFill="1" applyBorder="1" applyAlignment="1">
      <alignment horizontal="center" vertical="center"/>
    </xf>
    <xf numFmtId="0" fontId="21" fillId="29" borderId="87"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5" fillId="3" borderId="8" xfId="0" applyFont="1" applyFill="1" applyBorder="1" applyAlignment="1">
      <alignment horizontal="center" vertical="center" wrapText="1"/>
    </xf>
    <xf numFmtId="0" fontId="21" fillId="29" borderId="48" xfId="0" applyFont="1" applyFill="1" applyBorder="1" applyAlignment="1">
      <alignment horizontal="center" vertical="center"/>
    </xf>
    <xf numFmtId="0" fontId="21" fillId="29" borderId="32" xfId="0" applyFont="1" applyFill="1" applyBorder="1" applyAlignment="1">
      <alignment horizontal="center" vertical="center"/>
    </xf>
    <xf numFmtId="0" fontId="5" fillId="9" borderId="75" xfId="0" applyFont="1" applyFill="1" applyBorder="1" applyAlignment="1">
      <alignment horizontal="center" vertical="center" wrapText="1"/>
    </xf>
    <xf numFmtId="0" fontId="2" fillId="0" borderId="0" xfId="0" applyFont="1"/>
    <xf numFmtId="0" fontId="2" fillId="6" borderId="72" xfId="0" applyFont="1" applyFill="1" applyBorder="1" applyAlignment="1">
      <alignment vertical="center" wrapText="1"/>
    </xf>
    <xf numFmtId="0" fontId="2" fillId="6" borderId="15" xfId="0" applyFont="1" applyFill="1" applyBorder="1" applyAlignment="1">
      <alignment vertical="center" wrapText="1"/>
    </xf>
    <xf numFmtId="0" fontId="2" fillId="9" borderId="15" xfId="0" applyFont="1" applyFill="1" applyBorder="1" applyAlignment="1">
      <alignment vertical="center" wrapText="1"/>
    </xf>
    <xf numFmtId="0" fontId="2" fillId="27" borderId="15" xfId="0" applyFont="1" applyFill="1" applyBorder="1" applyAlignment="1">
      <alignment vertical="center" wrapText="1"/>
    </xf>
    <xf numFmtId="0" fontId="2" fillId="28" borderId="44" xfId="0" applyFont="1" applyFill="1" applyBorder="1" applyAlignment="1">
      <alignment vertical="center" wrapText="1"/>
    </xf>
    <xf numFmtId="15" fontId="2" fillId="0" borderId="6" xfId="0" applyNumberFormat="1" applyFont="1" applyBorder="1"/>
    <xf numFmtId="9" fontId="2" fillId="0" borderId="1" xfId="2" applyFont="1" applyBorder="1" applyAlignment="1">
      <alignment horizontal="center" vertical="center"/>
    </xf>
    <xf numFmtId="0" fontId="16" fillId="22" borderId="4" xfId="0" applyFont="1" applyFill="1" applyBorder="1" applyAlignment="1">
      <alignment horizontal="center" vertical="center" wrapText="1"/>
    </xf>
    <xf numFmtId="9" fontId="21" fillId="4" borderId="3" xfId="2" applyFont="1" applyFill="1" applyBorder="1" applyAlignment="1">
      <alignment horizontal="center" vertical="center"/>
    </xf>
    <xf numFmtId="9" fontId="2" fillId="0" borderId="73" xfId="2" applyFont="1" applyBorder="1" applyAlignment="1">
      <alignment horizontal="center" vertical="center"/>
    </xf>
    <xf numFmtId="9" fontId="2" fillId="0" borderId="4" xfId="2" applyFont="1" applyBorder="1" applyAlignment="1">
      <alignment horizontal="center" vertical="center"/>
    </xf>
    <xf numFmtId="0" fontId="32" fillId="0" borderId="67" xfId="0" applyFont="1" applyBorder="1" applyAlignment="1">
      <alignment horizontal="center" vertical="center"/>
    </xf>
    <xf numFmtId="0" fontId="19" fillId="0" borderId="0" xfId="0" applyFont="1" applyBorder="1" applyAlignment="1">
      <alignment horizontal="center" vertical="center" wrapText="1"/>
    </xf>
    <xf numFmtId="0" fontId="19" fillId="0" borderId="36" xfId="0" applyFont="1" applyBorder="1" applyAlignment="1">
      <alignment horizontal="center" vertical="center" wrapText="1"/>
    </xf>
    <xf numFmtId="0" fontId="35" fillId="20" borderId="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1" fillId="0" borderId="22" xfId="0" applyFont="1" applyBorder="1" applyAlignment="1">
      <alignment horizontal="center" vertical="center" wrapText="1"/>
    </xf>
    <xf numFmtId="0" fontId="1" fillId="0" borderId="18" xfId="0" applyFont="1" applyBorder="1" applyAlignment="1">
      <alignment horizontal="center" vertical="center"/>
    </xf>
    <xf numFmtId="0" fontId="21" fillId="0" borderId="69" xfId="0" applyFont="1" applyBorder="1" applyAlignment="1">
      <alignment horizontal="center" vertical="center"/>
    </xf>
    <xf numFmtId="0" fontId="21" fillId="0" borderId="0" xfId="0" applyFont="1" applyBorder="1" applyAlignment="1">
      <alignment horizontal="center" vertical="center"/>
    </xf>
    <xf numFmtId="0" fontId="1" fillId="0" borderId="0" xfId="0" applyFont="1" applyAlignment="1">
      <alignment horizontal="center" vertical="center"/>
    </xf>
    <xf numFmtId="0" fontId="21" fillId="15" borderId="6" xfId="0" applyFont="1" applyFill="1" applyBorder="1" applyAlignment="1">
      <alignment horizontal="center" vertical="center"/>
    </xf>
    <xf numFmtId="0" fontId="1" fillId="0" borderId="71" xfId="0" applyFont="1" applyBorder="1" applyAlignment="1">
      <alignment horizontal="center" vertical="center"/>
    </xf>
    <xf numFmtId="0" fontId="5" fillId="0" borderId="71" xfId="0" applyFont="1" applyBorder="1" applyAlignment="1">
      <alignment horizontal="center" vertical="center"/>
    </xf>
    <xf numFmtId="0" fontId="33" fillId="26" borderId="33" xfId="0" applyFont="1" applyFill="1" applyBorder="1" applyAlignment="1">
      <alignment horizontal="center" vertical="center"/>
    </xf>
    <xf numFmtId="0" fontId="21" fillId="29" borderId="29" xfId="0" applyFont="1" applyFill="1" applyBorder="1" applyAlignment="1">
      <alignment horizontal="center" vertical="center"/>
    </xf>
    <xf numFmtId="0" fontId="21" fillId="29" borderId="69" xfId="0" applyFont="1" applyFill="1" applyBorder="1" applyAlignment="1">
      <alignment horizontal="center" vertical="center"/>
    </xf>
    <xf numFmtId="166" fontId="19" fillId="0" borderId="3" xfId="4" applyNumberFormat="1" applyFont="1" applyFill="1" applyBorder="1" applyAlignment="1">
      <alignment horizontal="center" vertical="center"/>
    </xf>
    <xf numFmtId="0" fontId="5" fillId="0" borderId="3" xfId="4" applyFont="1" applyBorder="1" applyAlignment="1">
      <alignment horizontal="center" vertical="center"/>
    </xf>
    <xf numFmtId="166" fontId="19" fillId="0" borderId="3" xfId="4" applyNumberFormat="1" applyFont="1" applyBorder="1" applyAlignment="1">
      <alignment horizontal="center" vertical="center"/>
    </xf>
    <xf numFmtId="0" fontId="5" fillId="0" borderId="3" xfId="4"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5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8"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19" fillId="0" borderId="51" xfId="0" applyFont="1" applyBorder="1" applyAlignment="1">
      <alignment horizontal="center" vertical="center" wrapText="1"/>
    </xf>
    <xf numFmtId="2" fontId="5" fillId="3" borderId="2"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23" fillId="0" borderId="62" xfId="0" applyFont="1" applyBorder="1" applyAlignment="1">
      <alignment horizontal="center" vertical="center"/>
    </xf>
    <xf numFmtId="0" fontId="32" fillId="0" borderId="76" xfId="0" applyFont="1" applyBorder="1" applyAlignment="1">
      <alignment horizontal="center" vertical="center"/>
    </xf>
    <xf numFmtId="0" fontId="32" fillId="0" borderId="73" xfId="0" applyFont="1" applyBorder="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84" xfId="0" applyFont="1" applyBorder="1" applyAlignment="1">
      <alignment horizontal="center" vertical="center"/>
    </xf>
    <xf numFmtId="0" fontId="32" fillId="0" borderId="62" xfId="0" applyFont="1" applyBorder="1" applyAlignment="1">
      <alignment horizontal="center" vertical="center"/>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2" fillId="0" borderId="16" xfId="0" applyFont="1" applyBorder="1" applyAlignment="1">
      <alignment horizontal="center" vertical="center"/>
    </xf>
    <xf numFmtId="0" fontId="32" fillId="0" borderId="77" xfId="0" applyFont="1" applyBorder="1" applyAlignment="1">
      <alignment horizontal="center" vertical="center"/>
    </xf>
    <xf numFmtId="0" fontId="32" fillId="0" borderId="63" xfId="0" applyFont="1" applyBorder="1" applyAlignment="1">
      <alignment horizontal="center" vertical="center"/>
    </xf>
    <xf numFmtId="0" fontId="23" fillId="0" borderId="67" xfId="0" applyFont="1" applyBorder="1" applyAlignment="1">
      <alignment horizontal="center" vertical="center"/>
    </xf>
    <xf numFmtId="0" fontId="32" fillId="0" borderId="75" xfId="0" applyFont="1" applyBorder="1" applyAlignment="1">
      <alignment horizontal="center" vertical="center"/>
    </xf>
    <xf numFmtId="0" fontId="32" fillId="0" borderId="4" xfId="0" applyFont="1" applyBorder="1" applyAlignment="1">
      <alignment horizontal="center" vertical="center"/>
    </xf>
    <xf numFmtId="0" fontId="32" fillId="0" borderId="85" xfId="0" applyFont="1" applyBorder="1" applyAlignment="1">
      <alignment horizontal="center" vertical="center"/>
    </xf>
    <xf numFmtId="0" fontId="32" fillId="0" borderId="23" xfId="0" applyFont="1" applyBorder="1" applyAlignment="1">
      <alignment horizontal="center" vertical="center"/>
    </xf>
    <xf numFmtId="0" fontId="14" fillId="0" borderId="0" xfId="0" applyFont="1" applyAlignment="1">
      <alignment horizontal="center" vertical="center"/>
    </xf>
    <xf numFmtId="165" fontId="5"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2" fontId="5" fillId="0" borderId="3" xfId="0" applyNumberFormat="1" applyFont="1" applyFill="1" applyBorder="1" applyAlignment="1">
      <alignment horizontal="center" vertical="center"/>
    </xf>
    <xf numFmtId="0" fontId="14" fillId="2" borderId="0" xfId="0" applyFont="1" applyFill="1" applyAlignment="1">
      <alignment horizontal="center" vertical="center"/>
    </xf>
    <xf numFmtId="0" fontId="5" fillId="16" borderId="0" xfId="0" applyFont="1" applyFill="1" applyAlignment="1">
      <alignment horizontal="center" vertical="center"/>
    </xf>
    <xf numFmtId="0" fontId="19" fillId="0" borderId="33" xfId="0" applyFont="1" applyBorder="1" applyAlignment="1">
      <alignment horizontal="center" vertical="center" wrapText="1"/>
    </xf>
    <xf numFmtId="0" fontId="14" fillId="0"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0" xfId="0" applyFont="1" applyBorder="1" applyAlignment="1">
      <alignment horizontal="center" vertical="center" wrapText="1"/>
    </xf>
    <xf numFmtId="165" fontId="14" fillId="0" borderId="0" xfId="0" applyNumberFormat="1" applyFont="1" applyBorder="1" applyAlignment="1">
      <alignment horizontal="center" vertical="center"/>
    </xf>
    <xf numFmtId="0" fontId="21" fillId="0" borderId="0" xfId="0" applyFont="1" applyFill="1" applyBorder="1" applyAlignment="1">
      <alignment horizontal="center" vertical="center"/>
    </xf>
    <xf numFmtId="15" fontId="15" fillId="10" borderId="6" xfId="0" applyNumberFormat="1" applyFont="1" applyFill="1" applyBorder="1" applyAlignment="1">
      <alignment horizontal="center" vertical="center"/>
    </xf>
    <xf numFmtId="0" fontId="5" fillId="0" borderId="0" xfId="0" applyFont="1" applyAlignment="1">
      <alignment vertical="center"/>
    </xf>
    <xf numFmtId="0" fontId="14" fillId="0" borderId="3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Fill="1" applyAlignment="1">
      <alignment vertical="center"/>
    </xf>
    <xf numFmtId="0" fontId="30" fillId="0" borderId="3" xfId="0" applyFont="1" applyFill="1" applyBorder="1" applyAlignment="1">
      <alignment horizontal="center" vertical="center" wrapText="1"/>
    </xf>
    <xf numFmtId="0" fontId="23" fillId="17" borderId="3" xfId="0" applyFont="1" applyFill="1" applyBorder="1" applyAlignment="1">
      <alignment horizontal="center" vertical="center" wrapText="1"/>
    </xf>
    <xf numFmtId="165" fontId="5" fillId="0" borderId="0" xfId="0" applyNumberFormat="1" applyFont="1" applyAlignment="1">
      <alignment horizontal="center" vertical="center"/>
    </xf>
    <xf numFmtId="0" fontId="5" fillId="0" borderId="0" xfId="0" applyFont="1" applyAlignment="1">
      <alignment horizontal="center" vertical="center" wrapText="1"/>
    </xf>
    <xf numFmtId="0" fontId="15" fillId="0" borderId="0" xfId="0" applyFont="1" applyAlignment="1">
      <alignment horizontal="center" vertical="center"/>
    </xf>
    <xf numFmtId="0" fontId="5" fillId="13" borderId="15" xfId="0" applyFont="1" applyFill="1" applyBorder="1" applyAlignment="1">
      <alignment horizontal="center" vertical="center"/>
    </xf>
    <xf numFmtId="0" fontId="5" fillId="5" borderId="15" xfId="0" applyFont="1" applyFill="1" applyBorder="1" applyAlignment="1">
      <alignment horizontal="center" vertical="center"/>
    </xf>
    <xf numFmtId="165" fontId="5"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5" fillId="0" borderId="0" xfId="0" applyFont="1" applyFill="1" applyBorder="1" applyAlignment="1">
      <alignment vertical="center"/>
    </xf>
    <xf numFmtId="0" fontId="1" fillId="0" borderId="15" xfId="0" applyFont="1" applyBorder="1" applyAlignment="1">
      <alignment horizontal="center" vertical="center" wrapText="1"/>
    </xf>
    <xf numFmtId="0" fontId="20" fillId="0" borderId="15" xfId="0" applyFont="1" applyBorder="1" applyAlignment="1">
      <alignment horizontal="center" vertical="center"/>
    </xf>
    <xf numFmtId="0" fontId="1" fillId="0" borderId="21" xfId="0" applyFont="1" applyBorder="1" applyAlignment="1">
      <alignment horizontal="center" vertical="center" wrapText="1"/>
    </xf>
    <xf numFmtId="0" fontId="5" fillId="0" borderId="70" xfId="0" applyFont="1" applyBorder="1" applyAlignment="1">
      <alignment horizontal="center" vertical="center"/>
    </xf>
    <xf numFmtId="0" fontId="20" fillId="0" borderId="0" xfId="0" applyFont="1" applyFill="1" applyBorder="1" applyAlignment="1">
      <alignment horizontal="center" vertical="center"/>
    </xf>
    <xf numFmtId="0" fontId="15" fillId="0" borderId="3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2" fontId="5" fillId="3" borderId="3" xfId="0" applyNumberFormat="1" applyFont="1" applyFill="1" applyBorder="1" applyAlignment="1">
      <alignment horizontal="center" vertical="center" wrapText="1"/>
    </xf>
    <xf numFmtId="0" fontId="17" fillId="0" borderId="3" xfId="0" applyFont="1" applyBorder="1" applyAlignment="1">
      <alignment horizontal="center" vertical="center"/>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3"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0" fontId="5" fillId="0" borderId="51"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7" fillId="0" borderId="3" xfId="0" applyFont="1" applyBorder="1" applyAlignment="1">
      <alignment horizontal="center" vertical="center"/>
    </xf>
    <xf numFmtId="0" fontId="5" fillId="0" borderId="3" xfId="0" applyFont="1" applyBorder="1" applyAlignment="1">
      <alignment horizontal="center" vertical="center"/>
    </xf>
    <xf numFmtId="0" fontId="17" fillId="0" borderId="1" xfId="0" applyFont="1" applyBorder="1" applyAlignment="1">
      <alignment horizontal="center" vertical="center" wrapText="1"/>
    </xf>
    <xf numFmtId="0" fontId="15" fillId="0" borderId="0" xfId="0" applyFont="1" applyAlignment="1">
      <alignment horizontal="center" vertical="center"/>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9"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166" fontId="19" fillId="0" borderId="3" xfId="0" applyNumberFormat="1" applyFont="1" applyBorder="1" applyAlignment="1">
      <alignment horizontal="center" vertical="center"/>
    </xf>
    <xf numFmtId="0" fontId="17"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2" fontId="5" fillId="3"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166" fontId="19"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1" xfId="0" applyNumberFormat="1" applyFont="1" applyBorder="1" applyAlignment="1">
      <alignment horizontal="center" vertical="center"/>
    </xf>
    <xf numFmtId="0" fontId="1" fillId="0" borderId="1" xfId="0" applyFont="1" applyBorder="1" applyAlignment="1">
      <alignment vertical="center" wrapText="1"/>
    </xf>
    <xf numFmtId="0" fontId="17" fillId="0" borderId="1" xfId="0" applyFont="1" applyBorder="1" applyAlignment="1">
      <alignment vertical="center" wrapText="1"/>
    </xf>
    <xf numFmtId="166" fontId="19" fillId="0" borderId="62" xfId="0" applyNumberFormat="1" applyFont="1" applyBorder="1" applyAlignment="1">
      <alignment horizontal="center" vertical="center"/>
    </xf>
    <xf numFmtId="0" fontId="19" fillId="0" borderId="38" xfId="0" applyFont="1" applyBorder="1" applyAlignment="1">
      <alignment horizontal="center" vertical="center" wrapText="1"/>
    </xf>
    <xf numFmtId="0" fontId="30" fillId="0" borderId="1" xfId="0" applyFont="1" applyFill="1" applyBorder="1" applyAlignment="1">
      <alignment horizontal="left" vertical="center" wrapText="1"/>
    </xf>
    <xf numFmtId="0" fontId="19" fillId="0" borderId="0" xfId="0" applyFont="1" applyAlignment="1">
      <alignment horizontal="center" vertical="center"/>
    </xf>
    <xf numFmtId="0" fontId="16" fillId="0" borderId="0" xfId="0" applyFont="1" applyBorder="1" applyAlignment="1">
      <alignment horizontal="center" vertical="center"/>
    </xf>
    <xf numFmtId="0" fontId="19" fillId="0" borderId="1" xfId="0" applyFont="1" applyBorder="1" applyAlignment="1">
      <alignment horizontal="left" vertical="center" wrapText="1"/>
    </xf>
    <xf numFmtId="0" fontId="30" fillId="0" borderId="1" xfId="0" applyFont="1" applyFill="1" applyBorder="1" applyAlignment="1">
      <alignment vertical="center" wrapText="1"/>
    </xf>
    <xf numFmtId="0" fontId="19" fillId="5" borderId="4" xfId="0" applyFont="1" applyFill="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3" borderId="29" xfId="0" applyFont="1" applyFill="1" applyBorder="1" applyAlignment="1">
      <alignment horizontal="center" vertical="center"/>
    </xf>
    <xf numFmtId="166" fontId="19" fillId="0" borderId="1" xfId="0" applyNumberFormat="1" applyFont="1" applyBorder="1" applyAlignment="1">
      <alignment vertical="center"/>
    </xf>
    <xf numFmtId="0" fontId="30" fillId="0" borderId="1" xfId="0" applyFont="1" applyFill="1" applyBorder="1" applyAlignment="1">
      <alignment horizontal="left" vertical="top" wrapText="1"/>
    </xf>
    <xf numFmtId="0" fontId="16" fillId="0" borderId="0" xfId="0" applyFont="1" applyAlignment="1">
      <alignment horizontal="center" vertical="center"/>
    </xf>
    <xf numFmtId="0" fontId="19" fillId="13" borderId="28" xfId="0" applyFont="1" applyFill="1" applyBorder="1" applyAlignment="1">
      <alignment horizontal="center" vertical="center"/>
    </xf>
    <xf numFmtId="0" fontId="19" fillId="5" borderId="28" xfId="0" applyFont="1" applyFill="1" applyBorder="1" applyAlignment="1">
      <alignment horizontal="center" vertical="center"/>
    </xf>
    <xf numFmtId="0" fontId="16" fillId="0" borderId="0" xfId="0" applyFont="1" applyFill="1" applyBorder="1" applyAlignment="1">
      <alignment horizontal="center" vertical="center" wrapText="1"/>
    </xf>
    <xf numFmtId="165" fontId="19" fillId="0" borderId="0" xfId="0" applyNumberFormat="1" applyFont="1" applyAlignment="1">
      <alignment horizontal="center" vertical="center"/>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0" xfId="0" applyNumberFormat="1" applyFont="1" applyFill="1" applyBorder="1" applyAlignment="1">
      <alignment horizontal="center" vertical="center"/>
    </xf>
    <xf numFmtId="165" fontId="19" fillId="0" borderId="70" xfId="0" applyNumberFormat="1" applyFont="1" applyBorder="1" applyAlignment="1">
      <alignment horizontal="center" vertical="center"/>
    </xf>
    <xf numFmtId="165" fontId="19" fillId="0" borderId="0" xfId="0" applyNumberFormat="1" applyFont="1" applyBorder="1" applyAlignment="1">
      <alignment horizontal="center" vertical="center"/>
    </xf>
    <xf numFmtId="168" fontId="19" fillId="0" borderId="0" xfId="1" applyNumberFormat="1" applyFont="1" applyAlignment="1">
      <alignment horizontal="center" vertical="center"/>
    </xf>
    <xf numFmtId="2" fontId="5" fillId="3" borderId="1" xfId="0" applyNumberFormat="1" applyFont="1" applyFill="1" applyBorder="1" applyAlignment="1">
      <alignment horizontal="center" vertical="center"/>
    </xf>
    <xf numFmtId="0" fontId="30" fillId="0" borderId="3" xfId="0" applyFont="1" applyFill="1" applyBorder="1" applyAlignment="1">
      <alignment vertical="center" wrapText="1"/>
    </xf>
    <xf numFmtId="0" fontId="5" fillId="0" borderId="2" xfId="0" applyFont="1" applyFill="1" applyBorder="1" applyAlignment="1">
      <alignment vertical="center"/>
    </xf>
    <xf numFmtId="0" fontId="38" fillId="0" borderId="3" xfId="5" applyFont="1" applyBorder="1" applyAlignment="1">
      <alignment horizontal="center" vertical="center" wrapText="1"/>
    </xf>
    <xf numFmtId="0" fontId="30" fillId="0"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4" fillId="0" borderId="0" xfId="0" applyFont="1" applyAlignment="1">
      <alignment horizontal="center" vertical="center"/>
    </xf>
    <xf numFmtId="0" fontId="5" fillId="0" borderId="64" xfId="0" applyFont="1" applyBorder="1" applyAlignment="1">
      <alignment horizontal="center" vertical="center"/>
    </xf>
    <xf numFmtId="0" fontId="39" fillId="20" borderId="0"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5" fillId="0" borderId="31" xfId="0" applyNumberFormat="1" applyFont="1" applyBorder="1" applyAlignment="1">
      <alignment horizontal="center" vertical="center"/>
    </xf>
    <xf numFmtId="0" fontId="5" fillId="0" borderId="88" xfId="0" applyFont="1" applyBorder="1" applyAlignment="1">
      <alignment horizontal="center" vertical="center"/>
    </xf>
    <xf numFmtId="0" fontId="9" fillId="0" borderId="63" xfId="0" applyFont="1" applyFill="1" applyBorder="1" applyAlignment="1">
      <alignment horizontal="center" vertical="center" wrapText="1"/>
    </xf>
    <xf numFmtId="0" fontId="5"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1" xfId="0" applyFont="1" applyBorder="1" applyAlignment="1">
      <alignment horizontal="center" vertical="center" wrapText="1"/>
    </xf>
    <xf numFmtId="2" fontId="5" fillId="3" borderId="3" xfId="0" applyNumberFormat="1" applyFont="1" applyFill="1" applyBorder="1" applyAlignment="1">
      <alignment horizontal="center" vertical="center"/>
    </xf>
    <xf numFmtId="2" fontId="5" fillId="3"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17" borderId="62" xfId="0" applyFont="1" applyFill="1" applyBorder="1" applyAlignment="1">
      <alignment horizontal="center" vertical="center" wrapText="1"/>
    </xf>
    <xf numFmtId="0" fontId="9" fillId="0" borderId="63" xfId="0" applyFont="1" applyBorder="1" applyAlignment="1">
      <alignment horizontal="center" vertical="center" wrapText="1"/>
    </xf>
    <xf numFmtId="0" fontId="5" fillId="0" borderId="6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3"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2" xfId="0" applyFont="1" applyFill="1" applyBorder="1" applyAlignment="1">
      <alignment horizontal="center" vertical="center" wrapText="1"/>
    </xf>
    <xf numFmtId="0" fontId="5" fillId="0" borderId="1" xfId="0" applyFont="1" applyBorder="1" applyAlignment="1">
      <alignment horizontal="justify" vertical="center" wrapText="1"/>
    </xf>
    <xf numFmtId="0" fontId="23" fillId="0" borderId="1" xfId="0" applyFont="1" applyFill="1" applyBorder="1" applyAlignment="1">
      <alignment horizontal="left" vertical="center" wrapText="1"/>
    </xf>
    <xf numFmtId="2" fontId="5" fillId="3" borderId="3" xfId="0" applyNumberFormat="1" applyFont="1" applyFill="1" applyBorder="1" applyAlignment="1">
      <alignment vertical="center" wrapText="1"/>
    </xf>
    <xf numFmtId="2" fontId="5" fillId="3" borderId="1"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166" fontId="19" fillId="0" borderId="3" xfId="0" applyNumberFormat="1" applyFont="1" applyBorder="1" applyAlignment="1">
      <alignment vertical="center"/>
    </xf>
    <xf numFmtId="166" fontId="19" fillId="0" borderId="1" xfId="0" applyNumberFormat="1" applyFont="1" applyBorder="1" applyAlignment="1">
      <alignment vertical="center" wrapText="1"/>
    </xf>
    <xf numFmtId="0" fontId="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Fill="1" applyBorder="1" applyAlignment="1">
      <alignment horizontal="left" vertical="top" wrapText="1"/>
    </xf>
    <xf numFmtId="0" fontId="5" fillId="0" borderId="3" xfId="0" applyFont="1" applyBorder="1" applyAlignment="1">
      <alignment horizontal="center" vertical="center" wrapText="1"/>
    </xf>
    <xf numFmtId="166" fontId="19" fillId="0" borderId="3" xfId="0" applyNumberFormat="1"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vertical="center" wrapText="1"/>
    </xf>
    <xf numFmtId="0" fontId="5" fillId="0" borderId="3" xfId="0" applyFont="1" applyBorder="1" applyAlignment="1">
      <alignment horizontal="center" vertical="center" wrapText="1"/>
    </xf>
    <xf numFmtId="0" fontId="23"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17" fillId="0" borderId="0" xfId="0" applyFont="1" applyAlignment="1">
      <alignment horizontal="justify" vertical="center"/>
    </xf>
    <xf numFmtId="0" fontId="23" fillId="0" borderId="3" xfId="0" applyFont="1" applyFill="1" applyBorder="1" applyAlignment="1">
      <alignment horizontal="center" vertical="center" wrapText="1"/>
    </xf>
    <xf numFmtId="0" fontId="5" fillId="17" borderId="3" xfId="0" applyFont="1" applyFill="1" applyBorder="1" applyAlignment="1">
      <alignment horizontal="center" vertical="center" wrapText="1"/>
    </xf>
    <xf numFmtId="166" fontId="5" fillId="0" borderId="3" xfId="0" applyNumberFormat="1" applyFont="1" applyBorder="1" applyAlignment="1">
      <alignment horizontal="center" vertical="center" wrapText="1"/>
    </xf>
    <xf numFmtId="0" fontId="9" fillId="0" borderId="1" xfId="0" applyFont="1" applyBorder="1" applyAlignment="1">
      <alignment wrapText="1"/>
    </xf>
    <xf numFmtId="0" fontId="32"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8" xfId="0" applyFont="1" applyBorder="1" applyAlignment="1">
      <alignment horizontal="center" vertical="center"/>
    </xf>
    <xf numFmtId="0" fontId="9" fillId="0" borderId="1" xfId="0" applyFont="1" applyBorder="1" applyAlignment="1">
      <alignment horizontal="justify" vertical="center" wrapText="1"/>
    </xf>
    <xf numFmtId="0" fontId="5" fillId="0" borderId="3" xfId="0" applyFont="1" applyBorder="1" applyAlignment="1">
      <alignment horizontal="center" vertical="center"/>
    </xf>
    <xf numFmtId="166" fontId="19" fillId="0" borderId="2" xfId="0" applyNumberFormat="1" applyFont="1" applyBorder="1" applyAlignment="1">
      <alignment horizontal="center" vertical="center"/>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0" borderId="38" xfId="0" applyFont="1" applyBorder="1" applyAlignment="1">
      <alignment horizontal="center" vertical="center"/>
    </xf>
    <xf numFmtId="0" fontId="17" fillId="0" borderId="1" xfId="0" applyFont="1" applyBorder="1" applyAlignment="1">
      <alignment horizontal="center" vertical="center" wrapText="1"/>
    </xf>
    <xf numFmtId="166" fontId="1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66" fontId="19" fillId="0" borderId="2" xfId="0" applyNumberFormat="1" applyFont="1" applyBorder="1" applyAlignment="1">
      <alignment horizontal="center" vertical="center"/>
    </xf>
    <xf numFmtId="166" fontId="19" fillId="0" borderId="3" xfId="0" applyNumberFormat="1" applyFont="1" applyBorder="1" applyAlignment="1">
      <alignment horizontal="center" vertical="center"/>
    </xf>
    <xf numFmtId="0" fontId="17"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166" fontId="19"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2" fontId="5"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3" fillId="0" borderId="3" xfId="0" applyFont="1" applyFill="1" applyBorder="1" applyAlignment="1">
      <alignment horizontal="center" vertical="center" wrapText="1"/>
    </xf>
    <xf numFmtId="0" fontId="19" fillId="0" borderId="1" xfId="0" applyFont="1" applyBorder="1" applyAlignment="1">
      <alignment horizontal="center" vertical="center" wrapText="1"/>
    </xf>
    <xf numFmtId="166" fontId="19" fillId="0" borderId="1" xfId="0" applyNumberFormat="1" applyFont="1" applyBorder="1" applyAlignment="1">
      <alignment horizontal="center" vertical="center"/>
    </xf>
    <xf numFmtId="0" fontId="5" fillId="0" borderId="1"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5" fillId="17"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17" borderId="63" xfId="0" applyFont="1" applyFill="1" applyBorder="1" applyAlignment="1">
      <alignment horizontal="center" vertical="center" wrapText="1"/>
    </xf>
    <xf numFmtId="0" fontId="5" fillId="17" borderId="63"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23" fillId="17" borderId="1" xfId="0" applyFont="1" applyFill="1" applyBorder="1" applyAlignment="1">
      <alignment horizontal="left" vertical="center" wrapText="1"/>
    </xf>
    <xf numFmtId="0" fontId="5" fillId="0" borderId="0" xfId="0" applyFont="1" applyAlignment="1">
      <alignment vertical="center" wrapText="1"/>
    </xf>
    <xf numFmtId="0" fontId="1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66" fontId="19" fillId="0" borderId="3" xfId="0" applyNumberFormat="1"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166" fontId="19"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3"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left" wrapText="1"/>
    </xf>
    <xf numFmtId="0" fontId="5"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5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5" fillId="0" borderId="3" xfId="0" applyFont="1" applyBorder="1" applyAlignment="1">
      <alignment horizontal="center"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19"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5" fillId="0" borderId="7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15" fillId="0" borderId="0" xfId="0" applyFont="1" applyAlignment="1">
      <alignment horizont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5" fillId="0" borderId="12" xfId="0" applyFont="1" applyBorder="1" applyAlignment="1">
      <alignment horizontal="center" vertical="center"/>
    </xf>
    <xf numFmtId="165" fontId="14" fillId="0" borderId="13" xfId="0" applyNumberFormat="1" applyFont="1" applyBorder="1" applyAlignment="1">
      <alignment horizontal="center" vertical="center" wrapText="1"/>
    </xf>
    <xf numFmtId="165" fontId="14" fillId="0" borderId="23" xfId="0" applyNumberFormat="1" applyFont="1" applyBorder="1" applyAlignment="1">
      <alignment horizontal="center" vertical="center" wrapText="1"/>
    </xf>
    <xf numFmtId="0" fontId="10" fillId="0" borderId="39" xfId="0" applyFont="1" applyBorder="1" applyAlignment="1">
      <alignment horizontal="center" vertical="center"/>
    </xf>
    <xf numFmtId="0" fontId="10" fillId="0" borderId="12" xfId="0" applyFont="1" applyBorder="1" applyAlignment="1">
      <alignment horizontal="center" vertic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5"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66" fontId="19" fillId="0" borderId="2" xfId="0" applyNumberFormat="1" applyFont="1" applyBorder="1" applyAlignment="1">
      <alignment horizontal="center" vertical="center"/>
    </xf>
    <xf numFmtId="166" fontId="19" fillId="0" borderId="3" xfId="0" applyNumberFormat="1"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1" fillId="0" borderId="51"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 xfId="0" applyFont="1" applyBorder="1" applyAlignment="1">
      <alignment horizontal="center" vertical="center" wrapText="1"/>
    </xf>
    <xf numFmtId="0" fontId="23" fillId="17" borderId="2" xfId="0" applyFont="1" applyFill="1" applyBorder="1" applyAlignment="1">
      <alignment horizontal="center" vertical="center" wrapText="1"/>
    </xf>
    <xf numFmtId="0" fontId="23" fillId="17" borderId="3"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18" borderId="52" xfId="0" applyFont="1" applyFill="1" applyBorder="1" applyAlignment="1">
      <alignment horizontal="center" vertical="center" wrapText="1"/>
    </xf>
    <xf numFmtId="0" fontId="5" fillId="18" borderId="56" xfId="0" applyFont="1" applyFill="1" applyBorder="1" applyAlignment="1">
      <alignment horizontal="center" vertical="center" wrapText="1"/>
    </xf>
    <xf numFmtId="0" fontId="5" fillId="18" borderId="53" xfId="0" applyFont="1" applyFill="1" applyBorder="1" applyAlignment="1">
      <alignment horizontal="center" vertical="center" wrapText="1"/>
    </xf>
    <xf numFmtId="0" fontId="5" fillId="0" borderId="0" xfId="0" applyFont="1" applyAlignment="1">
      <alignment horizontal="lef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50" xfId="0" applyFont="1" applyFill="1" applyBorder="1" applyAlignment="1">
      <alignment horizontal="center" vertical="center"/>
    </xf>
    <xf numFmtId="0" fontId="1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66" fontId="19" fillId="0" borderId="1" xfId="0" applyNumberFormat="1" applyFont="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166" fontId="19" fillId="0" borderId="51" xfId="0" applyNumberFormat="1" applyFont="1" applyBorder="1" applyAlignment="1">
      <alignment horizontal="center" vertical="center"/>
    </xf>
    <xf numFmtId="0" fontId="23" fillId="0" borderId="51" xfId="0" applyFont="1" applyFill="1" applyBorder="1" applyAlignment="1">
      <alignment horizontal="center" vertical="center" wrapText="1"/>
    </xf>
    <xf numFmtId="0" fontId="23" fillId="33" borderId="3"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7" fillId="0" borderId="51" xfId="0"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51" xfId="0" applyNumberFormat="1" applyFont="1" applyBorder="1" applyAlignment="1">
      <alignment horizontal="center" vertical="center" wrapText="1"/>
    </xf>
    <xf numFmtId="14" fontId="19" fillId="0" borderId="3" xfId="0" applyNumberFormat="1" applyFont="1" applyBorder="1" applyAlignment="1">
      <alignment horizontal="center" vertical="center" wrapText="1"/>
    </xf>
    <xf numFmtId="0" fontId="23" fillId="17" borderId="2" xfId="0" applyFont="1" applyFill="1" applyBorder="1" applyAlignment="1" applyProtection="1">
      <alignment horizontal="center" vertical="center" wrapText="1"/>
      <protection locked="0"/>
    </xf>
    <xf numFmtId="0" fontId="23" fillId="17" borderId="51" xfId="0" applyFont="1" applyFill="1" applyBorder="1" applyAlignment="1" applyProtection="1">
      <alignment horizontal="center" vertical="center" wrapText="1"/>
      <protection locked="0"/>
    </xf>
    <xf numFmtId="0" fontId="23" fillId="17" borderId="3" xfId="0" applyFont="1" applyFill="1" applyBorder="1" applyAlignment="1" applyProtection="1">
      <alignment horizontal="center" vertical="center" wrapText="1"/>
      <protection locked="0"/>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38" xfId="0" applyFont="1" applyBorder="1" applyAlignment="1">
      <alignment horizontal="center" vertical="center"/>
    </xf>
    <xf numFmtId="0" fontId="5" fillId="0" borderId="73" xfId="0" applyFont="1" applyBorder="1" applyAlignment="1">
      <alignment horizontal="center" vertical="center" wrapText="1"/>
    </xf>
    <xf numFmtId="0" fontId="19" fillId="0" borderId="73" xfId="0" applyFont="1" applyBorder="1" applyAlignment="1">
      <alignment horizontal="center" vertical="center" wrapText="1"/>
    </xf>
    <xf numFmtId="166" fontId="19" fillId="0" borderId="73" xfId="0" applyNumberFormat="1" applyFont="1" applyBorder="1" applyAlignment="1">
      <alignment horizontal="center" vertical="center"/>
    </xf>
    <xf numFmtId="0" fontId="14" fillId="0" borderId="0" xfId="0" applyFont="1" applyAlignment="1">
      <alignment horizontal="center" vertical="center"/>
    </xf>
    <xf numFmtId="165" fontId="14" fillId="21" borderId="57" xfId="0" applyNumberFormat="1" applyFont="1" applyFill="1" applyBorder="1" applyAlignment="1">
      <alignment horizontal="center" vertical="center" wrapText="1"/>
    </xf>
    <xf numFmtId="165" fontId="14" fillId="21" borderId="58"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49" xfId="0" applyFont="1" applyBorder="1" applyAlignment="1">
      <alignment horizontal="center" vertical="center"/>
    </xf>
    <xf numFmtId="0" fontId="15" fillId="0" borderId="11" xfId="0" applyFont="1" applyBorder="1" applyAlignment="1">
      <alignment horizontal="center" vertical="center"/>
    </xf>
    <xf numFmtId="0" fontId="14" fillId="0" borderId="54" xfId="0" applyFont="1" applyBorder="1" applyAlignment="1">
      <alignment horizontal="center" vertical="center"/>
    </xf>
    <xf numFmtId="0" fontId="14" fillId="0" borderId="50"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73" xfId="0" applyFont="1" applyFill="1" applyBorder="1" applyAlignment="1">
      <alignment horizontal="center" vertical="center" wrapText="1"/>
    </xf>
    <xf numFmtId="165" fontId="5" fillId="0" borderId="2" xfId="0" applyNumberFormat="1" applyFont="1" applyBorder="1" applyAlignment="1">
      <alignment horizontal="center" vertical="center"/>
    </xf>
    <xf numFmtId="165" fontId="5" fillId="0" borderId="51" xfId="0" applyNumberFormat="1" applyFont="1" applyBorder="1" applyAlignment="1">
      <alignment horizontal="center" vertical="center"/>
    </xf>
    <xf numFmtId="165" fontId="5" fillId="0" borderId="3" xfId="0" applyNumberFormat="1" applyFont="1" applyBorder="1" applyAlignment="1">
      <alignment horizontal="center" vertical="center"/>
    </xf>
    <xf numFmtId="0" fontId="17" fillId="0" borderId="51" xfId="0" applyFont="1" applyBorder="1" applyAlignment="1">
      <alignment horizontal="center" vertical="center"/>
    </xf>
    <xf numFmtId="0" fontId="17" fillId="0" borderId="3" xfId="0" applyFont="1" applyBorder="1" applyAlignment="1">
      <alignment horizontal="center" vertical="center"/>
    </xf>
    <xf numFmtId="2" fontId="5" fillId="3" borderId="51" xfId="0" applyNumberFormat="1" applyFont="1" applyFill="1" applyBorder="1" applyAlignment="1">
      <alignment horizontal="center" vertical="center" wrapText="1"/>
    </xf>
    <xf numFmtId="2" fontId="5" fillId="3" borderId="3" xfId="0" applyNumberFormat="1"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17" fillId="2" borderId="5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166" fontId="19" fillId="0" borderId="2" xfId="0" applyNumberFormat="1" applyFont="1" applyFill="1" applyBorder="1" applyAlignment="1">
      <alignment horizontal="center" vertical="center"/>
    </xf>
    <xf numFmtId="166" fontId="19" fillId="0" borderId="51" xfId="0" applyNumberFormat="1" applyFont="1" applyFill="1" applyBorder="1" applyAlignment="1">
      <alignment horizontal="center" vertical="center"/>
    </xf>
    <xf numFmtId="166" fontId="19" fillId="0" borderId="3" xfId="0" applyNumberFormat="1" applyFont="1" applyFill="1" applyBorder="1" applyAlignment="1">
      <alignment horizontal="center" vertical="center"/>
    </xf>
    <xf numFmtId="0" fontId="15" fillId="0" borderId="0" xfId="0" applyFont="1" applyAlignment="1">
      <alignment horizontal="center" vertical="center"/>
    </xf>
    <xf numFmtId="0" fontId="18" fillId="3" borderId="54"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49" xfId="0" applyFont="1" applyBorder="1" applyAlignment="1">
      <alignment horizontal="center" vertical="center"/>
    </xf>
    <xf numFmtId="0" fontId="10" fillId="0" borderId="11" xfId="0" applyFont="1" applyBorder="1" applyAlignment="1">
      <alignment horizontal="center" vertical="center"/>
    </xf>
    <xf numFmtId="0" fontId="15" fillId="24" borderId="35" xfId="0" applyFont="1" applyFill="1" applyBorder="1" applyAlignment="1">
      <alignment horizontal="center" vertical="center"/>
    </xf>
    <xf numFmtId="0" fontId="15" fillId="24" borderId="36" xfId="0" applyFont="1" applyFill="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top" wrapText="1"/>
    </xf>
    <xf numFmtId="0" fontId="5" fillId="0" borderId="51" xfId="0" applyFont="1" applyBorder="1" applyAlignment="1">
      <alignment horizontal="center" vertical="top" wrapText="1"/>
    </xf>
    <xf numFmtId="0" fontId="5" fillId="0" borderId="3" xfId="0" applyFont="1" applyBorder="1" applyAlignment="1">
      <alignment horizontal="center" vertical="top" wrapText="1"/>
    </xf>
    <xf numFmtId="0" fontId="14" fillId="15" borderId="10" xfId="0" applyFont="1" applyFill="1" applyBorder="1" applyAlignment="1">
      <alignment horizontal="center" vertical="center"/>
    </xf>
    <xf numFmtId="0" fontId="14" fillId="15" borderId="49" xfId="0" applyFont="1" applyFill="1" applyBorder="1" applyAlignment="1">
      <alignment horizontal="center" vertical="center"/>
    </xf>
    <xf numFmtId="0" fontId="14" fillId="15" borderId="50" xfId="0" applyFont="1" applyFill="1" applyBorder="1" applyAlignment="1">
      <alignment horizontal="center" vertical="center"/>
    </xf>
    <xf numFmtId="0" fontId="15" fillId="0" borderId="0" xfId="0" applyFont="1" applyFill="1" applyBorder="1" applyAlignment="1">
      <alignment horizontal="center" vertical="center"/>
    </xf>
    <xf numFmtId="0" fontId="23" fillId="17" borderId="1" xfId="0" applyFont="1" applyFill="1" applyBorder="1" applyAlignment="1" applyProtection="1">
      <alignment horizontal="center" vertical="center" wrapText="1"/>
      <protection locked="0"/>
    </xf>
    <xf numFmtId="0" fontId="5" fillId="17" borderId="2" xfId="0" applyFont="1" applyFill="1" applyBorder="1" applyAlignment="1">
      <alignment horizontal="center" vertical="center" wrapText="1"/>
    </xf>
    <xf numFmtId="0" fontId="5" fillId="17" borderId="51"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23" fillId="17" borderId="51" xfId="0" applyFont="1" applyFill="1" applyBorder="1" applyAlignment="1">
      <alignment horizontal="center" vertical="center" wrapText="1"/>
    </xf>
    <xf numFmtId="0" fontId="11" fillId="3" borderId="52" xfId="0" applyFont="1" applyFill="1" applyBorder="1" applyAlignment="1">
      <alignment horizontal="center"/>
    </xf>
    <xf numFmtId="0" fontId="11" fillId="3" borderId="53" xfId="0" applyFont="1" applyFill="1" applyBorder="1" applyAlignment="1">
      <alignment horizontal="center"/>
    </xf>
    <xf numFmtId="0" fontId="33" fillId="27" borderId="74" xfId="0" applyFont="1" applyFill="1" applyBorder="1" applyAlignment="1">
      <alignment horizontal="center" vertical="center"/>
    </xf>
    <xf numFmtId="0" fontId="33" fillId="27" borderId="78" xfId="0" applyFont="1" applyFill="1" applyBorder="1" applyAlignment="1">
      <alignment horizontal="center" vertical="center"/>
    </xf>
    <xf numFmtId="0" fontId="33" fillId="27" borderId="74" xfId="0" applyFont="1" applyFill="1" applyBorder="1" applyAlignment="1">
      <alignment horizontal="center" vertical="center" wrapText="1"/>
    </xf>
    <xf numFmtId="0" fontId="33" fillId="27" borderId="78" xfId="0" applyFont="1" applyFill="1" applyBorder="1" applyAlignment="1">
      <alignment horizontal="center" vertical="center" wrapText="1"/>
    </xf>
    <xf numFmtId="0" fontId="34" fillId="0" borderId="52" xfId="0" applyFont="1" applyBorder="1" applyAlignment="1">
      <alignment horizontal="center"/>
    </xf>
    <xf numFmtId="0" fontId="34" fillId="0" borderId="56" xfId="0" applyFont="1" applyBorder="1" applyAlignment="1">
      <alignment horizontal="center"/>
    </xf>
    <xf numFmtId="0" fontId="34" fillId="0" borderId="53" xfId="0" applyFont="1" applyBorder="1" applyAlignment="1">
      <alignment horizontal="center"/>
    </xf>
    <xf numFmtId="0" fontId="21" fillId="10" borderId="49" xfId="0" applyFont="1" applyFill="1" applyBorder="1" applyAlignment="1">
      <alignment horizontal="center" vertical="center" wrapText="1"/>
    </xf>
    <xf numFmtId="0" fontId="21" fillId="10" borderId="50" xfId="0" applyFont="1" applyFill="1" applyBorder="1" applyAlignment="1">
      <alignment horizontal="center" vertical="center" wrapText="1"/>
    </xf>
    <xf numFmtId="165" fontId="10" fillId="25" borderId="80" xfId="0" applyNumberFormat="1" applyFont="1" applyFill="1" applyBorder="1" applyAlignment="1">
      <alignment horizontal="center" vertical="center" wrapText="1"/>
    </xf>
    <xf numFmtId="165" fontId="10" fillId="25" borderId="81" xfId="0" applyNumberFormat="1"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21" xfId="0" applyFont="1" applyFill="1" applyBorder="1" applyAlignment="1">
      <alignment horizontal="center" vertical="center"/>
    </xf>
    <xf numFmtId="0" fontId="33" fillId="27" borderId="49" xfId="0" applyFont="1" applyFill="1" applyBorder="1" applyAlignment="1">
      <alignment horizontal="center" vertical="center" wrapText="1"/>
    </xf>
  </cellXfs>
  <cellStyles count="6">
    <cellStyle name="Hipervínculo" xfId="5" builtinId="8"/>
    <cellStyle name="Millares" xfId="1" builtinId="3"/>
    <cellStyle name="Normal" xfId="0" builtinId="0"/>
    <cellStyle name="Normal 2" xfId="3"/>
    <cellStyle name="Normal 3" xfId="4"/>
    <cellStyle name="Porcentaje" xfId="2" builtinId="5"/>
  </cellStyles>
  <dxfs count="972">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1.%20PROCESO%20DE%20GESTI&#211;N%20ESTRAT&#201;GICA/MANUALES/208-PLA-Mn-06%20PLAN%20ESTRAT&#201;GICO%20DE%20LA%20CAJA%20DE%20LA%20VIVIENDA%20POPULAR"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15"/>
  <sheetViews>
    <sheetView workbookViewId="0">
      <selection activeCell="E11" sqref="E11:E15"/>
    </sheetView>
  </sheetViews>
  <sheetFormatPr baseColWidth="10" defaultRowHeight="15" x14ac:dyDescent="0.25"/>
  <cols>
    <col min="1" max="1" width="32.85546875" style="1" customWidth="1"/>
    <col min="2" max="2" width="16.28515625" style="1" customWidth="1"/>
    <col min="3" max="3" width="16.85546875" style="1" customWidth="1"/>
    <col min="4" max="4" width="11.42578125" style="1"/>
    <col min="5" max="5" width="22.140625" style="1" customWidth="1"/>
    <col min="6" max="16384" width="11.42578125" style="1"/>
  </cols>
  <sheetData>
    <row r="1" spans="1:5" x14ac:dyDescent="0.25">
      <c r="A1" s="19" t="s">
        <v>9</v>
      </c>
      <c r="B1" s="19" t="s">
        <v>45</v>
      </c>
      <c r="C1" s="19" t="s">
        <v>47</v>
      </c>
      <c r="D1" s="19" t="s">
        <v>34</v>
      </c>
      <c r="E1" s="20" t="s">
        <v>48</v>
      </c>
    </row>
    <row r="2" spans="1:5" x14ac:dyDescent="0.25">
      <c r="A2" s="1" t="s">
        <v>49</v>
      </c>
      <c r="B2" s="21" t="s">
        <v>31</v>
      </c>
      <c r="C2" s="1" t="s">
        <v>50</v>
      </c>
      <c r="D2" s="1" t="s">
        <v>51</v>
      </c>
      <c r="E2" s="1" t="s">
        <v>334</v>
      </c>
    </row>
    <row r="3" spans="1:5" x14ac:dyDescent="0.25">
      <c r="A3" s="231" t="s">
        <v>10</v>
      </c>
      <c r="B3" s="23" t="s">
        <v>53</v>
      </c>
      <c r="C3" s="1" t="s">
        <v>54</v>
      </c>
      <c r="D3" s="1" t="s">
        <v>55</v>
      </c>
      <c r="E3" s="1" t="s">
        <v>52</v>
      </c>
    </row>
    <row r="4" spans="1:5" ht="30" x14ac:dyDescent="0.25">
      <c r="A4" s="232" t="s">
        <v>335</v>
      </c>
      <c r="B4" s="22" t="s">
        <v>3</v>
      </c>
      <c r="C4" s="1" t="s">
        <v>57</v>
      </c>
      <c r="E4" s="1" t="s">
        <v>56</v>
      </c>
    </row>
    <row r="5" spans="1:5" x14ac:dyDescent="0.25">
      <c r="A5" s="1" t="s">
        <v>2</v>
      </c>
      <c r="E5" s="1" t="s">
        <v>58</v>
      </c>
    </row>
    <row r="6" spans="1:5" x14ac:dyDescent="0.25">
      <c r="A6" s="231" t="s">
        <v>25</v>
      </c>
      <c r="E6" s="231" t="s">
        <v>491</v>
      </c>
    </row>
    <row r="7" spans="1:5" x14ac:dyDescent="0.25">
      <c r="A7" s="1" t="s">
        <v>37</v>
      </c>
      <c r="E7" s="1" t="s">
        <v>59</v>
      </c>
    </row>
    <row r="8" spans="1:5" x14ac:dyDescent="0.25">
      <c r="A8" s="231" t="s">
        <v>36</v>
      </c>
      <c r="E8" s="1" t="s">
        <v>492</v>
      </c>
    </row>
    <row r="9" spans="1:5" x14ac:dyDescent="0.25">
      <c r="A9" s="1" t="s">
        <v>267</v>
      </c>
      <c r="E9" s="1" t="s">
        <v>167</v>
      </c>
    </row>
    <row r="10" spans="1:5" ht="30" x14ac:dyDescent="0.25">
      <c r="A10" s="22" t="s">
        <v>62</v>
      </c>
      <c r="E10" s="1" t="s">
        <v>200</v>
      </c>
    </row>
    <row r="11" spans="1:5" x14ac:dyDescent="0.25">
      <c r="A11" s="1" t="s">
        <v>63</v>
      </c>
      <c r="E11" s="1" t="s">
        <v>733</v>
      </c>
    </row>
    <row r="12" spans="1:5" x14ac:dyDescent="0.25">
      <c r="A12" s="1" t="s">
        <v>333</v>
      </c>
      <c r="E12" s="1" t="s">
        <v>734</v>
      </c>
    </row>
    <row r="13" spans="1:5" x14ac:dyDescent="0.25">
      <c r="A13" s="1" t="s">
        <v>61</v>
      </c>
      <c r="E13" s="1" t="s">
        <v>735</v>
      </c>
    </row>
    <row r="14" spans="1:5" x14ac:dyDescent="0.25">
      <c r="A14" s="1" t="s">
        <v>65</v>
      </c>
      <c r="E14" s="1" t="s">
        <v>736</v>
      </c>
    </row>
    <row r="15" spans="1:5" x14ac:dyDescent="0.25">
      <c r="E15" s="1" t="s">
        <v>737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145"/>
  <sheetViews>
    <sheetView topLeftCell="A2" zoomScaleNormal="100" zoomScaleSheetLayoutView="50" workbookViewId="0">
      <pane ySplit="1575" activePane="bottomLeft"/>
      <selection activeCell="A22" sqref="A22"/>
      <selection pane="bottomLeft" activeCell="C4" sqref="C4"/>
    </sheetView>
  </sheetViews>
  <sheetFormatPr baseColWidth="10" defaultRowHeight="12.75" x14ac:dyDescent="0.2"/>
  <cols>
    <col min="1" max="1" width="6" style="32" customWidth="1"/>
    <col min="2" max="2" width="23.28515625" style="31" customWidth="1"/>
    <col min="3" max="3" width="25.140625" style="55" customWidth="1"/>
    <col min="4" max="4" width="11.28515625" style="55" customWidth="1"/>
    <col min="5" max="5" width="12.7109375" style="55" customWidth="1"/>
    <col min="6" max="6" width="11.85546875" style="56" customWidth="1"/>
    <col min="7" max="7" width="33.42578125" style="31" customWidth="1"/>
    <col min="8" max="8" width="11.42578125" style="31" customWidth="1"/>
    <col min="9" max="9" width="11.7109375" style="32" customWidth="1"/>
    <col min="10" max="10" width="12" style="32" customWidth="1"/>
    <col min="11" max="11" width="16" style="32" customWidth="1"/>
    <col min="12" max="12" width="34.7109375" style="32" customWidth="1"/>
    <col min="13" max="13" width="36.28515625" style="57" customWidth="1"/>
    <col min="14" max="14" width="10.28515625" style="32" customWidth="1"/>
    <col min="15" max="15" width="11.85546875" style="32" customWidth="1"/>
    <col min="16" max="16" width="20.42578125" style="31" customWidth="1"/>
    <col min="17" max="17" width="15.5703125" style="31" customWidth="1"/>
    <col min="18" max="18" width="17.28515625" style="31" customWidth="1"/>
    <col min="19" max="16384" width="11.42578125" style="31"/>
  </cols>
  <sheetData>
    <row r="1" spans="1:18" ht="16.5" thickBot="1" x14ac:dyDescent="0.25">
      <c r="A1" s="24"/>
      <c r="B1" s="25" t="s">
        <v>66</v>
      </c>
      <c r="C1" s="26" t="s">
        <v>67</v>
      </c>
      <c r="D1" s="27"/>
      <c r="E1" s="27"/>
      <c r="F1" s="28"/>
      <c r="G1" s="29"/>
      <c r="H1" s="29"/>
      <c r="I1" s="30"/>
      <c r="J1" s="30"/>
      <c r="K1" s="30"/>
      <c r="L1" s="31"/>
      <c r="M1" s="29"/>
      <c r="O1" s="31"/>
    </row>
    <row r="2" spans="1:18" ht="3.75" customHeight="1" thickBot="1" x14ac:dyDescent="0.25">
      <c r="B2" s="29"/>
      <c r="C2" s="33"/>
      <c r="D2" s="33"/>
      <c r="E2" s="33"/>
      <c r="F2" s="28"/>
      <c r="G2" s="29"/>
      <c r="H2" s="29"/>
      <c r="I2" s="30"/>
      <c r="J2" s="30"/>
      <c r="K2" s="30"/>
      <c r="L2" s="30"/>
      <c r="M2" s="29"/>
      <c r="O2" s="30"/>
    </row>
    <row r="3" spans="1:18" ht="60" thickBot="1" x14ac:dyDescent="0.25">
      <c r="A3" s="34" t="s">
        <v>68</v>
      </c>
      <c r="B3" s="35" t="s">
        <v>0</v>
      </c>
      <c r="C3" s="35" t="s">
        <v>1</v>
      </c>
      <c r="D3" s="36" t="s">
        <v>42</v>
      </c>
      <c r="E3" s="36" t="s">
        <v>69</v>
      </c>
      <c r="F3" s="37" t="s">
        <v>70</v>
      </c>
      <c r="G3" s="38" t="s">
        <v>71</v>
      </c>
      <c r="H3" s="39" t="s">
        <v>45</v>
      </c>
      <c r="I3" s="40" t="s">
        <v>72</v>
      </c>
      <c r="J3" s="36" t="s">
        <v>73</v>
      </c>
      <c r="K3" s="39" t="s">
        <v>47</v>
      </c>
      <c r="L3" s="39" t="s">
        <v>33</v>
      </c>
      <c r="M3" s="39" t="s">
        <v>32</v>
      </c>
      <c r="N3" s="35" t="s">
        <v>34</v>
      </c>
      <c r="O3" s="39" t="s">
        <v>74</v>
      </c>
      <c r="P3" s="39" t="s">
        <v>75</v>
      </c>
      <c r="Q3" s="36" t="s">
        <v>76</v>
      </c>
      <c r="R3" s="41" t="s">
        <v>77</v>
      </c>
    </row>
    <row r="4" spans="1:18" ht="26.25" thickTop="1" x14ac:dyDescent="0.2">
      <c r="A4" s="42">
        <v>1</v>
      </c>
      <c r="B4" s="43" t="s">
        <v>36</v>
      </c>
      <c r="C4" s="44"/>
      <c r="D4" s="16" t="s">
        <v>43</v>
      </c>
      <c r="E4" s="45"/>
      <c r="F4" s="46"/>
      <c r="G4" s="47"/>
      <c r="H4" s="48" t="s">
        <v>78</v>
      </c>
      <c r="I4" s="49" t="s">
        <v>79</v>
      </c>
      <c r="J4" s="46"/>
      <c r="K4" s="16"/>
      <c r="L4" s="16"/>
      <c r="M4" s="42"/>
      <c r="N4" s="42" t="s">
        <v>55</v>
      </c>
      <c r="O4" s="46"/>
      <c r="P4" s="42"/>
      <c r="Q4" s="50">
        <f>DAYS360(F4,J4,0)+1</f>
        <v>1</v>
      </c>
      <c r="R4" s="50">
        <f>IFERROR((DAYS360(J4,O4,0)+1),1)</f>
        <v>1</v>
      </c>
    </row>
    <row r="5" spans="1:18" ht="14.25" x14ac:dyDescent="0.2">
      <c r="A5" s="42">
        <v>2</v>
      </c>
      <c r="B5" s="43"/>
      <c r="C5" s="44"/>
      <c r="D5" s="16"/>
      <c r="E5" s="16"/>
      <c r="F5" s="46"/>
      <c r="G5" s="47"/>
      <c r="H5" s="48"/>
      <c r="I5" s="49"/>
      <c r="J5" s="46"/>
      <c r="K5" s="16"/>
      <c r="L5" s="16"/>
      <c r="M5" s="42"/>
      <c r="N5" s="42"/>
      <c r="O5" s="46"/>
      <c r="P5" s="42"/>
      <c r="Q5" s="50">
        <f t="shared" ref="Q5:Q68" si="0">DAYS360(F5,J5,0)+1</f>
        <v>1</v>
      </c>
      <c r="R5" s="50">
        <f t="shared" ref="R5:R68" si="1">IFERROR((DAYS360(J5,O5,0)+1),1)</f>
        <v>1</v>
      </c>
    </row>
    <row r="6" spans="1:18" ht="14.25" x14ac:dyDescent="0.2">
      <c r="A6" s="42">
        <v>3</v>
      </c>
      <c r="B6" s="43"/>
      <c r="C6" s="44"/>
      <c r="D6" s="16"/>
      <c r="E6" s="16"/>
      <c r="F6" s="46"/>
      <c r="G6" s="47"/>
      <c r="H6" s="48"/>
      <c r="I6" s="49"/>
      <c r="J6" s="46"/>
      <c r="K6" s="16"/>
      <c r="L6" s="16"/>
      <c r="M6" s="42"/>
      <c r="N6" s="42"/>
      <c r="O6" s="46"/>
      <c r="P6" s="42"/>
      <c r="Q6" s="50">
        <f t="shared" si="0"/>
        <v>1</v>
      </c>
      <c r="R6" s="50">
        <f t="shared" si="1"/>
        <v>1</v>
      </c>
    </row>
    <row r="7" spans="1:18" ht="14.25" x14ac:dyDescent="0.2">
      <c r="A7" s="42">
        <v>4</v>
      </c>
      <c r="B7" s="43" t="s">
        <v>49</v>
      </c>
      <c r="C7" s="44"/>
      <c r="D7" s="16" t="s">
        <v>43</v>
      </c>
      <c r="E7" s="16"/>
      <c r="F7" s="46"/>
      <c r="G7" s="47"/>
      <c r="H7" s="48" t="s">
        <v>78</v>
      </c>
      <c r="I7" s="49" t="s">
        <v>80</v>
      </c>
      <c r="J7" s="46"/>
      <c r="K7" s="16"/>
      <c r="L7" s="16"/>
      <c r="M7" s="42"/>
      <c r="N7" s="42" t="s">
        <v>51</v>
      </c>
      <c r="O7" s="46"/>
      <c r="P7" s="42"/>
      <c r="Q7" s="50">
        <f t="shared" si="0"/>
        <v>1</v>
      </c>
      <c r="R7" s="50">
        <f t="shared" si="1"/>
        <v>1</v>
      </c>
    </row>
    <row r="8" spans="1:18" ht="14.25" x14ac:dyDescent="0.2">
      <c r="A8" s="42">
        <v>5</v>
      </c>
      <c r="B8" s="43"/>
      <c r="C8" s="44"/>
      <c r="D8" s="16"/>
      <c r="E8" s="16"/>
      <c r="F8" s="46"/>
      <c r="G8" s="47"/>
      <c r="H8" s="48"/>
      <c r="I8" s="49"/>
      <c r="J8" s="46"/>
      <c r="K8" s="16"/>
      <c r="L8" s="16"/>
      <c r="M8" s="42"/>
      <c r="N8" s="42"/>
      <c r="O8" s="46"/>
      <c r="P8" s="42"/>
      <c r="Q8" s="50">
        <f t="shared" si="0"/>
        <v>1</v>
      </c>
      <c r="R8" s="50">
        <f t="shared" si="1"/>
        <v>1</v>
      </c>
    </row>
    <row r="9" spans="1:18" ht="14.25" x14ac:dyDescent="0.2">
      <c r="A9" s="42">
        <v>6</v>
      </c>
      <c r="B9" s="43"/>
      <c r="C9" s="44"/>
      <c r="D9" s="16"/>
      <c r="E9" s="16"/>
      <c r="F9" s="46"/>
      <c r="G9" s="47"/>
      <c r="H9" s="48"/>
      <c r="I9" s="49"/>
      <c r="J9" s="46"/>
      <c r="K9" s="16"/>
      <c r="L9" s="16"/>
      <c r="M9" s="42"/>
      <c r="N9" s="42"/>
      <c r="O9" s="46"/>
      <c r="P9" s="42"/>
      <c r="Q9" s="50">
        <f t="shared" si="0"/>
        <v>1</v>
      </c>
      <c r="R9" s="50">
        <f t="shared" si="1"/>
        <v>1</v>
      </c>
    </row>
    <row r="10" spans="1:18" ht="25.5" x14ac:dyDescent="0.2">
      <c r="A10" s="42">
        <v>7</v>
      </c>
      <c r="B10" s="43" t="s">
        <v>36</v>
      </c>
      <c r="C10" s="44"/>
      <c r="D10" s="16" t="s">
        <v>43</v>
      </c>
      <c r="E10" s="16"/>
      <c r="F10" s="46"/>
      <c r="G10" s="47"/>
      <c r="H10" s="48" t="s">
        <v>53</v>
      </c>
      <c r="I10" s="49" t="s">
        <v>79</v>
      </c>
      <c r="J10" s="46"/>
      <c r="K10" s="16"/>
      <c r="L10" s="16"/>
      <c r="M10" s="42"/>
      <c r="N10" s="42" t="s">
        <v>51</v>
      </c>
      <c r="O10" s="46"/>
      <c r="P10" s="42"/>
      <c r="Q10" s="50">
        <f t="shared" si="0"/>
        <v>1</v>
      </c>
      <c r="R10" s="50">
        <f t="shared" si="1"/>
        <v>1</v>
      </c>
    </row>
    <row r="11" spans="1:18" ht="14.25" x14ac:dyDescent="0.2">
      <c r="A11" s="42">
        <v>8</v>
      </c>
      <c r="B11" s="43"/>
      <c r="C11" s="44"/>
      <c r="D11" s="16"/>
      <c r="E11" s="16"/>
      <c r="F11" s="46"/>
      <c r="G11" s="47"/>
      <c r="H11" s="48"/>
      <c r="I11" s="49"/>
      <c r="J11" s="46"/>
      <c r="K11" s="16"/>
      <c r="L11" s="16"/>
      <c r="M11" s="42"/>
      <c r="N11" s="42"/>
      <c r="O11" s="46"/>
      <c r="P11" s="42"/>
      <c r="Q11" s="50">
        <f t="shared" si="0"/>
        <v>1</v>
      </c>
      <c r="R11" s="50">
        <f t="shared" si="1"/>
        <v>1</v>
      </c>
    </row>
    <row r="12" spans="1:18" ht="14.25" x14ac:dyDescent="0.2">
      <c r="A12" s="42">
        <v>9</v>
      </c>
      <c r="B12" s="43"/>
      <c r="C12" s="44"/>
      <c r="D12" s="16"/>
      <c r="E12" s="16"/>
      <c r="F12" s="46"/>
      <c r="G12" s="47"/>
      <c r="H12" s="48"/>
      <c r="I12" s="49"/>
      <c r="J12" s="46"/>
      <c r="K12" s="16"/>
      <c r="L12" s="16"/>
      <c r="M12" s="42"/>
      <c r="N12" s="42"/>
      <c r="O12" s="46"/>
      <c r="P12" s="42"/>
      <c r="Q12" s="50">
        <f t="shared" si="0"/>
        <v>1</v>
      </c>
      <c r="R12" s="50">
        <f t="shared" si="1"/>
        <v>1</v>
      </c>
    </row>
    <row r="13" spans="1:18" ht="14.25" x14ac:dyDescent="0.2">
      <c r="A13" s="42">
        <v>10</v>
      </c>
      <c r="B13" s="43" t="s">
        <v>25</v>
      </c>
      <c r="C13" s="44"/>
      <c r="D13" s="16" t="s">
        <v>43</v>
      </c>
      <c r="E13" s="16"/>
      <c r="F13" s="46"/>
      <c r="G13" s="47"/>
      <c r="H13" s="48" t="s">
        <v>78</v>
      </c>
      <c r="I13" s="49" t="s">
        <v>79</v>
      </c>
      <c r="J13" s="46"/>
      <c r="K13" s="16"/>
      <c r="L13" s="16"/>
      <c r="M13" s="42"/>
      <c r="N13" s="42" t="s">
        <v>51</v>
      </c>
      <c r="O13" s="46"/>
      <c r="P13" s="42"/>
      <c r="Q13" s="50">
        <f t="shared" si="0"/>
        <v>1</v>
      </c>
      <c r="R13" s="50">
        <f t="shared" si="1"/>
        <v>1</v>
      </c>
    </row>
    <row r="14" spans="1:18" ht="14.25" x14ac:dyDescent="0.2">
      <c r="A14" s="42">
        <v>11</v>
      </c>
      <c r="B14" s="43"/>
      <c r="C14" s="44"/>
      <c r="D14" s="16"/>
      <c r="E14" s="16"/>
      <c r="F14" s="46"/>
      <c r="G14" s="47"/>
      <c r="H14" s="48"/>
      <c r="I14" s="49"/>
      <c r="J14" s="46"/>
      <c r="K14" s="16"/>
      <c r="L14" s="16"/>
      <c r="M14" s="42"/>
      <c r="N14" s="42"/>
      <c r="O14" s="46"/>
      <c r="P14" s="42"/>
      <c r="Q14" s="50">
        <f t="shared" si="0"/>
        <v>1</v>
      </c>
      <c r="R14" s="50">
        <f t="shared" si="1"/>
        <v>1</v>
      </c>
    </row>
    <row r="15" spans="1:18" ht="14.25" x14ac:dyDescent="0.2">
      <c r="A15" s="42">
        <v>12</v>
      </c>
      <c r="B15" s="43" t="s">
        <v>37</v>
      </c>
      <c r="C15" s="44"/>
      <c r="D15" s="16" t="s">
        <v>43</v>
      </c>
      <c r="E15" s="16"/>
      <c r="F15" s="46"/>
      <c r="G15" s="47"/>
      <c r="H15" s="48" t="s">
        <v>78</v>
      </c>
      <c r="I15" s="49" t="s">
        <v>79</v>
      </c>
      <c r="J15" s="46"/>
      <c r="K15" s="16"/>
      <c r="L15" s="16"/>
      <c r="M15" s="42"/>
      <c r="N15" s="42" t="s">
        <v>55</v>
      </c>
      <c r="O15" s="46"/>
      <c r="P15" s="42"/>
      <c r="Q15" s="50">
        <f t="shared" si="0"/>
        <v>1</v>
      </c>
      <c r="R15" s="50">
        <f t="shared" si="1"/>
        <v>1</v>
      </c>
    </row>
    <row r="16" spans="1:18" ht="14.25" x14ac:dyDescent="0.2">
      <c r="A16" s="42">
        <v>13</v>
      </c>
      <c r="B16" s="43"/>
      <c r="C16" s="44"/>
      <c r="D16" s="16"/>
      <c r="E16" s="16"/>
      <c r="F16" s="46"/>
      <c r="G16" s="47"/>
      <c r="H16" s="48"/>
      <c r="I16" s="49"/>
      <c r="J16" s="46"/>
      <c r="K16" s="16"/>
      <c r="L16" s="16"/>
      <c r="M16" s="42"/>
      <c r="N16" s="42"/>
      <c r="O16" s="46"/>
      <c r="P16" s="42"/>
      <c r="Q16" s="50">
        <f t="shared" si="0"/>
        <v>1</v>
      </c>
      <c r="R16" s="50">
        <f t="shared" si="1"/>
        <v>1</v>
      </c>
    </row>
    <row r="17" spans="1:18" ht="14.25" x14ac:dyDescent="0.2">
      <c r="A17" s="42">
        <v>14</v>
      </c>
      <c r="B17" s="43"/>
      <c r="C17" s="44"/>
      <c r="D17" s="16"/>
      <c r="E17" s="16"/>
      <c r="F17" s="46"/>
      <c r="G17" s="47"/>
      <c r="H17" s="48"/>
      <c r="I17" s="49"/>
      <c r="J17" s="46"/>
      <c r="K17" s="16"/>
      <c r="L17" s="16"/>
      <c r="M17" s="42"/>
      <c r="N17" s="42"/>
      <c r="O17" s="46"/>
      <c r="P17" s="42"/>
      <c r="Q17" s="50">
        <f t="shared" si="0"/>
        <v>1</v>
      </c>
      <c r="R17" s="50">
        <f t="shared" si="1"/>
        <v>1</v>
      </c>
    </row>
    <row r="18" spans="1:18" ht="14.25" x14ac:dyDescent="0.2">
      <c r="A18" s="42">
        <v>15</v>
      </c>
      <c r="B18" s="43"/>
      <c r="C18" s="44"/>
      <c r="D18" s="16"/>
      <c r="E18" s="16"/>
      <c r="F18" s="46"/>
      <c r="G18" s="47"/>
      <c r="H18" s="48"/>
      <c r="I18" s="49"/>
      <c r="J18" s="46"/>
      <c r="K18" s="16"/>
      <c r="L18" s="16"/>
      <c r="M18" s="42"/>
      <c r="N18" s="42"/>
      <c r="O18" s="46"/>
      <c r="P18" s="42"/>
      <c r="Q18" s="50">
        <f t="shared" si="0"/>
        <v>1</v>
      </c>
      <c r="R18" s="50">
        <f t="shared" si="1"/>
        <v>1</v>
      </c>
    </row>
    <row r="19" spans="1:18" ht="14.25" x14ac:dyDescent="0.2">
      <c r="A19" s="42">
        <v>16</v>
      </c>
      <c r="B19" s="43"/>
      <c r="C19" s="44"/>
      <c r="D19" s="16"/>
      <c r="E19" s="16"/>
      <c r="F19" s="46"/>
      <c r="G19" s="47"/>
      <c r="H19" s="48"/>
      <c r="I19" s="49"/>
      <c r="J19" s="46"/>
      <c r="K19" s="16"/>
      <c r="L19" s="16"/>
      <c r="M19" s="42"/>
      <c r="N19" s="42"/>
      <c r="O19" s="46"/>
      <c r="P19" s="42"/>
      <c r="Q19" s="50">
        <f t="shared" si="0"/>
        <v>1</v>
      </c>
      <c r="R19" s="50">
        <f t="shared" si="1"/>
        <v>1</v>
      </c>
    </row>
    <row r="20" spans="1:18" ht="14.25" x14ac:dyDescent="0.2">
      <c r="A20" s="42">
        <v>17</v>
      </c>
      <c r="B20" s="43"/>
      <c r="C20" s="44"/>
      <c r="D20" s="16"/>
      <c r="E20" s="16"/>
      <c r="F20" s="46"/>
      <c r="G20" s="47"/>
      <c r="H20" s="48"/>
      <c r="I20" s="49"/>
      <c r="J20" s="46"/>
      <c r="K20" s="16"/>
      <c r="L20" s="16"/>
      <c r="M20" s="42"/>
      <c r="N20" s="42"/>
      <c r="O20" s="46"/>
      <c r="P20" s="42"/>
      <c r="Q20" s="50">
        <f t="shared" si="0"/>
        <v>1</v>
      </c>
      <c r="R20" s="50">
        <f t="shared" si="1"/>
        <v>1</v>
      </c>
    </row>
    <row r="21" spans="1:18" ht="14.25" x14ac:dyDescent="0.2">
      <c r="A21" s="42">
        <v>18</v>
      </c>
      <c r="B21" s="43"/>
      <c r="C21" s="44"/>
      <c r="D21" s="16"/>
      <c r="E21" s="16"/>
      <c r="F21" s="46"/>
      <c r="G21" s="47"/>
      <c r="H21" s="48"/>
      <c r="I21" s="49"/>
      <c r="J21" s="46"/>
      <c r="K21" s="16"/>
      <c r="L21" s="16"/>
      <c r="M21" s="42"/>
      <c r="N21" s="42"/>
      <c r="O21" s="46"/>
      <c r="P21" s="42"/>
      <c r="Q21" s="50">
        <f t="shared" si="0"/>
        <v>1</v>
      </c>
      <c r="R21" s="50">
        <f t="shared" si="1"/>
        <v>1</v>
      </c>
    </row>
    <row r="22" spans="1:18" ht="14.25" x14ac:dyDescent="0.2">
      <c r="A22" s="42">
        <v>19</v>
      </c>
      <c r="B22" s="43"/>
      <c r="C22" s="44"/>
      <c r="D22" s="16"/>
      <c r="E22" s="16"/>
      <c r="F22" s="46"/>
      <c r="G22" s="47"/>
      <c r="H22" s="48"/>
      <c r="I22" s="49"/>
      <c r="J22" s="46"/>
      <c r="K22" s="16"/>
      <c r="L22" s="16"/>
      <c r="M22" s="42"/>
      <c r="N22" s="42"/>
      <c r="O22" s="46"/>
      <c r="P22" s="42"/>
      <c r="Q22" s="50">
        <f t="shared" si="0"/>
        <v>1</v>
      </c>
      <c r="R22" s="50">
        <f t="shared" si="1"/>
        <v>1</v>
      </c>
    </row>
    <row r="23" spans="1:18" ht="14.25" x14ac:dyDescent="0.2">
      <c r="A23" s="42">
        <v>20</v>
      </c>
      <c r="B23" s="43"/>
      <c r="C23" s="44"/>
      <c r="D23" s="16"/>
      <c r="E23" s="16"/>
      <c r="F23" s="46"/>
      <c r="G23" s="47"/>
      <c r="H23" s="48"/>
      <c r="I23" s="49"/>
      <c r="J23" s="46"/>
      <c r="K23" s="16"/>
      <c r="L23" s="16"/>
      <c r="M23" s="42"/>
      <c r="N23" s="42"/>
      <c r="O23" s="46"/>
      <c r="P23" s="42"/>
      <c r="Q23" s="50">
        <f t="shared" si="0"/>
        <v>1</v>
      </c>
      <c r="R23" s="50">
        <f t="shared" si="1"/>
        <v>1</v>
      </c>
    </row>
    <row r="24" spans="1:18" ht="14.25" x14ac:dyDescent="0.2">
      <c r="A24" s="42">
        <v>21</v>
      </c>
      <c r="B24" s="43"/>
      <c r="C24" s="44"/>
      <c r="D24" s="16"/>
      <c r="E24" s="16"/>
      <c r="F24" s="46"/>
      <c r="G24" s="47"/>
      <c r="H24" s="48"/>
      <c r="I24" s="49"/>
      <c r="J24" s="46"/>
      <c r="K24" s="16"/>
      <c r="L24" s="16"/>
      <c r="M24" s="42"/>
      <c r="N24" s="42"/>
      <c r="O24" s="46"/>
      <c r="P24" s="42"/>
      <c r="Q24" s="50">
        <f t="shared" si="0"/>
        <v>1</v>
      </c>
      <c r="R24" s="50">
        <f t="shared" si="1"/>
        <v>1</v>
      </c>
    </row>
    <row r="25" spans="1:18" ht="14.25" x14ac:dyDescent="0.2">
      <c r="A25" s="42">
        <v>22</v>
      </c>
      <c r="B25" s="43"/>
      <c r="C25" s="44"/>
      <c r="D25" s="16"/>
      <c r="E25" s="16"/>
      <c r="F25" s="46"/>
      <c r="G25" s="47"/>
      <c r="H25" s="48"/>
      <c r="I25" s="49"/>
      <c r="J25" s="46"/>
      <c r="K25" s="16"/>
      <c r="L25" s="16"/>
      <c r="M25" s="42"/>
      <c r="N25" s="42"/>
      <c r="O25" s="46"/>
      <c r="P25" s="42"/>
      <c r="Q25" s="50">
        <f t="shared" si="0"/>
        <v>1</v>
      </c>
      <c r="R25" s="50">
        <f t="shared" si="1"/>
        <v>1</v>
      </c>
    </row>
    <row r="26" spans="1:18" ht="14.25" x14ac:dyDescent="0.2">
      <c r="A26" s="42">
        <v>23</v>
      </c>
      <c r="B26" s="43"/>
      <c r="C26" s="44"/>
      <c r="D26" s="16"/>
      <c r="E26" s="16"/>
      <c r="F26" s="46"/>
      <c r="G26" s="47"/>
      <c r="H26" s="48"/>
      <c r="I26" s="49"/>
      <c r="J26" s="46"/>
      <c r="K26" s="16"/>
      <c r="L26" s="16"/>
      <c r="M26" s="42"/>
      <c r="N26" s="42"/>
      <c r="O26" s="46"/>
      <c r="P26" s="42"/>
      <c r="Q26" s="50">
        <f t="shared" si="0"/>
        <v>1</v>
      </c>
      <c r="R26" s="50">
        <f t="shared" si="1"/>
        <v>1</v>
      </c>
    </row>
    <row r="27" spans="1:18" ht="14.25" x14ac:dyDescent="0.2">
      <c r="A27" s="42">
        <v>24</v>
      </c>
      <c r="B27" s="43"/>
      <c r="C27" s="44"/>
      <c r="D27" s="16"/>
      <c r="E27" s="16"/>
      <c r="F27" s="46"/>
      <c r="G27" s="47"/>
      <c r="H27" s="48"/>
      <c r="I27" s="49"/>
      <c r="J27" s="46"/>
      <c r="K27" s="16"/>
      <c r="L27" s="16"/>
      <c r="M27" s="42"/>
      <c r="N27" s="42"/>
      <c r="O27" s="46"/>
      <c r="P27" s="42"/>
      <c r="Q27" s="50">
        <f t="shared" si="0"/>
        <v>1</v>
      </c>
      <c r="R27" s="50">
        <f t="shared" si="1"/>
        <v>1</v>
      </c>
    </row>
    <row r="28" spans="1:18" ht="14.25" x14ac:dyDescent="0.2">
      <c r="A28" s="42">
        <v>25</v>
      </c>
      <c r="B28" s="43"/>
      <c r="C28" s="44"/>
      <c r="D28" s="16"/>
      <c r="E28" s="16"/>
      <c r="F28" s="46"/>
      <c r="G28" s="47"/>
      <c r="H28" s="48"/>
      <c r="I28" s="49"/>
      <c r="J28" s="46"/>
      <c r="K28" s="16"/>
      <c r="L28" s="16"/>
      <c r="M28" s="42"/>
      <c r="N28" s="42"/>
      <c r="O28" s="46"/>
      <c r="P28" s="42"/>
      <c r="Q28" s="50">
        <f t="shared" si="0"/>
        <v>1</v>
      </c>
      <c r="R28" s="50">
        <f t="shared" si="1"/>
        <v>1</v>
      </c>
    </row>
    <row r="29" spans="1:18" ht="14.25" x14ac:dyDescent="0.2">
      <c r="A29" s="42">
        <v>26</v>
      </c>
      <c r="B29" s="43"/>
      <c r="C29" s="44"/>
      <c r="D29" s="16"/>
      <c r="E29" s="16"/>
      <c r="F29" s="46"/>
      <c r="G29" s="47"/>
      <c r="H29" s="48"/>
      <c r="I29" s="49"/>
      <c r="J29" s="46"/>
      <c r="K29" s="16"/>
      <c r="L29" s="16"/>
      <c r="M29" s="42"/>
      <c r="N29" s="42"/>
      <c r="O29" s="46"/>
      <c r="P29" s="42"/>
      <c r="Q29" s="50">
        <f t="shared" si="0"/>
        <v>1</v>
      </c>
      <c r="R29" s="50">
        <f t="shared" si="1"/>
        <v>1</v>
      </c>
    </row>
    <row r="30" spans="1:18" ht="14.25" x14ac:dyDescent="0.2">
      <c r="A30" s="42">
        <v>27</v>
      </c>
      <c r="B30" s="43"/>
      <c r="C30" s="44"/>
      <c r="D30" s="16"/>
      <c r="E30" s="16"/>
      <c r="F30" s="46"/>
      <c r="G30" s="47"/>
      <c r="H30" s="48"/>
      <c r="I30" s="49"/>
      <c r="J30" s="46"/>
      <c r="K30" s="16"/>
      <c r="L30" s="16"/>
      <c r="M30" s="42"/>
      <c r="N30" s="42"/>
      <c r="O30" s="46"/>
      <c r="P30" s="42"/>
      <c r="Q30" s="50">
        <f t="shared" si="0"/>
        <v>1</v>
      </c>
      <c r="R30" s="50">
        <f t="shared" si="1"/>
        <v>1</v>
      </c>
    </row>
    <row r="31" spans="1:18" ht="14.25" x14ac:dyDescent="0.2">
      <c r="A31" s="42">
        <v>28</v>
      </c>
      <c r="B31" s="43"/>
      <c r="C31" s="44"/>
      <c r="D31" s="16"/>
      <c r="E31" s="16"/>
      <c r="F31" s="46"/>
      <c r="G31" s="47"/>
      <c r="H31" s="48"/>
      <c r="I31" s="49"/>
      <c r="J31" s="46"/>
      <c r="K31" s="16"/>
      <c r="L31" s="16"/>
      <c r="M31" s="42"/>
      <c r="N31" s="42"/>
      <c r="O31" s="46"/>
      <c r="P31" s="42"/>
      <c r="Q31" s="50">
        <f t="shared" si="0"/>
        <v>1</v>
      </c>
      <c r="R31" s="50">
        <f t="shared" si="1"/>
        <v>1</v>
      </c>
    </row>
    <row r="32" spans="1:18" ht="14.25" x14ac:dyDescent="0.2">
      <c r="A32" s="42">
        <v>29</v>
      </c>
      <c r="B32" s="43"/>
      <c r="C32" s="44"/>
      <c r="D32" s="16"/>
      <c r="E32" s="16"/>
      <c r="F32" s="46"/>
      <c r="G32" s="47"/>
      <c r="H32" s="48"/>
      <c r="I32" s="49"/>
      <c r="J32" s="46"/>
      <c r="K32" s="16"/>
      <c r="L32" s="16"/>
      <c r="M32" s="42"/>
      <c r="N32" s="42"/>
      <c r="O32" s="46"/>
      <c r="P32" s="42"/>
      <c r="Q32" s="50">
        <f t="shared" si="0"/>
        <v>1</v>
      </c>
      <c r="R32" s="50">
        <f t="shared" si="1"/>
        <v>1</v>
      </c>
    </row>
    <row r="33" spans="1:18" ht="14.25" x14ac:dyDescent="0.2">
      <c r="A33" s="42">
        <v>30</v>
      </c>
      <c r="B33" s="43"/>
      <c r="C33" s="44"/>
      <c r="D33" s="16"/>
      <c r="E33" s="16"/>
      <c r="F33" s="46"/>
      <c r="G33" s="47"/>
      <c r="H33" s="48"/>
      <c r="I33" s="49"/>
      <c r="J33" s="46"/>
      <c r="K33" s="16"/>
      <c r="L33" s="16"/>
      <c r="M33" s="42"/>
      <c r="N33" s="42"/>
      <c r="O33" s="46"/>
      <c r="P33" s="42"/>
      <c r="Q33" s="50">
        <f t="shared" si="0"/>
        <v>1</v>
      </c>
      <c r="R33" s="50">
        <f t="shared" si="1"/>
        <v>1</v>
      </c>
    </row>
    <row r="34" spans="1:18" ht="14.25" x14ac:dyDescent="0.2">
      <c r="A34" s="42">
        <v>31</v>
      </c>
      <c r="B34" s="43"/>
      <c r="C34" s="44"/>
      <c r="D34" s="16"/>
      <c r="E34" s="16"/>
      <c r="F34" s="46"/>
      <c r="G34" s="47"/>
      <c r="H34" s="48"/>
      <c r="I34" s="49"/>
      <c r="J34" s="46"/>
      <c r="K34" s="16"/>
      <c r="L34" s="16"/>
      <c r="M34" s="42"/>
      <c r="N34" s="42"/>
      <c r="O34" s="46"/>
      <c r="P34" s="42"/>
      <c r="Q34" s="50">
        <f t="shared" si="0"/>
        <v>1</v>
      </c>
      <c r="R34" s="50">
        <f t="shared" si="1"/>
        <v>1</v>
      </c>
    </row>
    <row r="35" spans="1:18" ht="14.25" x14ac:dyDescent="0.2">
      <c r="A35" s="42">
        <v>32</v>
      </c>
      <c r="B35" s="43"/>
      <c r="C35" s="44"/>
      <c r="D35" s="16"/>
      <c r="E35" s="16"/>
      <c r="F35" s="46"/>
      <c r="G35" s="47"/>
      <c r="H35" s="48"/>
      <c r="I35" s="49"/>
      <c r="J35" s="46"/>
      <c r="K35" s="16"/>
      <c r="L35" s="16"/>
      <c r="M35" s="42"/>
      <c r="N35" s="42"/>
      <c r="O35" s="46"/>
      <c r="P35" s="42"/>
      <c r="Q35" s="50">
        <f t="shared" si="0"/>
        <v>1</v>
      </c>
      <c r="R35" s="50">
        <f t="shared" si="1"/>
        <v>1</v>
      </c>
    </row>
    <row r="36" spans="1:18" ht="14.25" x14ac:dyDescent="0.2">
      <c r="A36" s="42">
        <v>33</v>
      </c>
      <c r="B36" s="43"/>
      <c r="C36" s="44"/>
      <c r="D36" s="16"/>
      <c r="E36" s="16"/>
      <c r="F36" s="46"/>
      <c r="G36" s="47"/>
      <c r="H36" s="48"/>
      <c r="I36" s="49"/>
      <c r="J36" s="46"/>
      <c r="K36" s="16"/>
      <c r="L36" s="16"/>
      <c r="M36" s="42"/>
      <c r="N36" s="42"/>
      <c r="O36" s="46"/>
      <c r="P36" s="42"/>
      <c r="Q36" s="50">
        <f t="shared" si="0"/>
        <v>1</v>
      </c>
      <c r="R36" s="50">
        <f t="shared" si="1"/>
        <v>1</v>
      </c>
    </row>
    <row r="37" spans="1:18" ht="14.25" x14ac:dyDescent="0.2">
      <c r="A37" s="42">
        <v>34</v>
      </c>
      <c r="B37" s="43"/>
      <c r="C37" s="44"/>
      <c r="D37" s="16"/>
      <c r="E37" s="16"/>
      <c r="F37" s="46"/>
      <c r="G37" s="47"/>
      <c r="H37" s="48"/>
      <c r="I37" s="49"/>
      <c r="J37" s="46"/>
      <c r="K37" s="16"/>
      <c r="L37" s="16"/>
      <c r="M37" s="42"/>
      <c r="N37" s="42"/>
      <c r="O37" s="46"/>
      <c r="P37" s="42"/>
      <c r="Q37" s="50">
        <f t="shared" si="0"/>
        <v>1</v>
      </c>
      <c r="R37" s="50">
        <f t="shared" si="1"/>
        <v>1</v>
      </c>
    </row>
    <row r="38" spans="1:18" ht="14.25" x14ac:dyDescent="0.2">
      <c r="A38" s="42">
        <v>35</v>
      </c>
      <c r="B38" s="43"/>
      <c r="C38" s="44"/>
      <c r="D38" s="16"/>
      <c r="E38" s="16"/>
      <c r="F38" s="46"/>
      <c r="G38" s="47"/>
      <c r="H38" s="48"/>
      <c r="I38" s="49"/>
      <c r="J38" s="46"/>
      <c r="K38" s="16"/>
      <c r="L38" s="16"/>
      <c r="M38" s="42"/>
      <c r="N38" s="42"/>
      <c r="O38" s="46"/>
      <c r="P38" s="42"/>
      <c r="Q38" s="50">
        <f t="shared" si="0"/>
        <v>1</v>
      </c>
      <c r="R38" s="50">
        <f t="shared" si="1"/>
        <v>1</v>
      </c>
    </row>
    <row r="39" spans="1:18" ht="14.25" x14ac:dyDescent="0.2">
      <c r="A39" s="42">
        <v>36</v>
      </c>
      <c r="B39" s="43"/>
      <c r="C39" s="44"/>
      <c r="D39" s="16"/>
      <c r="E39" s="16"/>
      <c r="F39" s="46"/>
      <c r="G39" s="47"/>
      <c r="H39" s="48"/>
      <c r="I39" s="49"/>
      <c r="J39" s="46"/>
      <c r="K39" s="16"/>
      <c r="L39" s="16"/>
      <c r="M39" s="42"/>
      <c r="N39" s="42"/>
      <c r="O39" s="46"/>
      <c r="P39" s="42"/>
      <c r="Q39" s="50">
        <f t="shared" si="0"/>
        <v>1</v>
      </c>
      <c r="R39" s="50">
        <f t="shared" si="1"/>
        <v>1</v>
      </c>
    </row>
    <row r="40" spans="1:18" ht="14.25" x14ac:dyDescent="0.2">
      <c r="A40" s="42">
        <v>37</v>
      </c>
      <c r="B40" s="43"/>
      <c r="C40" s="44"/>
      <c r="D40" s="16"/>
      <c r="E40" s="16"/>
      <c r="F40" s="46"/>
      <c r="G40" s="47"/>
      <c r="H40" s="48"/>
      <c r="I40" s="49"/>
      <c r="J40" s="46"/>
      <c r="K40" s="16"/>
      <c r="L40" s="16"/>
      <c r="M40" s="42"/>
      <c r="N40" s="42"/>
      <c r="O40" s="46"/>
      <c r="P40" s="42"/>
      <c r="Q40" s="50">
        <f t="shared" si="0"/>
        <v>1</v>
      </c>
      <c r="R40" s="50">
        <f t="shared" si="1"/>
        <v>1</v>
      </c>
    </row>
    <row r="41" spans="1:18" ht="14.25" x14ac:dyDescent="0.2">
      <c r="A41" s="42">
        <v>38</v>
      </c>
      <c r="B41" s="43"/>
      <c r="C41" s="44"/>
      <c r="D41" s="16"/>
      <c r="E41" s="16"/>
      <c r="F41" s="46"/>
      <c r="G41" s="47"/>
      <c r="H41" s="48"/>
      <c r="I41" s="49"/>
      <c r="J41" s="46"/>
      <c r="K41" s="16"/>
      <c r="L41" s="16"/>
      <c r="M41" s="42"/>
      <c r="N41" s="42"/>
      <c r="O41" s="46"/>
      <c r="P41" s="42"/>
      <c r="Q41" s="50">
        <f t="shared" si="0"/>
        <v>1</v>
      </c>
      <c r="R41" s="50">
        <f t="shared" si="1"/>
        <v>1</v>
      </c>
    </row>
    <row r="42" spans="1:18" ht="14.25" x14ac:dyDescent="0.2">
      <c r="A42" s="42">
        <v>39</v>
      </c>
      <c r="B42" s="43"/>
      <c r="C42" s="44"/>
      <c r="D42" s="16"/>
      <c r="E42" s="16"/>
      <c r="F42" s="46"/>
      <c r="G42" s="47"/>
      <c r="H42" s="48"/>
      <c r="I42" s="49"/>
      <c r="J42" s="46"/>
      <c r="K42" s="16"/>
      <c r="L42" s="16"/>
      <c r="M42" s="42"/>
      <c r="N42" s="42"/>
      <c r="O42" s="46"/>
      <c r="P42" s="42"/>
      <c r="Q42" s="50">
        <f t="shared" si="0"/>
        <v>1</v>
      </c>
      <c r="R42" s="50">
        <f t="shared" si="1"/>
        <v>1</v>
      </c>
    </row>
    <row r="43" spans="1:18" ht="14.25" x14ac:dyDescent="0.2">
      <c r="A43" s="42">
        <v>40</v>
      </c>
      <c r="B43" s="43"/>
      <c r="C43" s="44"/>
      <c r="D43" s="16"/>
      <c r="E43" s="16"/>
      <c r="F43" s="46"/>
      <c r="G43" s="47"/>
      <c r="H43" s="48"/>
      <c r="I43" s="49"/>
      <c r="J43" s="46"/>
      <c r="K43" s="16"/>
      <c r="L43" s="16"/>
      <c r="M43" s="42"/>
      <c r="N43" s="42"/>
      <c r="O43" s="46"/>
      <c r="P43" s="42"/>
      <c r="Q43" s="50">
        <f t="shared" si="0"/>
        <v>1</v>
      </c>
      <c r="R43" s="50">
        <f t="shared" si="1"/>
        <v>1</v>
      </c>
    </row>
    <row r="44" spans="1:18" ht="14.25" x14ac:dyDescent="0.2">
      <c r="A44" s="42">
        <v>41</v>
      </c>
      <c r="B44" s="43"/>
      <c r="C44" s="44"/>
      <c r="D44" s="16"/>
      <c r="E44" s="16"/>
      <c r="F44" s="46"/>
      <c r="G44" s="47"/>
      <c r="H44" s="48"/>
      <c r="I44" s="49"/>
      <c r="J44" s="46"/>
      <c r="K44" s="16"/>
      <c r="L44" s="16"/>
      <c r="M44" s="42"/>
      <c r="N44" s="42"/>
      <c r="O44" s="46"/>
      <c r="P44" s="42"/>
      <c r="Q44" s="50">
        <f t="shared" si="0"/>
        <v>1</v>
      </c>
      <c r="R44" s="50">
        <f t="shared" si="1"/>
        <v>1</v>
      </c>
    </row>
    <row r="45" spans="1:18" ht="14.25" x14ac:dyDescent="0.2">
      <c r="A45" s="42">
        <v>42</v>
      </c>
      <c r="B45" s="43"/>
      <c r="C45" s="44"/>
      <c r="D45" s="16"/>
      <c r="E45" s="16"/>
      <c r="F45" s="46"/>
      <c r="G45" s="47"/>
      <c r="H45" s="48"/>
      <c r="I45" s="49"/>
      <c r="J45" s="46"/>
      <c r="K45" s="16"/>
      <c r="L45" s="16"/>
      <c r="M45" s="42"/>
      <c r="N45" s="42"/>
      <c r="O45" s="46"/>
      <c r="P45" s="42"/>
      <c r="Q45" s="50">
        <f t="shared" si="0"/>
        <v>1</v>
      </c>
      <c r="R45" s="50">
        <f t="shared" si="1"/>
        <v>1</v>
      </c>
    </row>
    <row r="46" spans="1:18" ht="14.25" x14ac:dyDescent="0.2">
      <c r="A46" s="42">
        <v>43</v>
      </c>
      <c r="B46" s="43"/>
      <c r="C46" s="44"/>
      <c r="D46" s="16"/>
      <c r="E46" s="16"/>
      <c r="F46" s="46"/>
      <c r="G46" s="47"/>
      <c r="H46" s="48"/>
      <c r="I46" s="49"/>
      <c r="J46" s="46"/>
      <c r="K46" s="16"/>
      <c r="L46" s="16"/>
      <c r="M46" s="42"/>
      <c r="N46" s="42"/>
      <c r="O46" s="46"/>
      <c r="P46" s="42"/>
      <c r="Q46" s="50">
        <f t="shared" si="0"/>
        <v>1</v>
      </c>
      <c r="R46" s="50">
        <f t="shared" si="1"/>
        <v>1</v>
      </c>
    </row>
    <row r="47" spans="1:18" ht="14.25" x14ac:dyDescent="0.2">
      <c r="A47" s="42">
        <v>44</v>
      </c>
      <c r="B47" s="43"/>
      <c r="C47" s="44"/>
      <c r="D47" s="16"/>
      <c r="E47" s="16"/>
      <c r="F47" s="46"/>
      <c r="G47" s="47"/>
      <c r="H47" s="48"/>
      <c r="I47" s="49"/>
      <c r="J47" s="46"/>
      <c r="K47" s="16"/>
      <c r="L47" s="16"/>
      <c r="M47" s="42"/>
      <c r="N47" s="42"/>
      <c r="O47" s="46"/>
      <c r="P47" s="42"/>
      <c r="Q47" s="50">
        <f t="shared" si="0"/>
        <v>1</v>
      </c>
      <c r="R47" s="50">
        <f t="shared" si="1"/>
        <v>1</v>
      </c>
    </row>
    <row r="48" spans="1:18" ht="14.25" x14ac:dyDescent="0.2">
      <c r="A48" s="42">
        <v>45</v>
      </c>
      <c r="B48" s="43"/>
      <c r="C48" s="44"/>
      <c r="D48" s="16"/>
      <c r="E48" s="16"/>
      <c r="F48" s="46"/>
      <c r="G48" s="47"/>
      <c r="H48" s="48"/>
      <c r="I48" s="49"/>
      <c r="J48" s="46"/>
      <c r="K48" s="16"/>
      <c r="L48" s="16"/>
      <c r="M48" s="42"/>
      <c r="N48" s="42"/>
      <c r="O48" s="46"/>
      <c r="P48" s="42"/>
      <c r="Q48" s="50">
        <f t="shared" si="0"/>
        <v>1</v>
      </c>
      <c r="R48" s="50">
        <f t="shared" si="1"/>
        <v>1</v>
      </c>
    </row>
    <row r="49" spans="1:18" ht="14.25" x14ac:dyDescent="0.2">
      <c r="A49" s="42">
        <v>46</v>
      </c>
      <c r="B49" s="43"/>
      <c r="C49" s="44"/>
      <c r="D49" s="16"/>
      <c r="E49" s="16"/>
      <c r="F49" s="46"/>
      <c r="G49" s="47"/>
      <c r="H49" s="48"/>
      <c r="I49" s="49"/>
      <c r="J49" s="46"/>
      <c r="K49" s="16"/>
      <c r="L49" s="16"/>
      <c r="M49" s="42"/>
      <c r="N49" s="42"/>
      <c r="O49" s="46"/>
      <c r="P49" s="42"/>
      <c r="Q49" s="50">
        <f t="shared" si="0"/>
        <v>1</v>
      </c>
      <c r="R49" s="50">
        <f t="shared" si="1"/>
        <v>1</v>
      </c>
    </row>
    <row r="50" spans="1:18" ht="14.25" x14ac:dyDescent="0.2">
      <c r="A50" s="42">
        <v>47</v>
      </c>
      <c r="B50" s="43"/>
      <c r="C50" s="44"/>
      <c r="D50" s="16"/>
      <c r="E50" s="16"/>
      <c r="F50" s="46"/>
      <c r="G50" s="47"/>
      <c r="H50" s="48"/>
      <c r="I50" s="49"/>
      <c r="J50" s="46"/>
      <c r="K50" s="16"/>
      <c r="L50" s="16"/>
      <c r="M50" s="42"/>
      <c r="N50" s="42"/>
      <c r="O50" s="46"/>
      <c r="P50" s="42"/>
      <c r="Q50" s="50">
        <f t="shared" si="0"/>
        <v>1</v>
      </c>
      <c r="R50" s="50">
        <f t="shared" si="1"/>
        <v>1</v>
      </c>
    </row>
    <row r="51" spans="1:18" ht="14.25" x14ac:dyDescent="0.2">
      <c r="A51" s="42">
        <v>48</v>
      </c>
      <c r="B51" s="43"/>
      <c r="C51" s="44"/>
      <c r="D51" s="16"/>
      <c r="E51" s="16"/>
      <c r="F51" s="46"/>
      <c r="G51" s="47"/>
      <c r="H51" s="48"/>
      <c r="I51" s="49"/>
      <c r="J51" s="46"/>
      <c r="K51" s="16"/>
      <c r="L51" s="16"/>
      <c r="M51" s="42"/>
      <c r="N51" s="42"/>
      <c r="O51" s="46"/>
      <c r="P51" s="42"/>
      <c r="Q51" s="50">
        <f t="shared" si="0"/>
        <v>1</v>
      </c>
      <c r="R51" s="50">
        <f t="shared" si="1"/>
        <v>1</v>
      </c>
    </row>
    <row r="52" spans="1:18" ht="14.25" x14ac:dyDescent="0.2">
      <c r="A52" s="42">
        <v>49</v>
      </c>
      <c r="B52" s="43"/>
      <c r="C52" s="44"/>
      <c r="D52" s="16"/>
      <c r="E52" s="16"/>
      <c r="F52" s="46"/>
      <c r="G52" s="47"/>
      <c r="H52" s="48"/>
      <c r="I52" s="49"/>
      <c r="J52" s="46"/>
      <c r="K52" s="16"/>
      <c r="L52" s="16"/>
      <c r="M52" s="42"/>
      <c r="N52" s="42"/>
      <c r="O52" s="46"/>
      <c r="P52" s="42"/>
      <c r="Q52" s="50">
        <f t="shared" si="0"/>
        <v>1</v>
      </c>
      <c r="R52" s="50">
        <f t="shared" si="1"/>
        <v>1</v>
      </c>
    </row>
    <row r="53" spans="1:18" ht="14.25" x14ac:dyDescent="0.2">
      <c r="A53" s="42">
        <v>50</v>
      </c>
      <c r="B53" s="43"/>
      <c r="C53" s="44"/>
      <c r="D53" s="16"/>
      <c r="E53" s="16"/>
      <c r="F53" s="46"/>
      <c r="G53" s="47"/>
      <c r="H53" s="48"/>
      <c r="I53" s="49"/>
      <c r="J53" s="46"/>
      <c r="K53" s="16"/>
      <c r="L53" s="16"/>
      <c r="M53" s="42"/>
      <c r="N53" s="42"/>
      <c r="O53" s="46"/>
      <c r="P53" s="42"/>
      <c r="Q53" s="50">
        <f t="shared" si="0"/>
        <v>1</v>
      </c>
      <c r="R53" s="50">
        <f t="shared" si="1"/>
        <v>1</v>
      </c>
    </row>
    <row r="54" spans="1:18" ht="14.25" x14ac:dyDescent="0.2">
      <c r="A54" s="42">
        <v>51</v>
      </c>
      <c r="B54" s="43"/>
      <c r="C54" s="44"/>
      <c r="D54" s="16"/>
      <c r="E54" s="16"/>
      <c r="F54" s="46"/>
      <c r="G54" s="47"/>
      <c r="H54" s="48"/>
      <c r="I54" s="49"/>
      <c r="J54" s="46"/>
      <c r="K54" s="16"/>
      <c r="L54" s="16"/>
      <c r="M54" s="42"/>
      <c r="N54" s="42"/>
      <c r="O54" s="46"/>
      <c r="P54" s="42"/>
      <c r="Q54" s="50">
        <f t="shared" si="0"/>
        <v>1</v>
      </c>
      <c r="R54" s="50">
        <f t="shared" si="1"/>
        <v>1</v>
      </c>
    </row>
    <row r="55" spans="1:18" ht="14.25" x14ac:dyDescent="0.2">
      <c r="A55" s="42">
        <v>52</v>
      </c>
      <c r="B55" s="43"/>
      <c r="C55" s="44"/>
      <c r="D55" s="16"/>
      <c r="E55" s="16"/>
      <c r="F55" s="46"/>
      <c r="G55" s="47"/>
      <c r="H55" s="48"/>
      <c r="I55" s="49"/>
      <c r="J55" s="46"/>
      <c r="K55" s="16"/>
      <c r="L55" s="16"/>
      <c r="M55" s="42"/>
      <c r="N55" s="42"/>
      <c r="O55" s="46"/>
      <c r="P55" s="42"/>
      <c r="Q55" s="50">
        <f t="shared" si="0"/>
        <v>1</v>
      </c>
      <c r="R55" s="50">
        <f t="shared" si="1"/>
        <v>1</v>
      </c>
    </row>
    <row r="56" spans="1:18" ht="14.25" x14ac:dyDescent="0.2">
      <c r="A56" s="42">
        <v>53</v>
      </c>
      <c r="B56" s="43"/>
      <c r="C56" s="44"/>
      <c r="D56" s="16"/>
      <c r="E56" s="16"/>
      <c r="F56" s="46"/>
      <c r="G56" s="47"/>
      <c r="H56" s="48"/>
      <c r="I56" s="49"/>
      <c r="J56" s="46"/>
      <c r="K56" s="16"/>
      <c r="L56" s="16"/>
      <c r="M56" s="42"/>
      <c r="N56" s="42"/>
      <c r="O56" s="46"/>
      <c r="P56" s="42"/>
      <c r="Q56" s="50">
        <f t="shared" si="0"/>
        <v>1</v>
      </c>
      <c r="R56" s="50">
        <f t="shared" si="1"/>
        <v>1</v>
      </c>
    </row>
    <row r="57" spans="1:18" ht="14.25" x14ac:dyDescent="0.2">
      <c r="A57" s="42">
        <v>54</v>
      </c>
      <c r="B57" s="43"/>
      <c r="C57" s="44"/>
      <c r="D57" s="16"/>
      <c r="E57" s="16"/>
      <c r="F57" s="46"/>
      <c r="G57" s="47"/>
      <c r="H57" s="48"/>
      <c r="I57" s="49"/>
      <c r="J57" s="46"/>
      <c r="K57" s="16"/>
      <c r="L57" s="16"/>
      <c r="M57" s="42"/>
      <c r="N57" s="42"/>
      <c r="O57" s="46"/>
      <c r="P57" s="42"/>
      <c r="Q57" s="50">
        <f t="shared" si="0"/>
        <v>1</v>
      </c>
      <c r="R57" s="50">
        <f t="shared" si="1"/>
        <v>1</v>
      </c>
    </row>
    <row r="58" spans="1:18" ht="14.25" x14ac:dyDescent="0.2">
      <c r="A58" s="42">
        <v>55</v>
      </c>
      <c r="B58" s="43"/>
      <c r="C58" s="44"/>
      <c r="D58" s="16"/>
      <c r="E58" s="16"/>
      <c r="F58" s="46"/>
      <c r="G58" s="47"/>
      <c r="H58" s="48"/>
      <c r="I58" s="49"/>
      <c r="J58" s="46"/>
      <c r="K58" s="16"/>
      <c r="L58" s="16"/>
      <c r="M58" s="42"/>
      <c r="N58" s="42"/>
      <c r="O58" s="46"/>
      <c r="P58" s="42"/>
      <c r="Q58" s="50">
        <f t="shared" si="0"/>
        <v>1</v>
      </c>
      <c r="R58" s="50">
        <f t="shared" si="1"/>
        <v>1</v>
      </c>
    </row>
    <row r="59" spans="1:18" ht="14.25" x14ac:dyDescent="0.2">
      <c r="A59" s="42">
        <v>56</v>
      </c>
      <c r="B59" s="43"/>
      <c r="C59" s="44"/>
      <c r="D59" s="16"/>
      <c r="E59" s="16"/>
      <c r="F59" s="46"/>
      <c r="G59" s="47"/>
      <c r="H59" s="48"/>
      <c r="I59" s="49"/>
      <c r="J59" s="46"/>
      <c r="K59" s="16"/>
      <c r="L59" s="16"/>
      <c r="M59" s="42"/>
      <c r="N59" s="42"/>
      <c r="O59" s="46"/>
      <c r="P59" s="42"/>
      <c r="Q59" s="50">
        <f t="shared" si="0"/>
        <v>1</v>
      </c>
      <c r="R59" s="50">
        <f t="shared" si="1"/>
        <v>1</v>
      </c>
    </row>
    <row r="60" spans="1:18" ht="14.25" x14ac:dyDescent="0.2">
      <c r="A60" s="42">
        <v>57</v>
      </c>
      <c r="B60" s="43"/>
      <c r="C60" s="44"/>
      <c r="D60" s="16"/>
      <c r="E60" s="16"/>
      <c r="F60" s="46"/>
      <c r="G60" s="47"/>
      <c r="H60" s="48"/>
      <c r="I60" s="49"/>
      <c r="J60" s="46"/>
      <c r="K60" s="16"/>
      <c r="L60" s="16"/>
      <c r="M60" s="42"/>
      <c r="N60" s="42"/>
      <c r="O60" s="46"/>
      <c r="P60" s="42"/>
      <c r="Q60" s="50">
        <f t="shared" si="0"/>
        <v>1</v>
      </c>
      <c r="R60" s="50">
        <f t="shared" si="1"/>
        <v>1</v>
      </c>
    </row>
    <row r="61" spans="1:18" ht="14.25" x14ac:dyDescent="0.2">
      <c r="A61" s="42">
        <v>58</v>
      </c>
      <c r="B61" s="43"/>
      <c r="C61" s="44"/>
      <c r="D61" s="16"/>
      <c r="E61" s="16"/>
      <c r="F61" s="46"/>
      <c r="G61" s="47"/>
      <c r="H61" s="48"/>
      <c r="I61" s="49"/>
      <c r="J61" s="46"/>
      <c r="K61" s="16"/>
      <c r="L61" s="16"/>
      <c r="M61" s="42"/>
      <c r="N61" s="42"/>
      <c r="O61" s="46"/>
      <c r="P61" s="42"/>
      <c r="Q61" s="50">
        <f t="shared" si="0"/>
        <v>1</v>
      </c>
      <c r="R61" s="50">
        <f t="shared" si="1"/>
        <v>1</v>
      </c>
    </row>
    <row r="62" spans="1:18" ht="14.25" x14ac:dyDescent="0.2">
      <c r="A62" s="42">
        <v>59</v>
      </c>
      <c r="B62" s="43"/>
      <c r="C62" s="44"/>
      <c r="D62" s="16"/>
      <c r="E62" s="16"/>
      <c r="F62" s="46"/>
      <c r="G62" s="47"/>
      <c r="H62" s="48"/>
      <c r="I62" s="49"/>
      <c r="J62" s="46"/>
      <c r="K62" s="16"/>
      <c r="L62" s="16"/>
      <c r="M62" s="42"/>
      <c r="N62" s="42"/>
      <c r="O62" s="46"/>
      <c r="P62" s="42"/>
      <c r="Q62" s="50">
        <f t="shared" si="0"/>
        <v>1</v>
      </c>
      <c r="R62" s="50">
        <f t="shared" si="1"/>
        <v>1</v>
      </c>
    </row>
    <row r="63" spans="1:18" ht="14.25" x14ac:dyDescent="0.2">
      <c r="A63" s="42">
        <v>60</v>
      </c>
      <c r="B63" s="43"/>
      <c r="C63" s="44"/>
      <c r="D63" s="16"/>
      <c r="E63" s="16"/>
      <c r="F63" s="46"/>
      <c r="G63" s="47"/>
      <c r="H63" s="48"/>
      <c r="I63" s="49"/>
      <c r="J63" s="46"/>
      <c r="K63" s="16"/>
      <c r="L63" s="16"/>
      <c r="M63" s="42"/>
      <c r="N63" s="42"/>
      <c r="O63" s="46"/>
      <c r="P63" s="42"/>
      <c r="Q63" s="50">
        <f t="shared" si="0"/>
        <v>1</v>
      </c>
      <c r="R63" s="50">
        <f t="shared" si="1"/>
        <v>1</v>
      </c>
    </row>
    <row r="64" spans="1:18" ht="14.25" x14ac:dyDescent="0.2">
      <c r="A64" s="42">
        <v>61</v>
      </c>
      <c r="B64" s="43"/>
      <c r="C64" s="44"/>
      <c r="D64" s="16"/>
      <c r="E64" s="16"/>
      <c r="F64" s="46"/>
      <c r="G64" s="47"/>
      <c r="H64" s="48"/>
      <c r="I64" s="49"/>
      <c r="J64" s="46"/>
      <c r="K64" s="16"/>
      <c r="L64" s="16"/>
      <c r="M64" s="42"/>
      <c r="N64" s="42"/>
      <c r="O64" s="46"/>
      <c r="P64" s="42"/>
      <c r="Q64" s="50">
        <f t="shared" si="0"/>
        <v>1</v>
      </c>
      <c r="R64" s="50">
        <f t="shared" si="1"/>
        <v>1</v>
      </c>
    </row>
    <row r="65" spans="1:18" ht="14.25" x14ac:dyDescent="0.2">
      <c r="A65" s="42">
        <v>62</v>
      </c>
      <c r="B65" s="43"/>
      <c r="C65" s="44"/>
      <c r="D65" s="16"/>
      <c r="E65" s="16"/>
      <c r="F65" s="46"/>
      <c r="G65" s="47"/>
      <c r="H65" s="48"/>
      <c r="I65" s="49"/>
      <c r="J65" s="46"/>
      <c r="K65" s="16"/>
      <c r="L65" s="16"/>
      <c r="M65" s="42"/>
      <c r="N65" s="42"/>
      <c r="O65" s="46"/>
      <c r="P65" s="42"/>
      <c r="Q65" s="50">
        <f t="shared" si="0"/>
        <v>1</v>
      </c>
      <c r="R65" s="50">
        <f t="shared" si="1"/>
        <v>1</v>
      </c>
    </row>
    <row r="66" spans="1:18" ht="14.25" x14ac:dyDescent="0.2">
      <c r="A66" s="42">
        <v>63</v>
      </c>
      <c r="B66" s="43"/>
      <c r="C66" s="44"/>
      <c r="D66" s="16"/>
      <c r="E66" s="16"/>
      <c r="F66" s="46"/>
      <c r="G66" s="47"/>
      <c r="H66" s="48"/>
      <c r="I66" s="49"/>
      <c r="J66" s="46"/>
      <c r="K66" s="16"/>
      <c r="L66" s="16"/>
      <c r="M66" s="42"/>
      <c r="N66" s="42"/>
      <c r="O66" s="46"/>
      <c r="P66" s="42"/>
      <c r="Q66" s="50">
        <f t="shared" si="0"/>
        <v>1</v>
      </c>
      <c r="R66" s="50">
        <f t="shared" si="1"/>
        <v>1</v>
      </c>
    </row>
    <row r="67" spans="1:18" ht="14.25" x14ac:dyDescent="0.2">
      <c r="A67" s="42">
        <v>64</v>
      </c>
      <c r="B67" s="43"/>
      <c r="C67" s="44"/>
      <c r="D67" s="16"/>
      <c r="E67" s="16"/>
      <c r="F67" s="46"/>
      <c r="G67" s="47"/>
      <c r="H67" s="48"/>
      <c r="I67" s="49"/>
      <c r="J67" s="46"/>
      <c r="K67" s="16"/>
      <c r="L67" s="16"/>
      <c r="M67" s="42"/>
      <c r="N67" s="42"/>
      <c r="O67" s="46"/>
      <c r="P67" s="42"/>
      <c r="Q67" s="50">
        <f t="shared" si="0"/>
        <v>1</v>
      </c>
      <c r="R67" s="50">
        <f t="shared" si="1"/>
        <v>1</v>
      </c>
    </row>
    <row r="68" spans="1:18" ht="14.25" x14ac:dyDescent="0.2">
      <c r="A68" s="42">
        <v>65</v>
      </c>
      <c r="B68" s="43"/>
      <c r="C68" s="44"/>
      <c r="D68" s="16"/>
      <c r="E68" s="16"/>
      <c r="F68" s="46"/>
      <c r="G68" s="47"/>
      <c r="H68" s="48"/>
      <c r="I68" s="49"/>
      <c r="J68" s="46"/>
      <c r="K68" s="16"/>
      <c r="L68" s="16"/>
      <c r="M68" s="42"/>
      <c r="N68" s="42"/>
      <c r="O68" s="46"/>
      <c r="P68" s="42"/>
      <c r="Q68" s="50">
        <f t="shared" si="0"/>
        <v>1</v>
      </c>
      <c r="R68" s="50">
        <f t="shared" si="1"/>
        <v>1</v>
      </c>
    </row>
    <row r="69" spans="1:18" ht="14.25" x14ac:dyDescent="0.2">
      <c r="A69" s="42">
        <v>66</v>
      </c>
      <c r="B69" s="43"/>
      <c r="C69" s="44"/>
      <c r="D69" s="16"/>
      <c r="E69" s="16"/>
      <c r="F69" s="46"/>
      <c r="G69" s="47"/>
      <c r="H69" s="48"/>
      <c r="I69" s="49"/>
      <c r="J69" s="46"/>
      <c r="K69" s="16"/>
      <c r="L69" s="16"/>
      <c r="M69" s="42"/>
      <c r="N69" s="42"/>
      <c r="O69" s="46"/>
      <c r="P69" s="42"/>
      <c r="Q69" s="50">
        <f t="shared" ref="Q69:Q103" si="2">DAYS360(F69,J69,0)+1</f>
        <v>1</v>
      </c>
      <c r="R69" s="50">
        <f t="shared" ref="R69:R103" si="3">IFERROR((DAYS360(J69,O69,0)+1),1)</f>
        <v>1</v>
      </c>
    </row>
    <row r="70" spans="1:18" ht="14.25" x14ac:dyDescent="0.2">
      <c r="A70" s="42">
        <v>67</v>
      </c>
      <c r="B70" s="43"/>
      <c r="C70" s="44"/>
      <c r="D70" s="16"/>
      <c r="E70" s="16"/>
      <c r="F70" s="46"/>
      <c r="G70" s="47"/>
      <c r="H70" s="48"/>
      <c r="I70" s="49"/>
      <c r="J70" s="46"/>
      <c r="K70" s="16"/>
      <c r="L70" s="16"/>
      <c r="M70" s="42"/>
      <c r="N70" s="42"/>
      <c r="O70" s="46"/>
      <c r="P70" s="42"/>
      <c r="Q70" s="50">
        <f t="shared" si="2"/>
        <v>1</v>
      </c>
      <c r="R70" s="50">
        <f t="shared" si="3"/>
        <v>1</v>
      </c>
    </row>
    <row r="71" spans="1:18" ht="14.25" x14ac:dyDescent="0.2">
      <c r="A71" s="42">
        <v>68</v>
      </c>
      <c r="B71" s="43"/>
      <c r="C71" s="44"/>
      <c r="D71" s="16"/>
      <c r="E71" s="16"/>
      <c r="F71" s="46"/>
      <c r="G71" s="47"/>
      <c r="H71" s="48"/>
      <c r="I71" s="49"/>
      <c r="J71" s="46"/>
      <c r="K71" s="16"/>
      <c r="L71" s="16"/>
      <c r="M71" s="42"/>
      <c r="N71" s="42"/>
      <c r="O71" s="46"/>
      <c r="P71" s="42"/>
      <c r="Q71" s="50">
        <f t="shared" si="2"/>
        <v>1</v>
      </c>
      <c r="R71" s="50">
        <f t="shared" si="3"/>
        <v>1</v>
      </c>
    </row>
    <row r="72" spans="1:18" ht="14.25" x14ac:dyDescent="0.2">
      <c r="A72" s="42">
        <v>69</v>
      </c>
      <c r="B72" s="43"/>
      <c r="C72" s="44"/>
      <c r="D72" s="16"/>
      <c r="E72" s="16"/>
      <c r="F72" s="46"/>
      <c r="G72" s="47"/>
      <c r="H72" s="48"/>
      <c r="I72" s="49"/>
      <c r="J72" s="46"/>
      <c r="K72" s="16"/>
      <c r="L72" s="16"/>
      <c r="M72" s="42"/>
      <c r="N72" s="42"/>
      <c r="O72" s="46"/>
      <c r="P72" s="42"/>
      <c r="Q72" s="50">
        <f t="shared" si="2"/>
        <v>1</v>
      </c>
      <c r="R72" s="50">
        <f t="shared" si="3"/>
        <v>1</v>
      </c>
    </row>
    <row r="73" spans="1:18" ht="14.25" x14ac:dyDescent="0.2">
      <c r="A73" s="42">
        <v>70</v>
      </c>
      <c r="B73" s="43"/>
      <c r="C73" s="44"/>
      <c r="D73" s="16"/>
      <c r="E73" s="16"/>
      <c r="F73" s="46"/>
      <c r="G73" s="47"/>
      <c r="H73" s="48"/>
      <c r="I73" s="49"/>
      <c r="J73" s="46"/>
      <c r="K73" s="16"/>
      <c r="L73" s="16"/>
      <c r="M73" s="42"/>
      <c r="N73" s="42"/>
      <c r="O73" s="46"/>
      <c r="P73" s="42"/>
      <c r="Q73" s="50">
        <f t="shared" si="2"/>
        <v>1</v>
      </c>
      <c r="R73" s="50">
        <f t="shared" si="3"/>
        <v>1</v>
      </c>
    </row>
    <row r="74" spans="1:18" ht="14.25" x14ac:dyDescent="0.2">
      <c r="A74" s="42">
        <v>71</v>
      </c>
      <c r="B74" s="43"/>
      <c r="C74" s="44"/>
      <c r="D74" s="16"/>
      <c r="E74" s="16"/>
      <c r="F74" s="46"/>
      <c r="G74" s="47"/>
      <c r="H74" s="48"/>
      <c r="I74" s="49"/>
      <c r="J74" s="46"/>
      <c r="K74" s="16"/>
      <c r="L74" s="16"/>
      <c r="M74" s="42"/>
      <c r="N74" s="42"/>
      <c r="O74" s="46"/>
      <c r="P74" s="42"/>
      <c r="Q74" s="50">
        <f t="shared" si="2"/>
        <v>1</v>
      </c>
      <c r="R74" s="50">
        <f t="shared" si="3"/>
        <v>1</v>
      </c>
    </row>
    <row r="75" spans="1:18" ht="14.25" x14ac:dyDescent="0.2">
      <c r="A75" s="42">
        <v>72</v>
      </c>
      <c r="B75" s="43"/>
      <c r="C75" s="44"/>
      <c r="D75" s="16"/>
      <c r="E75" s="16"/>
      <c r="F75" s="46"/>
      <c r="G75" s="47"/>
      <c r="H75" s="48"/>
      <c r="I75" s="49"/>
      <c r="J75" s="46"/>
      <c r="K75" s="16"/>
      <c r="L75" s="16"/>
      <c r="M75" s="42"/>
      <c r="N75" s="42"/>
      <c r="O75" s="46"/>
      <c r="P75" s="42"/>
      <c r="Q75" s="50">
        <f t="shared" si="2"/>
        <v>1</v>
      </c>
      <c r="R75" s="50">
        <f t="shared" si="3"/>
        <v>1</v>
      </c>
    </row>
    <row r="76" spans="1:18" ht="14.25" x14ac:dyDescent="0.2">
      <c r="A76" s="42">
        <v>73</v>
      </c>
      <c r="B76" s="43"/>
      <c r="C76" s="44"/>
      <c r="D76" s="16"/>
      <c r="E76" s="16"/>
      <c r="F76" s="46"/>
      <c r="G76" s="47"/>
      <c r="H76" s="48"/>
      <c r="I76" s="49"/>
      <c r="J76" s="46"/>
      <c r="K76" s="16"/>
      <c r="L76" s="16"/>
      <c r="M76" s="42"/>
      <c r="N76" s="42"/>
      <c r="O76" s="46"/>
      <c r="P76" s="42"/>
      <c r="Q76" s="50">
        <f t="shared" si="2"/>
        <v>1</v>
      </c>
      <c r="R76" s="50">
        <f t="shared" si="3"/>
        <v>1</v>
      </c>
    </row>
    <row r="77" spans="1:18" ht="14.25" x14ac:dyDescent="0.2">
      <c r="A77" s="42">
        <v>74</v>
      </c>
      <c r="B77" s="43"/>
      <c r="C77" s="44"/>
      <c r="D77" s="16"/>
      <c r="E77" s="16"/>
      <c r="F77" s="46"/>
      <c r="G77" s="47"/>
      <c r="H77" s="48"/>
      <c r="I77" s="49"/>
      <c r="J77" s="46"/>
      <c r="K77" s="16"/>
      <c r="L77" s="16"/>
      <c r="M77" s="42"/>
      <c r="N77" s="42"/>
      <c r="O77" s="46"/>
      <c r="P77" s="42"/>
      <c r="Q77" s="50">
        <f t="shared" si="2"/>
        <v>1</v>
      </c>
      <c r="R77" s="50">
        <f t="shared" si="3"/>
        <v>1</v>
      </c>
    </row>
    <row r="78" spans="1:18" ht="14.25" x14ac:dyDescent="0.2">
      <c r="A78" s="42">
        <v>75</v>
      </c>
      <c r="B78" s="43"/>
      <c r="C78" s="44"/>
      <c r="D78" s="16"/>
      <c r="E78" s="16"/>
      <c r="F78" s="46"/>
      <c r="G78" s="47"/>
      <c r="H78" s="48"/>
      <c r="I78" s="49"/>
      <c r="J78" s="46"/>
      <c r="K78" s="16"/>
      <c r="L78" s="16"/>
      <c r="M78" s="42"/>
      <c r="N78" s="42"/>
      <c r="O78" s="46"/>
      <c r="P78" s="42"/>
      <c r="Q78" s="50">
        <f t="shared" si="2"/>
        <v>1</v>
      </c>
      <c r="R78" s="50">
        <f t="shared" si="3"/>
        <v>1</v>
      </c>
    </row>
    <row r="79" spans="1:18" ht="14.25" x14ac:dyDescent="0.2">
      <c r="A79" s="42">
        <v>76</v>
      </c>
      <c r="B79" s="43"/>
      <c r="C79" s="44"/>
      <c r="D79" s="16"/>
      <c r="E79" s="16"/>
      <c r="F79" s="46"/>
      <c r="G79" s="47"/>
      <c r="H79" s="48"/>
      <c r="I79" s="49"/>
      <c r="J79" s="46"/>
      <c r="K79" s="16"/>
      <c r="L79" s="16"/>
      <c r="M79" s="42"/>
      <c r="N79" s="42"/>
      <c r="O79" s="46"/>
      <c r="P79" s="42"/>
      <c r="Q79" s="50">
        <f t="shared" si="2"/>
        <v>1</v>
      </c>
      <c r="R79" s="50">
        <f t="shared" si="3"/>
        <v>1</v>
      </c>
    </row>
    <row r="80" spans="1:18" ht="14.25" x14ac:dyDescent="0.2">
      <c r="A80" s="42">
        <v>77</v>
      </c>
      <c r="B80" s="43"/>
      <c r="C80" s="44"/>
      <c r="D80" s="16"/>
      <c r="E80" s="16"/>
      <c r="F80" s="46"/>
      <c r="G80" s="47"/>
      <c r="H80" s="48"/>
      <c r="I80" s="49"/>
      <c r="J80" s="46"/>
      <c r="K80" s="16"/>
      <c r="L80" s="16"/>
      <c r="M80" s="42"/>
      <c r="N80" s="42"/>
      <c r="O80" s="46"/>
      <c r="P80" s="42"/>
      <c r="Q80" s="50">
        <f t="shared" si="2"/>
        <v>1</v>
      </c>
      <c r="R80" s="50">
        <f t="shared" si="3"/>
        <v>1</v>
      </c>
    </row>
    <row r="81" spans="1:18" ht="14.25" x14ac:dyDescent="0.2">
      <c r="A81" s="42">
        <v>78</v>
      </c>
      <c r="B81" s="43"/>
      <c r="C81" s="44"/>
      <c r="D81" s="16"/>
      <c r="E81" s="16"/>
      <c r="F81" s="46"/>
      <c r="G81" s="47"/>
      <c r="H81" s="48"/>
      <c r="I81" s="49"/>
      <c r="J81" s="46"/>
      <c r="K81" s="16"/>
      <c r="L81" s="16"/>
      <c r="M81" s="42"/>
      <c r="N81" s="42"/>
      <c r="O81" s="46"/>
      <c r="P81" s="42"/>
      <c r="Q81" s="50">
        <f t="shared" si="2"/>
        <v>1</v>
      </c>
      <c r="R81" s="50">
        <f t="shared" si="3"/>
        <v>1</v>
      </c>
    </row>
    <row r="82" spans="1:18" ht="14.25" x14ac:dyDescent="0.2">
      <c r="A82" s="42">
        <v>79</v>
      </c>
      <c r="B82" s="43"/>
      <c r="C82" s="44"/>
      <c r="D82" s="16"/>
      <c r="E82" s="16"/>
      <c r="F82" s="46"/>
      <c r="G82" s="47"/>
      <c r="H82" s="48"/>
      <c r="I82" s="49"/>
      <c r="J82" s="46"/>
      <c r="K82" s="16"/>
      <c r="L82" s="16"/>
      <c r="M82" s="42"/>
      <c r="N82" s="42"/>
      <c r="O82" s="46"/>
      <c r="P82" s="42"/>
      <c r="Q82" s="50">
        <f t="shared" si="2"/>
        <v>1</v>
      </c>
      <c r="R82" s="50">
        <f t="shared" si="3"/>
        <v>1</v>
      </c>
    </row>
    <row r="83" spans="1:18" ht="14.25" x14ac:dyDescent="0.2">
      <c r="A83" s="42">
        <v>80</v>
      </c>
      <c r="B83" s="43"/>
      <c r="C83" s="44"/>
      <c r="D83" s="16"/>
      <c r="E83" s="16"/>
      <c r="F83" s="46"/>
      <c r="G83" s="47"/>
      <c r="H83" s="48"/>
      <c r="I83" s="49"/>
      <c r="J83" s="46"/>
      <c r="K83" s="16"/>
      <c r="L83" s="16"/>
      <c r="M83" s="42"/>
      <c r="N83" s="42"/>
      <c r="O83" s="46"/>
      <c r="P83" s="42"/>
      <c r="Q83" s="50">
        <f t="shared" si="2"/>
        <v>1</v>
      </c>
      <c r="R83" s="50">
        <f t="shared" si="3"/>
        <v>1</v>
      </c>
    </row>
    <row r="84" spans="1:18" ht="14.25" x14ac:dyDescent="0.2">
      <c r="A84" s="42">
        <v>81</v>
      </c>
      <c r="B84" s="43"/>
      <c r="C84" s="44"/>
      <c r="D84" s="16"/>
      <c r="E84" s="16"/>
      <c r="F84" s="46"/>
      <c r="G84" s="47"/>
      <c r="H84" s="48"/>
      <c r="I84" s="49"/>
      <c r="J84" s="46"/>
      <c r="K84" s="16"/>
      <c r="L84" s="16"/>
      <c r="M84" s="42"/>
      <c r="N84" s="42"/>
      <c r="O84" s="46"/>
      <c r="P84" s="42"/>
      <c r="Q84" s="50">
        <f t="shared" si="2"/>
        <v>1</v>
      </c>
      <c r="R84" s="50">
        <f t="shared" si="3"/>
        <v>1</v>
      </c>
    </row>
    <row r="85" spans="1:18" ht="14.25" x14ac:dyDescent="0.2">
      <c r="A85" s="42">
        <v>82</v>
      </c>
      <c r="B85" s="43"/>
      <c r="C85" s="44"/>
      <c r="D85" s="16"/>
      <c r="E85" s="16"/>
      <c r="F85" s="46"/>
      <c r="G85" s="47"/>
      <c r="H85" s="48"/>
      <c r="I85" s="49"/>
      <c r="J85" s="46"/>
      <c r="K85" s="16"/>
      <c r="L85" s="16"/>
      <c r="M85" s="42"/>
      <c r="N85" s="42"/>
      <c r="O85" s="46"/>
      <c r="P85" s="42"/>
      <c r="Q85" s="50">
        <f t="shared" si="2"/>
        <v>1</v>
      </c>
      <c r="R85" s="50">
        <f t="shared" si="3"/>
        <v>1</v>
      </c>
    </row>
    <row r="86" spans="1:18" ht="14.25" x14ac:dyDescent="0.2">
      <c r="A86" s="42">
        <v>83</v>
      </c>
      <c r="B86" s="43"/>
      <c r="C86" s="44"/>
      <c r="D86" s="16"/>
      <c r="E86" s="16"/>
      <c r="F86" s="46"/>
      <c r="G86" s="47"/>
      <c r="H86" s="48"/>
      <c r="I86" s="49"/>
      <c r="J86" s="46"/>
      <c r="K86" s="16"/>
      <c r="L86" s="16"/>
      <c r="M86" s="42"/>
      <c r="N86" s="42"/>
      <c r="O86" s="46"/>
      <c r="P86" s="42"/>
      <c r="Q86" s="50">
        <f t="shared" si="2"/>
        <v>1</v>
      </c>
      <c r="R86" s="50">
        <f t="shared" si="3"/>
        <v>1</v>
      </c>
    </row>
    <row r="87" spans="1:18" ht="14.25" x14ac:dyDescent="0.2">
      <c r="A87" s="42">
        <v>84</v>
      </c>
      <c r="B87" s="43"/>
      <c r="C87" s="44"/>
      <c r="D87" s="16"/>
      <c r="E87" s="16"/>
      <c r="F87" s="46"/>
      <c r="G87" s="47"/>
      <c r="H87" s="48"/>
      <c r="I87" s="49"/>
      <c r="J87" s="46"/>
      <c r="K87" s="16"/>
      <c r="L87" s="16"/>
      <c r="M87" s="42"/>
      <c r="N87" s="42"/>
      <c r="O87" s="46"/>
      <c r="P87" s="42"/>
      <c r="Q87" s="50">
        <f t="shared" si="2"/>
        <v>1</v>
      </c>
      <c r="R87" s="50">
        <f t="shared" si="3"/>
        <v>1</v>
      </c>
    </row>
    <row r="88" spans="1:18" ht="14.25" x14ac:dyDescent="0.2">
      <c r="A88" s="42">
        <v>85</v>
      </c>
      <c r="B88" s="43"/>
      <c r="C88" s="44"/>
      <c r="D88" s="16"/>
      <c r="E88" s="16"/>
      <c r="F88" s="46"/>
      <c r="G88" s="47"/>
      <c r="H88" s="48"/>
      <c r="I88" s="49"/>
      <c r="J88" s="46"/>
      <c r="K88" s="16"/>
      <c r="L88" s="16"/>
      <c r="M88" s="42"/>
      <c r="N88" s="42"/>
      <c r="O88" s="46"/>
      <c r="P88" s="42"/>
      <c r="Q88" s="50">
        <f t="shared" si="2"/>
        <v>1</v>
      </c>
      <c r="R88" s="50">
        <f t="shared" si="3"/>
        <v>1</v>
      </c>
    </row>
    <row r="89" spans="1:18" ht="14.25" x14ac:dyDescent="0.2">
      <c r="A89" s="42">
        <v>86</v>
      </c>
      <c r="B89" s="43"/>
      <c r="C89" s="44"/>
      <c r="D89" s="16"/>
      <c r="E89" s="16"/>
      <c r="F89" s="46"/>
      <c r="G89" s="47"/>
      <c r="H89" s="48"/>
      <c r="I89" s="49"/>
      <c r="J89" s="46"/>
      <c r="K89" s="16"/>
      <c r="L89" s="16"/>
      <c r="M89" s="42"/>
      <c r="N89" s="42"/>
      <c r="O89" s="46"/>
      <c r="P89" s="42"/>
      <c r="Q89" s="50">
        <f t="shared" si="2"/>
        <v>1</v>
      </c>
      <c r="R89" s="50">
        <f t="shared" si="3"/>
        <v>1</v>
      </c>
    </row>
    <row r="90" spans="1:18" ht="14.25" x14ac:dyDescent="0.2">
      <c r="A90" s="42">
        <v>87</v>
      </c>
      <c r="B90" s="43"/>
      <c r="C90" s="44"/>
      <c r="D90" s="16"/>
      <c r="E90" s="16"/>
      <c r="F90" s="46"/>
      <c r="G90" s="47"/>
      <c r="H90" s="48"/>
      <c r="I90" s="49"/>
      <c r="J90" s="46"/>
      <c r="K90" s="16"/>
      <c r="L90" s="16"/>
      <c r="M90" s="42"/>
      <c r="N90" s="42"/>
      <c r="O90" s="46"/>
      <c r="P90" s="42"/>
      <c r="Q90" s="50">
        <f t="shared" si="2"/>
        <v>1</v>
      </c>
      <c r="R90" s="50">
        <f t="shared" si="3"/>
        <v>1</v>
      </c>
    </row>
    <row r="91" spans="1:18" ht="14.25" x14ac:dyDescent="0.2">
      <c r="A91" s="42">
        <v>88</v>
      </c>
      <c r="B91" s="43"/>
      <c r="C91" s="44"/>
      <c r="D91" s="16"/>
      <c r="E91" s="16"/>
      <c r="F91" s="46"/>
      <c r="G91" s="47"/>
      <c r="H91" s="48"/>
      <c r="I91" s="49"/>
      <c r="J91" s="46"/>
      <c r="K91" s="16"/>
      <c r="L91" s="16"/>
      <c r="M91" s="42"/>
      <c r="N91" s="42"/>
      <c r="O91" s="46"/>
      <c r="P91" s="42"/>
      <c r="Q91" s="50">
        <f t="shared" si="2"/>
        <v>1</v>
      </c>
      <c r="R91" s="50">
        <f t="shared" si="3"/>
        <v>1</v>
      </c>
    </row>
    <row r="92" spans="1:18" ht="14.25" x14ac:dyDescent="0.2">
      <c r="A92" s="42">
        <v>89</v>
      </c>
      <c r="B92" s="43"/>
      <c r="C92" s="44"/>
      <c r="D92" s="16"/>
      <c r="E92" s="16"/>
      <c r="F92" s="46"/>
      <c r="G92" s="47"/>
      <c r="H92" s="48"/>
      <c r="I92" s="49"/>
      <c r="J92" s="46"/>
      <c r="K92" s="16"/>
      <c r="L92" s="16"/>
      <c r="M92" s="42"/>
      <c r="N92" s="42"/>
      <c r="O92" s="46"/>
      <c r="P92" s="42"/>
      <c r="Q92" s="50">
        <f t="shared" si="2"/>
        <v>1</v>
      </c>
      <c r="R92" s="50">
        <f t="shared" si="3"/>
        <v>1</v>
      </c>
    </row>
    <row r="93" spans="1:18" ht="14.25" x14ac:dyDescent="0.2">
      <c r="A93" s="42">
        <v>90</v>
      </c>
      <c r="B93" s="43"/>
      <c r="C93" s="44"/>
      <c r="D93" s="16"/>
      <c r="E93" s="16"/>
      <c r="F93" s="46"/>
      <c r="G93" s="47"/>
      <c r="H93" s="48"/>
      <c r="I93" s="49"/>
      <c r="J93" s="46"/>
      <c r="K93" s="16"/>
      <c r="L93" s="16"/>
      <c r="M93" s="42"/>
      <c r="N93" s="42"/>
      <c r="O93" s="46"/>
      <c r="P93" s="42"/>
      <c r="Q93" s="50">
        <f t="shared" si="2"/>
        <v>1</v>
      </c>
      <c r="R93" s="50">
        <f t="shared" si="3"/>
        <v>1</v>
      </c>
    </row>
    <row r="94" spans="1:18" ht="14.25" x14ac:dyDescent="0.2">
      <c r="A94" s="42">
        <v>91</v>
      </c>
      <c r="B94" s="43"/>
      <c r="C94" s="44"/>
      <c r="D94" s="16"/>
      <c r="E94" s="16"/>
      <c r="F94" s="46"/>
      <c r="G94" s="47"/>
      <c r="H94" s="48"/>
      <c r="I94" s="49"/>
      <c r="J94" s="46"/>
      <c r="K94" s="16"/>
      <c r="L94" s="16"/>
      <c r="M94" s="42"/>
      <c r="N94" s="42"/>
      <c r="O94" s="46"/>
      <c r="P94" s="42"/>
      <c r="Q94" s="50">
        <f t="shared" si="2"/>
        <v>1</v>
      </c>
      <c r="R94" s="50">
        <f t="shared" si="3"/>
        <v>1</v>
      </c>
    </row>
    <row r="95" spans="1:18" ht="14.25" x14ac:dyDescent="0.2">
      <c r="A95" s="42">
        <v>92</v>
      </c>
      <c r="B95" s="43"/>
      <c r="C95" s="44"/>
      <c r="D95" s="16"/>
      <c r="E95" s="16"/>
      <c r="F95" s="46"/>
      <c r="G95" s="47"/>
      <c r="H95" s="48"/>
      <c r="I95" s="49"/>
      <c r="J95" s="46"/>
      <c r="K95" s="16"/>
      <c r="L95" s="16"/>
      <c r="M95" s="42"/>
      <c r="N95" s="42"/>
      <c r="O95" s="46"/>
      <c r="P95" s="42"/>
      <c r="Q95" s="50">
        <f t="shared" si="2"/>
        <v>1</v>
      </c>
      <c r="R95" s="50">
        <f t="shared" si="3"/>
        <v>1</v>
      </c>
    </row>
    <row r="96" spans="1:18" ht="14.25" x14ac:dyDescent="0.2">
      <c r="A96" s="42">
        <v>93</v>
      </c>
      <c r="B96" s="43"/>
      <c r="C96" s="44"/>
      <c r="D96" s="16"/>
      <c r="E96" s="16"/>
      <c r="F96" s="46"/>
      <c r="G96" s="47"/>
      <c r="H96" s="48"/>
      <c r="I96" s="49"/>
      <c r="J96" s="46"/>
      <c r="K96" s="16"/>
      <c r="L96" s="16"/>
      <c r="M96" s="42"/>
      <c r="N96" s="42"/>
      <c r="O96" s="46"/>
      <c r="P96" s="42"/>
      <c r="Q96" s="50">
        <f t="shared" si="2"/>
        <v>1</v>
      </c>
      <c r="R96" s="50">
        <f t="shared" si="3"/>
        <v>1</v>
      </c>
    </row>
    <row r="97" spans="1:19" ht="14.25" x14ac:dyDescent="0.2">
      <c r="A97" s="42">
        <v>94</v>
      </c>
      <c r="B97" s="43"/>
      <c r="C97" s="44"/>
      <c r="D97" s="16"/>
      <c r="E97" s="16"/>
      <c r="F97" s="46"/>
      <c r="G97" s="47"/>
      <c r="H97" s="48"/>
      <c r="I97" s="49"/>
      <c r="J97" s="46"/>
      <c r="K97" s="16"/>
      <c r="L97" s="16"/>
      <c r="M97" s="42"/>
      <c r="N97" s="42"/>
      <c r="O97" s="46"/>
      <c r="P97" s="42"/>
      <c r="Q97" s="50">
        <f t="shared" si="2"/>
        <v>1</v>
      </c>
      <c r="R97" s="50">
        <f t="shared" si="3"/>
        <v>1</v>
      </c>
    </row>
    <row r="98" spans="1:19" ht="14.25" x14ac:dyDescent="0.2">
      <c r="A98" s="42">
        <v>95</v>
      </c>
      <c r="B98" s="43"/>
      <c r="C98" s="44"/>
      <c r="D98" s="16"/>
      <c r="E98" s="16"/>
      <c r="F98" s="46"/>
      <c r="G98" s="47"/>
      <c r="H98" s="48"/>
      <c r="I98" s="49"/>
      <c r="J98" s="46"/>
      <c r="K98" s="16"/>
      <c r="L98" s="16"/>
      <c r="M98" s="42"/>
      <c r="N98" s="42"/>
      <c r="O98" s="46"/>
      <c r="P98" s="42"/>
      <c r="Q98" s="50">
        <f t="shared" si="2"/>
        <v>1</v>
      </c>
      <c r="R98" s="50">
        <f t="shared" si="3"/>
        <v>1</v>
      </c>
    </row>
    <row r="99" spans="1:19" ht="14.25" x14ac:dyDescent="0.2">
      <c r="A99" s="42">
        <v>96</v>
      </c>
      <c r="B99" s="43"/>
      <c r="C99" s="44"/>
      <c r="D99" s="16"/>
      <c r="E99" s="16"/>
      <c r="F99" s="46"/>
      <c r="G99" s="47"/>
      <c r="H99" s="48"/>
      <c r="I99" s="49"/>
      <c r="J99" s="46"/>
      <c r="K99" s="16"/>
      <c r="L99" s="16"/>
      <c r="M99" s="42"/>
      <c r="N99" s="42"/>
      <c r="O99" s="46"/>
      <c r="P99" s="42"/>
      <c r="Q99" s="50">
        <f t="shared" si="2"/>
        <v>1</v>
      </c>
      <c r="R99" s="50">
        <f t="shared" si="3"/>
        <v>1</v>
      </c>
    </row>
    <row r="100" spans="1:19" ht="14.25" x14ac:dyDescent="0.2">
      <c r="A100" s="42">
        <v>97</v>
      </c>
      <c r="B100" s="43"/>
      <c r="C100" s="44"/>
      <c r="D100" s="16"/>
      <c r="E100" s="16"/>
      <c r="F100" s="46"/>
      <c r="G100" s="47"/>
      <c r="H100" s="48"/>
      <c r="I100" s="49"/>
      <c r="J100" s="46"/>
      <c r="K100" s="16"/>
      <c r="L100" s="16"/>
      <c r="M100" s="42"/>
      <c r="N100" s="42"/>
      <c r="O100" s="46"/>
      <c r="P100" s="42"/>
      <c r="Q100" s="50">
        <f t="shared" si="2"/>
        <v>1</v>
      </c>
      <c r="R100" s="50">
        <f t="shared" si="3"/>
        <v>1</v>
      </c>
    </row>
    <row r="101" spans="1:19" ht="25.5" x14ac:dyDescent="0.2">
      <c r="A101" s="42">
        <v>98</v>
      </c>
      <c r="B101" s="43" t="s">
        <v>36</v>
      </c>
      <c r="C101" s="44"/>
      <c r="D101" s="16" t="s">
        <v>44</v>
      </c>
      <c r="E101" s="16"/>
      <c r="F101" s="46"/>
      <c r="G101" s="47"/>
      <c r="H101" s="48" t="s">
        <v>53</v>
      </c>
      <c r="I101" s="49" t="s">
        <v>80</v>
      </c>
      <c r="J101" s="46"/>
      <c r="K101" s="16"/>
      <c r="L101" s="16"/>
      <c r="M101" s="42"/>
      <c r="N101" s="42" t="s">
        <v>51</v>
      </c>
      <c r="O101" s="46"/>
      <c r="P101" s="42"/>
      <c r="Q101" s="50">
        <f t="shared" si="2"/>
        <v>1</v>
      </c>
      <c r="R101" s="50">
        <f t="shared" si="3"/>
        <v>1</v>
      </c>
    </row>
    <row r="102" spans="1:19" ht="14.25" x14ac:dyDescent="0.2">
      <c r="A102" s="42">
        <v>99</v>
      </c>
      <c r="B102" s="43" t="s">
        <v>49</v>
      </c>
      <c r="C102" s="44"/>
      <c r="D102" s="16" t="s">
        <v>46</v>
      </c>
      <c r="E102" s="16"/>
      <c r="F102" s="46"/>
      <c r="G102" s="47"/>
      <c r="H102" s="48" t="s">
        <v>53</v>
      </c>
      <c r="I102" s="49" t="s">
        <v>79</v>
      </c>
      <c r="J102" s="46"/>
      <c r="K102" s="16"/>
      <c r="L102" s="16"/>
      <c r="M102" s="42"/>
      <c r="N102" s="42" t="s">
        <v>55</v>
      </c>
      <c r="O102" s="46"/>
      <c r="P102" s="42"/>
      <c r="Q102" s="50">
        <f t="shared" si="2"/>
        <v>1</v>
      </c>
      <c r="R102" s="50">
        <f t="shared" si="3"/>
        <v>1</v>
      </c>
    </row>
    <row r="103" spans="1:19" ht="14.25" x14ac:dyDescent="0.2">
      <c r="A103" s="42">
        <v>100</v>
      </c>
      <c r="B103" s="51"/>
      <c r="C103" s="52"/>
      <c r="D103" s="53"/>
      <c r="E103" s="16"/>
      <c r="F103" s="46"/>
      <c r="G103" s="47"/>
      <c r="H103" s="48"/>
      <c r="I103" s="49"/>
      <c r="J103" s="46"/>
      <c r="K103" s="16"/>
      <c r="L103" s="16"/>
      <c r="M103" s="42"/>
      <c r="N103" s="42"/>
      <c r="O103" s="46"/>
      <c r="P103" s="42"/>
      <c r="Q103" s="50">
        <f t="shared" si="2"/>
        <v>1</v>
      </c>
      <c r="R103" s="50">
        <f t="shared" si="3"/>
        <v>1</v>
      </c>
    </row>
    <row r="104" spans="1:19" x14ac:dyDescent="0.2">
      <c r="B104" s="54" t="s">
        <v>81</v>
      </c>
    </row>
    <row r="105" spans="1:19" x14ac:dyDescent="0.2">
      <c r="B105" s="58"/>
    </row>
    <row r="106" spans="1:19" ht="16.5" thickBot="1" x14ac:dyDescent="0.3">
      <c r="C106" s="708" t="s">
        <v>82</v>
      </c>
      <c r="D106" s="708"/>
      <c r="E106" s="708"/>
      <c r="F106" s="708"/>
      <c r="G106" s="708"/>
      <c r="H106" s="708"/>
      <c r="I106" s="708"/>
      <c r="J106" s="708"/>
      <c r="M106" s="708" t="s">
        <v>82</v>
      </c>
      <c r="N106" s="708"/>
      <c r="O106" s="708"/>
      <c r="P106" s="708"/>
      <c r="Q106" s="708"/>
      <c r="R106" s="708"/>
    </row>
    <row r="107" spans="1:19" ht="16.5" thickBot="1" x14ac:dyDescent="0.3">
      <c r="C107" s="709" t="s">
        <v>83</v>
      </c>
      <c r="D107" s="710"/>
      <c r="E107" s="711" t="s">
        <v>3</v>
      </c>
      <c r="F107" s="712"/>
      <c r="G107" s="59" t="s">
        <v>84</v>
      </c>
      <c r="H107" s="60" t="s">
        <v>43</v>
      </c>
      <c r="I107" s="60" t="s">
        <v>44</v>
      </c>
      <c r="J107" s="61" t="s">
        <v>46</v>
      </c>
      <c r="M107" s="62" t="s">
        <v>85</v>
      </c>
      <c r="N107" s="63" t="s">
        <v>86</v>
      </c>
      <c r="O107" s="64" t="s">
        <v>43</v>
      </c>
      <c r="P107" s="65" t="s">
        <v>44</v>
      </c>
      <c r="Q107" s="66" t="s">
        <v>46</v>
      </c>
      <c r="R107" s="67" t="s">
        <v>87</v>
      </c>
      <c r="S107" s="68"/>
    </row>
    <row r="108" spans="1:19" ht="13.5" thickTop="1" x14ac:dyDescent="0.2">
      <c r="C108" s="69" t="s">
        <v>78</v>
      </c>
      <c r="D108" s="49">
        <f>COUNTIF($H$4:H104,"No Conformidad")</f>
        <v>4</v>
      </c>
      <c r="E108" s="70" t="s">
        <v>79</v>
      </c>
      <c r="F108" s="71">
        <f>COUNTIF($I$4:I104,"Si")</f>
        <v>5</v>
      </c>
      <c r="G108" s="72" t="s">
        <v>78</v>
      </c>
      <c r="H108" s="49">
        <f>COUNTIFS($H$4:H104,"No Conformidad",$D$4:D104,"Auditoria")</f>
        <v>4</v>
      </c>
      <c r="I108" s="49">
        <f>COUNTIFS($H$4:H104,"No Conformidad",$D$4:D104,"Especial")</f>
        <v>0</v>
      </c>
      <c r="J108" s="71">
        <f>COUNTIFS($H$4:H104,"No Conformidad",$D$4:D104,"Informes")</f>
        <v>0</v>
      </c>
      <c r="M108" s="73" t="s">
        <v>51</v>
      </c>
      <c r="N108" s="74">
        <f>COUNTIF($N$4:$N104,"Abierta")</f>
        <v>4</v>
      </c>
      <c r="O108" s="42">
        <f>COUNTIFS($N$4:$N104,"Abierta",$D$4:$D104,"Auditoria")</f>
        <v>3</v>
      </c>
      <c r="P108" s="42">
        <f>COUNTIFS($N$4:$N104,"Abierta",$D$4:$D104,"Especial")</f>
        <v>1</v>
      </c>
      <c r="Q108" s="75">
        <f>COUNTIFS($N$4:$N104,"Abierta",$D$4:$D104,"Informes")</f>
        <v>0</v>
      </c>
      <c r="R108" s="76">
        <f>SUM(O108:Q108)</f>
        <v>4</v>
      </c>
    </row>
    <row r="109" spans="1:19" ht="13.5" thickBot="1" x14ac:dyDescent="0.25">
      <c r="C109" s="77" t="s">
        <v>53</v>
      </c>
      <c r="D109" s="78">
        <f>COUNTIF($H$4:H104,"Recomendación")</f>
        <v>3</v>
      </c>
      <c r="E109" s="79" t="s">
        <v>80</v>
      </c>
      <c r="F109" s="80">
        <f>COUNTIF($I$4:I104,"No")</f>
        <v>2</v>
      </c>
      <c r="G109" s="81" t="s">
        <v>53</v>
      </c>
      <c r="H109" s="78">
        <f>COUNTIFS($H$4:H104,"Recomendación",$D$4:D104,"Auditoria")</f>
        <v>1</v>
      </c>
      <c r="I109" s="78">
        <f>COUNTIFS($H$4:H104,"Recomendación",$D$4:D104,"Especial")</f>
        <v>1</v>
      </c>
      <c r="J109" s="80">
        <f>COUNTIFS($H$4:H104,"Recomendación",$D$4:D104,"Informes")</f>
        <v>1</v>
      </c>
      <c r="M109" s="82" t="s">
        <v>55</v>
      </c>
      <c r="N109" s="83">
        <f>COUNTIF($N$4:$N104,"Cerrada")</f>
        <v>3</v>
      </c>
      <c r="O109" s="84">
        <f>COUNTIFS($N$4:$N104,"Cerrada",$D$4:$D104,"Auditoria")</f>
        <v>2</v>
      </c>
      <c r="P109" s="84">
        <f>COUNTIFS($N$4:$N104,"Cerrada",$D$4:$D104,"Especial")</f>
        <v>0</v>
      </c>
      <c r="Q109" s="85">
        <f>COUNTIFS($N$4:N104,"Cerrada",$D$4:D104,"Informes")</f>
        <v>1</v>
      </c>
      <c r="R109" s="86">
        <f>SUM(O109:Q109)</f>
        <v>3</v>
      </c>
    </row>
    <row r="110" spans="1:19" ht="14.25" thickTop="1" thickBot="1" x14ac:dyDescent="0.25">
      <c r="C110" s="87" t="s">
        <v>86</v>
      </c>
      <c r="D110" s="88">
        <f>SUM(D108:D109)</f>
        <v>7</v>
      </c>
      <c r="E110" s="89" t="s">
        <v>86</v>
      </c>
      <c r="F110" s="90">
        <f>SUM(F108:F109)</f>
        <v>7</v>
      </c>
      <c r="G110" s="91" t="s">
        <v>86</v>
      </c>
      <c r="H110" s="92">
        <f>SUM(H108:H109)</f>
        <v>5</v>
      </c>
      <c r="I110" s="93">
        <f>SUM(I108:I109)</f>
        <v>1</v>
      </c>
      <c r="J110" s="94">
        <f>SUM(J108:J109)</f>
        <v>1</v>
      </c>
      <c r="N110" s="95">
        <f>SUM(N108:N109)</f>
        <v>7</v>
      </c>
      <c r="R110" s="96">
        <f>SUM(R108:R109)</f>
        <v>7</v>
      </c>
    </row>
    <row r="111" spans="1:19" ht="11.25" customHeight="1" thickBot="1" x14ac:dyDescent="0.25">
      <c r="G111" s="97" t="s">
        <v>88</v>
      </c>
      <c r="H111" s="98">
        <f>SUM(H110:J110)</f>
        <v>7</v>
      </c>
      <c r="I111" s="99"/>
      <c r="J111" s="99"/>
      <c r="M111" s="100" t="s">
        <v>55</v>
      </c>
    </row>
    <row r="112" spans="1:19" ht="13.5" thickBot="1" x14ac:dyDescent="0.25">
      <c r="B112" s="31" t="s">
        <v>89</v>
      </c>
      <c r="F112" s="101"/>
      <c r="G112" s="102"/>
      <c r="H112" s="103"/>
      <c r="I112" s="99"/>
      <c r="J112" s="99"/>
      <c r="K112" s="99"/>
      <c r="M112" s="104" t="s">
        <v>90</v>
      </c>
      <c r="N112" s="105" t="s">
        <v>43</v>
      </c>
      <c r="O112" s="65" t="s">
        <v>44</v>
      </c>
      <c r="P112" s="66" t="s">
        <v>46</v>
      </c>
    </row>
    <row r="113" spans="2:20" ht="16.5" thickTop="1" thickBot="1" x14ac:dyDescent="0.3">
      <c r="B113" s="106" t="s">
        <v>91</v>
      </c>
      <c r="C113" s="107" t="str">
        <f>C1</f>
        <v>AÑO</v>
      </c>
      <c r="F113" s="101"/>
      <c r="M113" s="108" t="s">
        <v>92</v>
      </c>
      <c r="N113" s="109">
        <f>COUNTIFS($N$4:$N104,"Cerrada",$H$4:$H104,"No conformidad",$D$4:$D104,"Auditoria")</f>
        <v>2</v>
      </c>
      <c r="O113" s="42">
        <f>COUNTIFS($N$4:$N104,"Cerrada",$H$4:$H104,"No conformidad",$D$4:$D104,"Especial")</f>
        <v>0</v>
      </c>
      <c r="P113" s="42">
        <f>COUNTIFS($N$4:$N104,"Cerrada",$H$4:$H104,"No conformidad",$D$4:$D104,"Informes")</f>
        <v>0</v>
      </c>
    </row>
    <row r="114" spans="2:20" ht="14.25" customHeight="1" thickBot="1" x14ac:dyDescent="0.25">
      <c r="B114" s="703" t="s">
        <v>0</v>
      </c>
      <c r="C114" s="713" t="s">
        <v>93</v>
      </c>
      <c r="D114" s="713"/>
      <c r="E114" s="713"/>
      <c r="F114" s="714" t="s">
        <v>94</v>
      </c>
      <c r="H114" s="716" t="s">
        <v>95</v>
      </c>
      <c r="I114" s="717"/>
      <c r="J114" s="718" t="s">
        <v>96</v>
      </c>
      <c r="K114" s="719"/>
      <c r="M114" s="110" t="s">
        <v>97</v>
      </c>
      <c r="N114" s="111">
        <f>COUNTIFS($N$4:$N104,"Cerrada",$H$4:$H104,"Recomendación",$D$4:$D104,"Auditoria")</f>
        <v>0</v>
      </c>
      <c r="O114" s="78">
        <f>COUNTIFS($N$4:$N104,"Cerrada",$H$4:$H104,"Recomendación",$D$4:$D104,"Especial")</f>
        <v>0</v>
      </c>
      <c r="P114" s="78">
        <f>COUNTIFS($N$4:$N104,"Cerrada",$H$4:$H104,"Recomendación",$D$4:$D104,"Informes")</f>
        <v>1</v>
      </c>
    </row>
    <row r="115" spans="2:20" ht="22.5" customHeight="1" thickBot="1" x14ac:dyDescent="0.25">
      <c r="B115" s="704"/>
      <c r="C115" s="112" t="s">
        <v>43</v>
      </c>
      <c r="D115" s="112" t="s">
        <v>44</v>
      </c>
      <c r="E115" s="112" t="s">
        <v>46</v>
      </c>
      <c r="F115" s="715"/>
      <c r="H115" s="113" t="s">
        <v>78</v>
      </c>
      <c r="I115" s="114" t="s">
        <v>53</v>
      </c>
      <c r="J115" s="115" t="s">
        <v>79</v>
      </c>
      <c r="K115" s="116" t="s">
        <v>80</v>
      </c>
      <c r="M115" s="106" t="s">
        <v>86</v>
      </c>
      <c r="N115" s="117">
        <f>SUM(N113:N114)</f>
        <v>2</v>
      </c>
      <c r="O115" s="118">
        <f t="shared" ref="O115:P115" si="4">SUM(O113:O114)</f>
        <v>0</v>
      </c>
      <c r="P115" s="119">
        <f t="shared" si="4"/>
        <v>1</v>
      </c>
    </row>
    <row r="116" spans="2:20" ht="15.75" customHeight="1" thickTop="1" thickBot="1" x14ac:dyDescent="0.3">
      <c r="B116" s="120" t="s">
        <v>49</v>
      </c>
      <c r="C116" s="42">
        <f>COUNTIFS($D$4:$D104,"Auditoria",$B$4:$B104,$B116)</f>
        <v>1</v>
      </c>
      <c r="D116" s="42">
        <f>COUNTIFS($D$4:$D104,"Especial",$B$4:$B104,$B116)</f>
        <v>0</v>
      </c>
      <c r="E116" s="42">
        <f>COUNTIFS($D$4:$D104,"Especial",$B$4:$B104,$B116)</f>
        <v>0</v>
      </c>
      <c r="F116" s="42">
        <f>COUNTIF($B$4:B104,$B116)</f>
        <v>2</v>
      </c>
      <c r="H116" s="121">
        <f>COUNTIFS($H$4:$H104,"No Conformidad",$B$4:$B104,$B116)</f>
        <v>1</v>
      </c>
      <c r="I116" s="42">
        <f>COUNTIFS($H$4:$H104,"Recomendación",$B$4:$B104,$B116)</f>
        <v>1</v>
      </c>
      <c r="J116" s="42">
        <f>COUNTIFS($I$4:I104,"Si",$B$4:B104,$B116)</f>
        <v>1</v>
      </c>
      <c r="K116" s="75">
        <f>COUNTIFS($I$4:I104,"No",$B$4:B104,$B116)</f>
        <v>1</v>
      </c>
      <c r="M116" s="106" t="s">
        <v>88</v>
      </c>
      <c r="N116" s="122">
        <f>SUM(N115:P115)</f>
        <v>3</v>
      </c>
    </row>
    <row r="117" spans="2:20" ht="45.75" thickBot="1" x14ac:dyDescent="0.3">
      <c r="B117" s="123" t="s">
        <v>35</v>
      </c>
      <c r="C117" s="42">
        <f>COUNTIFS($D$4:$D104,"Auditoria",$B$4:$B104,$B117)</f>
        <v>0</v>
      </c>
      <c r="D117" s="42">
        <f>COUNTIFS($D$4:$D104,"Especial",$B$4:$B104,$B117)</f>
        <v>0</v>
      </c>
      <c r="E117" s="42">
        <f>COUNTIFS($D$4:$D104,"Especial",$B$4:$B104,$B117)</f>
        <v>0</v>
      </c>
      <c r="F117" s="42">
        <f>COUNTIF($B$4:B104,$B117)</f>
        <v>0</v>
      </c>
      <c r="H117" s="124">
        <f>COUNTIFS($H$4:$H104,"No Conformidad",$B$4:$B104,$B117)</f>
        <v>0</v>
      </c>
      <c r="I117" s="49">
        <f>COUNTIFS($H$4:$H104,"Recomendación",$B$4:$B104,$B117)</f>
        <v>0</v>
      </c>
      <c r="J117" s="49">
        <f>COUNTIFS($I$4:$I104,"Si",$B$4:$B104,$B117)</f>
        <v>0</v>
      </c>
      <c r="K117" s="71">
        <f>COUNTIFS($I$4:$I104,"No",$B$4:$B104,$B117)</f>
        <v>0</v>
      </c>
      <c r="T117" s="32"/>
    </row>
    <row r="118" spans="2:20" ht="15.75" thickBot="1" x14ac:dyDescent="0.3">
      <c r="B118" s="125" t="s">
        <v>10</v>
      </c>
      <c r="C118" s="42">
        <f>COUNTIFS($D$4:$D104,"Auditoria",$B$4:$B104,$B118)</f>
        <v>0</v>
      </c>
      <c r="D118" s="42">
        <f>COUNTIFS($D$4:$D104,"Especial",$B$4:$B104,$B118)</f>
        <v>0</v>
      </c>
      <c r="E118" s="42">
        <f>COUNTIFS($D$4:$D104,"Especial",$B$4:$B104,$B118)</f>
        <v>0</v>
      </c>
      <c r="F118" s="42">
        <f>COUNTIF($B$4:B104,$B118)</f>
        <v>0</v>
      </c>
      <c r="H118" s="124">
        <f>COUNTIFS($H$4:$H104,"No Conformidad",$B$4:$B104,$B118)</f>
        <v>0</v>
      </c>
      <c r="I118" s="49">
        <f>COUNTIFS($H$4:$H104,"Recomendación",$B$4:$B104,$B118)</f>
        <v>0</v>
      </c>
      <c r="J118" s="49">
        <f>COUNTIFS($I$4:$I104,"Si",$B$4:$B104,$B118)</f>
        <v>0</v>
      </c>
      <c r="K118" s="71">
        <f>COUNTIFS($I$4:$I104,"No",$B$4:$B104,$B118)</f>
        <v>0</v>
      </c>
      <c r="M118" s="126" t="s">
        <v>51</v>
      </c>
    </row>
    <row r="119" spans="2:20" ht="15.75" thickBot="1" x14ac:dyDescent="0.3">
      <c r="B119" s="125" t="s">
        <v>2</v>
      </c>
      <c r="C119" s="42">
        <f>COUNTIFS($D$4:$D104,"Auditoria",$B$4:$B104,$B119)</f>
        <v>0</v>
      </c>
      <c r="D119" s="42">
        <f>COUNTIFS($D$4:$D104,"Especial",$B$4:$B104,$B119)</f>
        <v>0</v>
      </c>
      <c r="E119" s="42">
        <f>COUNTIFS($D$4:$D104,"Especial",$B$4:$B104,$B119)</f>
        <v>0</v>
      </c>
      <c r="F119" s="42">
        <f>COUNTIF($B$4:B104,$B119)</f>
        <v>0</v>
      </c>
      <c r="H119" s="124">
        <f>COUNTIFS($H$4:$H104,"No Conformidad",$B$4:$B104,$B119)</f>
        <v>0</v>
      </c>
      <c r="I119" s="49">
        <f>COUNTIFS($H$4:$H104,"Recomendación",$B$4:$B104,$B119)</f>
        <v>0</v>
      </c>
      <c r="J119" s="49">
        <f>COUNTIFS($I$4:$I104,"Si",$B$4:$B104,$B119)</f>
        <v>0</v>
      </c>
      <c r="K119" s="71">
        <f>COUNTIFS($I$4:$I104,"No",$B$4:$B104,$B119)</f>
        <v>0</v>
      </c>
      <c r="M119" s="127" t="s">
        <v>98</v>
      </c>
      <c r="N119" s="128" t="s">
        <v>43</v>
      </c>
      <c r="O119" s="65" t="s">
        <v>44</v>
      </c>
      <c r="P119" s="66" t="s">
        <v>46</v>
      </c>
    </row>
    <row r="120" spans="2:20" ht="15.75" thickTop="1" x14ac:dyDescent="0.25">
      <c r="B120" s="125" t="s">
        <v>36</v>
      </c>
      <c r="C120" s="42">
        <f>COUNTIFS($D$4:$D104,"Auditoria",$B$4:$B104,$B120)</f>
        <v>2</v>
      </c>
      <c r="D120" s="42">
        <f>COUNTIFS($D$4:$D104,"Especial",$B$4:$B104,$B120)</f>
        <v>1</v>
      </c>
      <c r="E120" s="42">
        <f>COUNTIFS($D$4:$D104,"Especial",$B$4:$B104,$B120)</f>
        <v>1</v>
      </c>
      <c r="F120" s="42">
        <f>COUNTIF($B$4:B104,$B120)</f>
        <v>3</v>
      </c>
      <c r="H120" s="124">
        <f>COUNTIFS($H$4:$H104,"No Conformidad",$B$4:$B104,$B120)</f>
        <v>1</v>
      </c>
      <c r="I120" s="49">
        <f>COUNTIFS($H$4:$H104,"Recomendación",$B$4:$B104,$B120)</f>
        <v>2</v>
      </c>
      <c r="J120" s="49">
        <f>COUNTIFS($I$4:$I104,"Si",$B$4:$B104,$B120)</f>
        <v>2</v>
      </c>
      <c r="K120" s="71">
        <f>COUNTIFS($I$4:$I104,"No",$B$4:$B104,$B120)</f>
        <v>1</v>
      </c>
      <c r="M120" s="129" t="s">
        <v>99</v>
      </c>
      <c r="N120" s="121">
        <f>COUNTIFS($N$4:$N104,"Abierta",$H$4:$H104,"No conformidad",$D$4:$D104,"Auditoria")</f>
        <v>2</v>
      </c>
      <c r="O120" s="42">
        <f>COUNTIFS($N$4:$N104,"Abierta",$H$4:$H104,"No conformidad",$D$4:$D104,"Especial")</f>
        <v>0</v>
      </c>
      <c r="P120" s="75">
        <f>COUNTIFS($N$4:$N104,"Abierta",$H$4:$H104,"No conformidad",$D$4:$D104,"Informes")</f>
        <v>0</v>
      </c>
    </row>
    <row r="121" spans="2:20" ht="15.75" thickBot="1" x14ac:dyDescent="0.3">
      <c r="B121" s="125" t="s">
        <v>37</v>
      </c>
      <c r="C121" s="42">
        <f>COUNTIFS($D$4:$D104,"Auditoria",$B$4:$B104,$B121)</f>
        <v>1</v>
      </c>
      <c r="D121" s="42">
        <f>COUNTIFS($D$4:$D104,"Especial",$B$4:$B104,$B121)</f>
        <v>0</v>
      </c>
      <c r="E121" s="42">
        <f>COUNTIFS($D$4:$D104,"Especial",$B$4:$B104,$B121)</f>
        <v>0</v>
      </c>
      <c r="F121" s="42">
        <f>COUNTIF($B$4:B104,$B121)</f>
        <v>1</v>
      </c>
      <c r="H121" s="124">
        <f>COUNTIFS($H$4:$H104,"No Conformidad",$B$4:$B104,$B121)</f>
        <v>1</v>
      </c>
      <c r="I121" s="49">
        <f>COUNTIFS($H$4:$H104,"Recomendación",$B$4:$B104,$B121)</f>
        <v>0</v>
      </c>
      <c r="J121" s="49">
        <f>COUNTIFS($I$4:$I104,"Si",$B$4:$B104,$B121)</f>
        <v>1</v>
      </c>
      <c r="K121" s="71">
        <f>COUNTIFS($I$4:$I104,"No",$B$4:$B104,$B121)</f>
        <v>0</v>
      </c>
      <c r="M121" s="130" t="s">
        <v>100</v>
      </c>
      <c r="N121" s="131">
        <f>COUNTIFS($N$4:$N104,"Abierta",$H$4:$H104,"Recomendación",$D$4:$D104,"Auditoria")</f>
        <v>1</v>
      </c>
      <c r="O121" s="78">
        <f>COUNTIFS($N$4:$N104,"Abierta",$H$4:$H104,"Recomendación",$D$4:$D104,"Especial")</f>
        <v>1</v>
      </c>
      <c r="P121" s="80">
        <f>COUNTIFS($N$4:$N104,"Abierta",$H$4:$H104,"Recomendación",$D$4:$D104,"Informes")</f>
        <v>0</v>
      </c>
    </row>
    <row r="122" spans="2:20" ht="15.75" thickBot="1" x14ac:dyDescent="0.3">
      <c r="B122" s="125" t="s">
        <v>25</v>
      </c>
      <c r="C122" s="42">
        <f>COUNTIFS($D$4:$D104,"Auditoria",$B$4:$B104,$B122)</f>
        <v>1</v>
      </c>
      <c r="D122" s="42">
        <f>COUNTIFS($D$4:$D104,"Especial",$B$4:$B104,$B122)</f>
        <v>0</v>
      </c>
      <c r="E122" s="42">
        <f>COUNTIFS($D$4:$D104,"Especial",$B$4:$B104,$B122)</f>
        <v>0</v>
      </c>
      <c r="F122" s="42">
        <f>COUNTIF($B$4:B104,$B122)</f>
        <v>1</v>
      </c>
      <c r="H122" s="124">
        <f>COUNTIFS($H$4:$H104,"No Conformidad",$B$4:$B104,$B122)</f>
        <v>1</v>
      </c>
      <c r="I122" s="49">
        <f>COUNTIFS($H$4:$H104,"Recomendación",$B$4:$B104,$B122)</f>
        <v>0</v>
      </c>
      <c r="J122" s="49">
        <f>COUNTIFS($I$4:$I104,"Si",$B$4:$B104,$B122)</f>
        <v>1</v>
      </c>
      <c r="K122" s="71">
        <f>COUNTIFS($I$4:$I104,"No",$B$4:$B104,$B122)</f>
        <v>0</v>
      </c>
      <c r="M122" s="106" t="s">
        <v>86</v>
      </c>
      <c r="N122" s="132">
        <f>SUM(N120:N121)</f>
        <v>3</v>
      </c>
      <c r="O122" s="84">
        <f t="shared" ref="O122:P122" si="5">SUM(O120:O121)</f>
        <v>1</v>
      </c>
      <c r="P122" s="85">
        <f t="shared" si="5"/>
        <v>0</v>
      </c>
    </row>
    <row r="123" spans="2:20" ht="15.75" thickBot="1" x14ac:dyDescent="0.3">
      <c r="B123" s="125" t="s">
        <v>61</v>
      </c>
      <c r="C123" s="42">
        <f>COUNTIFS($D$4:$D104,"Auditoria",$B$4:$B104,$B123)</f>
        <v>0</v>
      </c>
      <c r="D123" s="42">
        <f>COUNTIFS($D$4:$D104,"Especial",$B$4:$B104,$B123)</f>
        <v>0</v>
      </c>
      <c r="E123" s="42">
        <f>COUNTIFS($D$4:$D104,"Especial",$B$4:$B104,$B123)</f>
        <v>0</v>
      </c>
      <c r="F123" s="42">
        <f>COUNTIF($B$4:B104,$B123)</f>
        <v>0</v>
      </c>
      <c r="H123" s="124">
        <f>COUNTIFS($H$4:$H104,"No Conformidad",$B$4:$B104,$B123)</f>
        <v>0</v>
      </c>
      <c r="I123" s="49">
        <f>COUNTIFS($H$4:$H104,"Recomendación",$B$4:$B104,$B123)</f>
        <v>0</v>
      </c>
      <c r="J123" s="49">
        <f>COUNTIFS($I$4:$I104,"Si",$B$4:$B104,$B123)</f>
        <v>0</v>
      </c>
      <c r="K123" s="71">
        <f>COUNTIFS($I$4:$I104,"No",$B$4:$B104,$B123)</f>
        <v>0</v>
      </c>
      <c r="M123" s="106" t="s">
        <v>88</v>
      </c>
      <c r="N123" s="133">
        <f>SUM(N122:P122)</f>
        <v>4</v>
      </c>
    </row>
    <row r="124" spans="2:20" ht="30" x14ac:dyDescent="0.25">
      <c r="B124" s="123" t="s">
        <v>62</v>
      </c>
      <c r="C124" s="42">
        <f>COUNTIFS($D$4:$D104,"Auditoria",$B$4:$B104,$B124)</f>
        <v>0</v>
      </c>
      <c r="D124" s="42">
        <f>COUNTIFS($D$4:$D104,"Especial",$B$4:$B104,$B124)</f>
        <v>0</v>
      </c>
      <c r="E124" s="42">
        <f>COUNTIFS($D$4:$D104,"Especial",$B$4:$B104,$B124)</f>
        <v>0</v>
      </c>
      <c r="F124" s="42">
        <f>COUNTIF($B$4:B104,$B124)</f>
        <v>0</v>
      </c>
      <c r="H124" s="124">
        <f>COUNTIFS($H$4:$H104,"No Conformidad",$B$4:$B104,$B124)</f>
        <v>0</v>
      </c>
      <c r="I124" s="49">
        <f>COUNTIFS($H$4:$H104,"Recomendación",$B$4:$B104,$B124)</f>
        <v>0</v>
      </c>
      <c r="J124" s="49">
        <f>COUNTIFS($I$4:$I104,"Si",$B$4:$B104,$B124)</f>
        <v>0</v>
      </c>
      <c r="K124" s="71">
        <f>COUNTIFS($I$4:$I104,"No",$B$4:$B104,$B124)</f>
        <v>0</v>
      </c>
      <c r="L124" s="99"/>
    </row>
    <row r="125" spans="2:20" ht="15" x14ac:dyDescent="0.25">
      <c r="B125" s="125" t="s">
        <v>63</v>
      </c>
      <c r="C125" s="42">
        <f>COUNTIFS($D$4:$D104,"Auditoria",$B$4:$B104,$B125)</f>
        <v>0</v>
      </c>
      <c r="D125" s="42">
        <f>COUNTIFS($D$4:$D104,"Especial",$B$4:$B104,$B125)</f>
        <v>0</v>
      </c>
      <c r="E125" s="42">
        <f>COUNTIFS($D$4:$D104,"Especial",$B$4:$B104,$B125)</f>
        <v>0</v>
      </c>
      <c r="F125" s="42">
        <f>COUNTIF($B$4:B104,$B125)</f>
        <v>0</v>
      </c>
      <c r="H125" s="124">
        <f>COUNTIFS($H$4:$H104,"No Conformidad",$B$4:$B104,$B125)</f>
        <v>0</v>
      </c>
      <c r="I125" s="49">
        <f>COUNTIFS($H$4:$H104,"Recomendación",$B$4:$B104,$B125)</f>
        <v>0</v>
      </c>
      <c r="J125" s="49">
        <f>COUNTIFS($I$4:$I104,"Si",$B$4:$B104,$B125)</f>
        <v>0</v>
      </c>
      <c r="K125" s="71">
        <f>COUNTIFS($I$4:$I104,"No",$B$4:$B104,$B125)</f>
        <v>0</v>
      </c>
      <c r="L125" s="99"/>
    </row>
    <row r="126" spans="2:20" ht="15" x14ac:dyDescent="0.25">
      <c r="B126" s="125" t="s">
        <v>64</v>
      </c>
      <c r="C126" s="42">
        <f>COUNTIFS($D$4:$D104,"Auditoria",$B$4:$B104,$B126)</f>
        <v>0</v>
      </c>
      <c r="D126" s="42">
        <f>COUNTIFS($D$4:$D104,"Especial",$B$4:$B104,$B126)</f>
        <v>0</v>
      </c>
      <c r="E126" s="42">
        <f>COUNTIFS($D$4:$D104,"Especial",$B$4:$B104,$B126)</f>
        <v>0</v>
      </c>
      <c r="F126" s="42">
        <f>COUNTIF($B$4:B104,$B126)</f>
        <v>0</v>
      </c>
      <c r="H126" s="124">
        <f>COUNTIFS($H$4:$H104,"No Conformidad",$B$4:$B104,$B126)</f>
        <v>0</v>
      </c>
      <c r="I126" s="49">
        <f>COUNTIFS($H$4:$H104,"Recomendación",$B$4:$B104,$B126)</f>
        <v>0</v>
      </c>
      <c r="J126" s="49">
        <f>COUNTIFS($I$4:$I104,"Si",$B$4:$B104,$B126)</f>
        <v>0</v>
      </c>
      <c r="K126" s="71">
        <f>COUNTIFS($I$4:$I104,"No",$B$4:$B104,$B126)</f>
        <v>0</v>
      </c>
      <c r="L126" s="99"/>
    </row>
    <row r="127" spans="2:20" ht="15.75" thickBot="1" x14ac:dyDescent="0.3">
      <c r="B127" s="134" t="s">
        <v>65</v>
      </c>
      <c r="C127" s="42">
        <f>COUNTIFS($D$4:$D104,"Auditoria",$B$4:$B104,$B127)</f>
        <v>0</v>
      </c>
      <c r="D127" s="42">
        <f>COUNTIFS($D$4:$D104,"Especial",$B$4:$B104,$B127)</f>
        <v>0</v>
      </c>
      <c r="E127" s="42">
        <f>COUNTIFS($D$4:$D104,"Especial",$B$4:$B104,$B127)</f>
        <v>0</v>
      </c>
      <c r="F127" s="42">
        <f>COUNTIF($B$4:B104,$B127)</f>
        <v>0</v>
      </c>
      <c r="H127" s="131">
        <f>COUNTIFS($H$4:$H104,"No Conformidad",$B$4:$B104,$B127)</f>
        <v>0</v>
      </c>
      <c r="I127" s="78">
        <f>COUNTIFS($H$4:$H104,"Recomendación",$B$4:$B104,$B127)</f>
        <v>0</v>
      </c>
      <c r="J127" s="78">
        <f>COUNTIFS($I$4:$I104,"Si",$B$4:$B104,$B127)</f>
        <v>0</v>
      </c>
      <c r="K127" s="80">
        <f>COUNTIFS($I$4:$I104,"No",$B$4:$B104,$B127)</f>
        <v>0</v>
      </c>
      <c r="L127" s="99"/>
    </row>
    <row r="128" spans="2:20" ht="17.25" thickTop="1" thickBot="1" x14ac:dyDescent="0.3">
      <c r="B128" s="135" t="s">
        <v>86</v>
      </c>
      <c r="C128" s="117">
        <f>SUBTOTAL(9,C116:C127)</f>
        <v>5</v>
      </c>
      <c r="D128" s="118">
        <f t="shared" ref="D128:E128" si="6">SUBTOTAL(9,D116:D127)</f>
        <v>1</v>
      </c>
      <c r="E128" s="118">
        <f t="shared" si="6"/>
        <v>1</v>
      </c>
      <c r="F128" s="136">
        <f>SUM(F116:F127)</f>
        <v>7</v>
      </c>
      <c r="G128" s="135" t="s">
        <v>86</v>
      </c>
      <c r="H128" s="92">
        <f>SUM(H116:H127)</f>
        <v>4</v>
      </c>
      <c r="I128" s="93">
        <f t="shared" ref="I128:K128" si="7">SUM(I116:I127)</f>
        <v>3</v>
      </c>
      <c r="J128" s="93">
        <f t="shared" si="7"/>
        <v>5</v>
      </c>
      <c r="K128" s="94">
        <f t="shared" si="7"/>
        <v>2</v>
      </c>
      <c r="L128" s="99"/>
    </row>
    <row r="129" spans="2:12" ht="13.5" thickBot="1" x14ac:dyDescent="0.25">
      <c r="F129" s="137">
        <f>SUM(C128:E128)</f>
        <v>7</v>
      </c>
      <c r="H129" s="32"/>
      <c r="L129" s="99"/>
    </row>
    <row r="130" spans="2:12" ht="6.75" customHeight="1" thickBot="1" x14ac:dyDescent="0.25">
      <c r="F130" s="138"/>
      <c r="H130" s="32"/>
    </row>
    <row r="131" spans="2:12" ht="15" x14ac:dyDescent="0.2">
      <c r="B131" s="703" t="s">
        <v>0</v>
      </c>
      <c r="C131" s="705" t="s">
        <v>51</v>
      </c>
      <c r="D131" s="706"/>
      <c r="E131" s="706"/>
      <c r="F131" s="707"/>
      <c r="H131" s="705" t="s">
        <v>55</v>
      </c>
      <c r="I131" s="706"/>
      <c r="J131" s="706"/>
      <c r="K131" s="707"/>
    </row>
    <row r="132" spans="2:12" ht="16.5" thickBot="1" x14ac:dyDescent="0.25">
      <c r="B132" s="704"/>
      <c r="C132" s="139" t="s">
        <v>86</v>
      </c>
      <c r="D132" s="140" t="s">
        <v>78</v>
      </c>
      <c r="E132" s="141" t="s">
        <v>53</v>
      </c>
      <c r="F132" s="142" t="s">
        <v>101</v>
      </c>
      <c r="H132" s="139" t="s">
        <v>86</v>
      </c>
      <c r="I132" s="140" t="s">
        <v>78</v>
      </c>
      <c r="J132" s="141" t="s">
        <v>53</v>
      </c>
      <c r="K132" s="142" t="s">
        <v>102</v>
      </c>
    </row>
    <row r="133" spans="2:12" ht="15.75" thickTop="1" x14ac:dyDescent="0.25">
      <c r="B133" s="120" t="s">
        <v>49</v>
      </c>
      <c r="C133" s="121">
        <f>COUNTIFS($N$4:N104,"Abierta",$B$4:B104,$B133)</f>
        <v>1</v>
      </c>
      <c r="D133" s="42">
        <f>COUNTIFS($N$4:$N104,"Abierta",$H$4:$H104,"No Conformidad",$B$4:$B104,B133)</f>
        <v>1</v>
      </c>
      <c r="E133" s="42">
        <f>COUNTIFS($N$4:N104,"Abierta",$H$4:H104,"Recomendación",$B$4:B104,B133)</f>
        <v>0</v>
      </c>
      <c r="F133" s="143">
        <f>C133/$C$145</f>
        <v>0.25</v>
      </c>
      <c r="H133" s="121">
        <f>COUNTIFS($N$4:$N104,"Cerrada",$B$4:B$104,$B133)</f>
        <v>1</v>
      </c>
      <c r="I133" s="42">
        <f>COUNTIFS($N$4:$N104,"Cerrada",$H$4:$H104,"No Conformidad",$B$4:$B104,B133)</f>
        <v>0</v>
      </c>
      <c r="J133" s="42">
        <f>COUNTIFS($N$4:N104,"Cerrada",$H$4:H104,"Recomendación",$B$4:B104,B133)</f>
        <v>1</v>
      </c>
      <c r="K133" s="144">
        <f>H133/$H$145</f>
        <v>0.33333333333333331</v>
      </c>
    </row>
    <row r="134" spans="2:12" ht="45" x14ac:dyDescent="0.25">
      <c r="B134" s="123" t="s">
        <v>35</v>
      </c>
      <c r="C134" s="121">
        <f>COUNTIFS($N$4:N104,"Abierta",$B$4:B104,$B134)</f>
        <v>0</v>
      </c>
      <c r="D134" s="42">
        <f>COUNTIFS($N$4:N104,"Abierta",$H$4:H104,"No Conformidad",$B$4:B104,B134)</f>
        <v>0</v>
      </c>
      <c r="E134" s="42">
        <f>COUNTIFS($N$4:N104,"Abierta",$H$4:H104,"Recomendación",$B$4:B104,B134)</f>
        <v>0</v>
      </c>
      <c r="F134" s="143">
        <f t="shared" ref="F134:F144" si="8">C134/$C$145</f>
        <v>0</v>
      </c>
      <c r="H134" s="121">
        <f>COUNTIFS($N$4:$N104,"Cerrada",$B$4:$B104,$B134)</f>
        <v>0</v>
      </c>
      <c r="I134" s="42">
        <f>COUNTIFS($N$4:$N104,"Cerrada",$H$4:$H104,"No Conformidad",$B$4:$B104,B134)</f>
        <v>0</v>
      </c>
      <c r="J134" s="42">
        <f>COUNTIFS($N$4:$N104,"Cerrada",$H$4:$H104,"Recomendación",$B$4:$B104,B134)</f>
        <v>0</v>
      </c>
      <c r="K134" s="144">
        <f t="shared" ref="K134:K144" si="9">H134/$H$145</f>
        <v>0</v>
      </c>
    </row>
    <row r="135" spans="2:12" ht="15" x14ac:dyDescent="0.25">
      <c r="B135" s="125" t="s">
        <v>10</v>
      </c>
      <c r="C135" s="121">
        <f>COUNTIFS($N$4:N104,"Abierta",$B$4:B104,$B135)</f>
        <v>0</v>
      </c>
      <c r="D135" s="42">
        <f>COUNTIFS($N$4:N104,"Abierta",$H$4:H104,"No Conformidad",$B$4:B104,B135)</f>
        <v>0</v>
      </c>
      <c r="E135" s="42">
        <f>COUNTIFS($N$4:N104,"Abierta",$H$4:H104,"Recomendación",$B$4:B104,B135)</f>
        <v>0</v>
      </c>
      <c r="F135" s="143">
        <f t="shared" si="8"/>
        <v>0</v>
      </c>
      <c r="H135" s="121">
        <f>COUNTIFS($N$4:$N104,"Cerrada",$B$4:$B104,$B135)</f>
        <v>0</v>
      </c>
      <c r="I135" s="42">
        <f>COUNTIFS($N$4:$N104,"Cerrada",$H$4:$H104,"No Conformidad",$B$4:$B104,B135)</f>
        <v>0</v>
      </c>
      <c r="J135" s="42">
        <f>COUNTIFS($N$4:$N104,"Cerrada",$H$4:$H104,"Recomendación",$B$4:$B104,B135)</f>
        <v>0</v>
      </c>
      <c r="K135" s="144">
        <f t="shared" si="9"/>
        <v>0</v>
      </c>
    </row>
    <row r="136" spans="2:12" ht="15" x14ac:dyDescent="0.25">
      <c r="B136" s="125" t="s">
        <v>2</v>
      </c>
      <c r="C136" s="121">
        <f>COUNTIFS($N$4:N104,"Abierta",$B$4:B104,$B136)</f>
        <v>0</v>
      </c>
      <c r="D136" s="42">
        <f>COUNTIFS($N$4:N104,"Abierta",$H$4:H104,"No Conformidad",$B$4:B104,B136)</f>
        <v>0</v>
      </c>
      <c r="E136" s="42">
        <f>COUNTIFS($N$4:N104,"Abierta",$H$4:H104,"Recomendación",$B$4:B104,B136)</f>
        <v>0</v>
      </c>
      <c r="F136" s="143">
        <f t="shared" si="8"/>
        <v>0</v>
      </c>
      <c r="H136" s="121">
        <f>COUNTIFS($N$4:$N104,"Cerrada",$B$4:$B104,$B136)</f>
        <v>0</v>
      </c>
      <c r="I136" s="42">
        <f>COUNTIFS($N$4:$N104,"Cerrada",$H$4:$H104,"No Conformidad",$B$4:$B104,B136)</f>
        <v>0</v>
      </c>
      <c r="J136" s="42">
        <f>COUNTIFS($N$4:$N104,"Cerrada",$H$4:$H104,"Recomendación",$B$4:$B104,B136)</f>
        <v>0</v>
      </c>
      <c r="K136" s="144">
        <f t="shared" si="9"/>
        <v>0</v>
      </c>
    </row>
    <row r="137" spans="2:12" ht="15" x14ac:dyDescent="0.25">
      <c r="B137" s="125" t="s">
        <v>36</v>
      </c>
      <c r="C137" s="121">
        <f>COUNTIFS($N$4:N104,"Abierta",$B$4:B104,$B137)</f>
        <v>2</v>
      </c>
      <c r="D137" s="42">
        <f>COUNTIFS($N$4:N104,"Abierta",$H$4:H104,"No Conformidad",$B$4:B104,B137)</f>
        <v>0</v>
      </c>
      <c r="E137" s="42">
        <f>COUNTIFS($N$4:N104,"Abierta",$H$4:H104,"Recomendación",$B$4:B104,B137)</f>
        <v>2</v>
      </c>
      <c r="F137" s="143">
        <f t="shared" si="8"/>
        <v>0.5</v>
      </c>
      <c r="H137" s="121">
        <f>COUNTIFS($N$4:$N104,"Cerrada",$B$4:$B104,$B137)</f>
        <v>1</v>
      </c>
      <c r="I137" s="42">
        <f>COUNTIFS($N$4:$N104,"Cerrada",$H$4:$H104,"No Conformidad",$B$4:$B104,B137)</f>
        <v>1</v>
      </c>
      <c r="J137" s="42">
        <f>COUNTIFS($N$4:$N104,"Cerrada",$H$4:$H104,"Recomendación",$B$4:$B104,B137)</f>
        <v>0</v>
      </c>
      <c r="K137" s="144">
        <f t="shared" si="9"/>
        <v>0.33333333333333331</v>
      </c>
    </row>
    <row r="138" spans="2:12" ht="15" x14ac:dyDescent="0.25">
      <c r="B138" s="125" t="s">
        <v>37</v>
      </c>
      <c r="C138" s="121">
        <f>COUNTIFS($N$4:N104,"Abierta",$B$4:B104,$B138)</f>
        <v>0</v>
      </c>
      <c r="D138" s="42">
        <f>COUNTIFS($N$4:N104,"Abierta",$H$4:H104,"No Conformidad",$B$4:B104,B138)</f>
        <v>0</v>
      </c>
      <c r="E138" s="42">
        <f>COUNTIFS($N$4:N104,"Abierta",$H$4:H104,"Recomendación",$B$4:B104,B138)</f>
        <v>0</v>
      </c>
      <c r="F138" s="143">
        <f t="shared" si="8"/>
        <v>0</v>
      </c>
      <c r="H138" s="121">
        <f>COUNTIFS($N$4:$N104,"Cerrada",$B$4:$B104,$B138)</f>
        <v>1</v>
      </c>
      <c r="I138" s="42">
        <f>COUNTIFS($N$4:$N104,"Cerrada",$H$4:$H104,"No Conformidad",$B$4:$B104,B138)</f>
        <v>1</v>
      </c>
      <c r="J138" s="42">
        <f>COUNTIFS($N$4:$N104,"Cerrada",$H$4:$H104,"Recomendación",$B$4:$B104,B138)</f>
        <v>0</v>
      </c>
      <c r="K138" s="144">
        <f t="shared" si="9"/>
        <v>0.33333333333333331</v>
      </c>
    </row>
    <row r="139" spans="2:12" ht="15" x14ac:dyDescent="0.25">
      <c r="B139" s="125" t="s">
        <v>25</v>
      </c>
      <c r="C139" s="121">
        <f>COUNTIFS($N$4:N104,"Abierta",$B$4:B104,$B139)</f>
        <v>1</v>
      </c>
      <c r="D139" s="42">
        <f>COUNTIFS($N$4:N104,"Abierta",$H$4:H104,"No Conformidad",$B$4:B104,B139)</f>
        <v>1</v>
      </c>
      <c r="E139" s="42">
        <f>COUNTIFS($N$4:N104,"Abierta",$H$4:H104,"Recomendación",$B$4:B104,B139)</f>
        <v>0</v>
      </c>
      <c r="F139" s="143">
        <f t="shared" si="8"/>
        <v>0.25</v>
      </c>
      <c r="H139" s="121">
        <f>COUNTIFS($N$4:$N104,"Cerrada",$B$4:$B104,$B139)</f>
        <v>0</v>
      </c>
      <c r="I139" s="42">
        <f>COUNTIFS($N$4:$N104,"Cerrada",$H$4:$H104,"No Conformidad",$B$4:$B104,B139)</f>
        <v>0</v>
      </c>
      <c r="J139" s="42">
        <f>COUNTIFS($N$4:$N104,"Cerrada",$H$4:$H104,"Recomendación",$B$4:$B104,B139)</f>
        <v>0</v>
      </c>
      <c r="K139" s="144">
        <f t="shared" si="9"/>
        <v>0</v>
      </c>
    </row>
    <row r="140" spans="2:12" ht="15" x14ac:dyDescent="0.25">
      <c r="B140" s="125" t="s">
        <v>61</v>
      </c>
      <c r="C140" s="121">
        <f>COUNTIFS($N$4:N104,"Abierta",$B$4:B104,$B140)</f>
        <v>0</v>
      </c>
      <c r="D140" s="42">
        <f>COUNTIFS($N$4:N104,"Abierta",$H$4:H104,"No Conformidad",$B$4:B104,B140)</f>
        <v>0</v>
      </c>
      <c r="E140" s="42">
        <f>COUNTIFS($N$4:N104,"Abierta",$H$4:H104,"Recomendación",$B$4:B104,B140)</f>
        <v>0</v>
      </c>
      <c r="F140" s="143">
        <f t="shared" si="8"/>
        <v>0</v>
      </c>
      <c r="H140" s="121">
        <f>COUNTIFS($N$4:$N104,"Cerrada",$B$4:$B104,$B140)</f>
        <v>0</v>
      </c>
      <c r="I140" s="42">
        <f>COUNTIFS($N$4:$N104,"Cerrada",$H$4:$H104,"No Conformidad",$B$4:$B104,B140)</f>
        <v>0</v>
      </c>
      <c r="J140" s="42">
        <f>COUNTIFS($N$4:$N104,"Cerrada",$H$4:$H104,"Recomendación",$B$4:$B104,B140)</f>
        <v>0</v>
      </c>
      <c r="K140" s="144">
        <f t="shared" si="9"/>
        <v>0</v>
      </c>
    </row>
    <row r="141" spans="2:12" ht="30" x14ac:dyDescent="0.25">
      <c r="B141" s="123" t="s">
        <v>62</v>
      </c>
      <c r="C141" s="121">
        <f>COUNTIFS($N$4:N104,"Abierta",$B$4:B104,$B141)</f>
        <v>0</v>
      </c>
      <c r="D141" s="42">
        <f>COUNTIFS($N$4:N104,"Abierta",$H$4:H104,"No Conformidad",$B$4:B104,B141)</f>
        <v>0</v>
      </c>
      <c r="E141" s="42">
        <f>COUNTIFS($N$4:N104,"Abierta",$H$4:H104,"Recomendación",$B$4:B104,B141)</f>
        <v>0</v>
      </c>
      <c r="F141" s="143">
        <f t="shared" si="8"/>
        <v>0</v>
      </c>
      <c r="H141" s="121">
        <f>COUNTIFS($N$4:$N104,"Cerrada",$B$4:$B104,$B141)</f>
        <v>0</v>
      </c>
      <c r="I141" s="42">
        <f>COUNTIFS($N$4:$N104,"Cerrada",$H$4:$H104,"No Conformidad",$B$4:$B104,B141)</f>
        <v>0</v>
      </c>
      <c r="J141" s="42">
        <f>COUNTIFS($N$4:$N104,"Cerrada",$H$4:$H104,"Recomendación",$B$4:$B104,B141)</f>
        <v>0</v>
      </c>
      <c r="K141" s="144">
        <f t="shared" si="9"/>
        <v>0</v>
      </c>
    </row>
    <row r="142" spans="2:12" ht="15" x14ac:dyDescent="0.25">
      <c r="B142" s="125" t="s">
        <v>63</v>
      </c>
      <c r="C142" s="121">
        <f>COUNTIFS($N$4:N104,"Abierta",$B$4:B104,$B142)</f>
        <v>0</v>
      </c>
      <c r="D142" s="42">
        <f>COUNTIFS($N$4:N104,"Abierta",$H$4:H104,"No Conformidad",$B$4:B104,B142)</f>
        <v>0</v>
      </c>
      <c r="E142" s="42">
        <f>COUNTIFS($N$4:N104,"Abierta",$H$4:H104,"Recomendación",$B$4:B104,B142)</f>
        <v>0</v>
      </c>
      <c r="F142" s="143">
        <f t="shared" si="8"/>
        <v>0</v>
      </c>
      <c r="H142" s="121">
        <f>COUNTIFS($N$4:$N104,"Cerrada",$B$4:$B104,$B142)</f>
        <v>0</v>
      </c>
      <c r="I142" s="42">
        <f>COUNTIFS($N$4:$N104,"Cerrada",$H$4:$H104,"No Conformidad",$B$4:$B104,B142)</f>
        <v>0</v>
      </c>
      <c r="J142" s="42">
        <f>COUNTIFS($N$4:$N104,"Cerrada",$H$4:$H104,"Recomendación",$B$4:$B104,B142)</f>
        <v>0</v>
      </c>
      <c r="K142" s="144">
        <f t="shared" si="9"/>
        <v>0</v>
      </c>
    </row>
    <row r="143" spans="2:12" ht="15" x14ac:dyDescent="0.25">
      <c r="B143" s="125" t="s">
        <v>64</v>
      </c>
      <c r="C143" s="121">
        <f>COUNTIFS($N$4:N104,"Abierta",$B$4:B104,$B143)</f>
        <v>0</v>
      </c>
      <c r="D143" s="42">
        <f>COUNTIFS($N$4:N104,"Abierta",$H$4:H104,"No Conformidad",$B$4:B104,B143)</f>
        <v>0</v>
      </c>
      <c r="E143" s="42">
        <f>COUNTIFS($N$4:N104,"Abierta",$H$4:H104,"Recomendación",$B$4:B104,B143)</f>
        <v>0</v>
      </c>
      <c r="F143" s="143">
        <f t="shared" si="8"/>
        <v>0</v>
      </c>
      <c r="H143" s="121">
        <f>COUNTIFS($N$4:$N104,"Cerrada",$B$4:$B104,$B143)</f>
        <v>0</v>
      </c>
      <c r="I143" s="42">
        <f>COUNTIFS($N$4:$N104,"Cerrada",$H$4:$H104,"No Conformidad",$B$4:$B104,B143)</f>
        <v>0</v>
      </c>
      <c r="J143" s="42">
        <f>COUNTIFS($N$4:$N104,"Cerrada",$H$4:$H104,"Recomendación",$B$4:$B104,B143)</f>
        <v>0</v>
      </c>
      <c r="K143" s="144">
        <f t="shared" si="9"/>
        <v>0</v>
      </c>
    </row>
    <row r="144" spans="2:12" ht="15.75" thickBot="1" x14ac:dyDescent="0.3">
      <c r="B144" s="134" t="s">
        <v>65</v>
      </c>
      <c r="C144" s="121">
        <f>COUNTIFS($N$4:N104,"Abierta",$B$4:B104,$B144)</f>
        <v>0</v>
      </c>
      <c r="D144" s="42">
        <f>COUNTIFS($N$4:N104,"Abierta",$H$4:H104,"No Conformidad",$B$4:B104,B144)</f>
        <v>0</v>
      </c>
      <c r="E144" s="42">
        <f>COUNTIFS($N$4:N104,"Abierta",$H$4:H104,"Recomendación",$B$4:B104,B144)</f>
        <v>0</v>
      </c>
      <c r="F144" s="145">
        <f t="shared" si="8"/>
        <v>0</v>
      </c>
      <c r="H144" s="121">
        <f>COUNTIFS($N$4:$N104,"Cerrada",$B$4:$B104,$B144)</f>
        <v>0</v>
      </c>
      <c r="I144" s="42">
        <f>COUNTIFS($N$4:$N104,"Cerrada",$H$4:$H104,"No Conformidad",$B$4:$B104,B144)</f>
        <v>0</v>
      </c>
      <c r="J144" s="42">
        <f>COUNTIFS($N$4:$N104,"Cerrada",$H$4:$H104,"Recomendación",$B$4:$B104,B144)</f>
        <v>0</v>
      </c>
      <c r="K144" s="144">
        <f t="shared" si="9"/>
        <v>0</v>
      </c>
    </row>
    <row r="145" spans="2:11" ht="17.25" thickTop="1" thickBot="1" x14ac:dyDescent="0.3">
      <c r="B145" s="135" t="s">
        <v>86</v>
      </c>
      <c r="C145" s="146">
        <f>SUM(C133:C144)</f>
        <v>4</v>
      </c>
      <c r="D145" s="147">
        <f t="shared" ref="D145:E145" si="10">SUM(D133:D144)</f>
        <v>2</v>
      </c>
      <c r="E145" s="147">
        <f t="shared" si="10"/>
        <v>2</v>
      </c>
      <c r="F145" s="148">
        <f>SUM(F133:F144)</f>
        <v>1</v>
      </c>
      <c r="G145" s="135" t="s">
        <v>86</v>
      </c>
      <c r="H145" s="149">
        <f>SUM(H133:H144)</f>
        <v>3</v>
      </c>
      <c r="I145" s="149">
        <f t="shared" ref="I145:K145" si="11">SUM(I133:I144)</f>
        <v>2</v>
      </c>
      <c r="J145" s="149">
        <f t="shared" si="11"/>
        <v>1</v>
      </c>
      <c r="K145" s="150">
        <f t="shared" si="11"/>
        <v>1</v>
      </c>
    </row>
  </sheetData>
  <autoFilter ref="A3:R129"/>
  <mergeCells count="12">
    <mergeCell ref="B131:B132"/>
    <mergeCell ref="C131:F131"/>
    <mergeCell ref="H131:K131"/>
    <mergeCell ref="C106:J106"/>
    <mergeCell ref="M106:R106"/>
    <mergeCell ref="C107:D107"/>
    <mergeCell ref="E107:F107"/>
    <mergeCell ref="B114:B115"/>
    <mergeCell ref="C114:E114"/>
    <mergeCell ref="F114:F115"/>
    <mergeCell ref="H114:I114"/>
    <mergeCell ref="J114:K114"/>
  </mergeCells>
  <conditionalFormatting sqref="J6:J103 K4:K103 I3:I103">
    <cfRule type="cellIs" dxfId="971" priority="9" operator="equal">
      <formula>"Plan Mejoramiento"</formula>
    </cfRule>
    <cfRule type="cellIs" dxfId="970" priority="10" operator="equal">
      <formula>"Acción Preventiva"</formula>
    </cfRule>
    <cfRule type="cellIs" dxfId="969" priority="11" operator="equal">
      <formula>"Acción Correctiva"</formula>
    </cfRule>
  </conditionalFormatting>
  <conditionalFormatting sqref="G6:G100 H4:I103">
    <cfRule type="cellIs" dxfId="968" priority="7" operator="equal">
      <formula>"Recomendación"</formula>
    </cfRule>
    <cfRule type="cellIs" dxfId="967" priority="8" operator="equal">
      <formula>"No Conformidad"</formula>
    </cfRule>
  </conditionalFormatting>
  <conditionalFormatting sqref="M6:M100 N4:N103 M108:M109">
    <cfRule type="cellIs" dxfId="966" priority="5" operator="equal">
      <formula>"Cerrada"</formula>
    </cfRule>
    <cfRule type="cellIs" dxfId="965" priority="6" operator="equal">
      <formula>"Abierta"</formula>
    </cfRule>
  </conditionalFormatting>
  <conditionalFormatting sqref="J6:J100 K4:K103 I3:I103">
    <cfRule type="cellIs" dxfId="964" priority="4" operator="equal">
      <formula>"Corrección"</formula>
    </cfRule>
  </conditionalFormatting>
  <conditionalFormatting sqref="C115:E115 D4:E103 G110:G111 H107:I107 N112:O112 N119:O119 O107:P107">
    <cfRule type="cellIs" dxfId="963" priority="1" operator="equal">
      <formula>"Especial"</formula>
    </cfRule>
    <cfRule type="cellIs" dxfId="962" priority="2" operator="equal">
      <formula>"Informes"</formula>
    </cfRule>
    <cfRule type="cellIs" dxfId="961" priority="3" operator="equal">
      <formula>"Auditoria"</formula>
    </cfRule>
  </conditionalFormatting>
  <dataValidations count="8">
    <dataValidation type="list" allowBlank="1" showInputMessage="1" showErrorMessage="1" sqref="E4">
      <formula1>Auditores</formula1>
    </dataValidation>
    <dataValidation type="list" allowBlank="1" showInputMessage="1" showErrorMessage="1" sqref="D4">
      <formula1>"Auditoria,Especial,Informes"</formula1>
    </dataValidation>
    <dataValidation type="list" allowBlank="1" showInputMessage="1" showErrorMessage="1" sqref="I4:I103">
      <formula1>"No,Si"</formula1>
    </dataValidation>
    <dataValidation type="list" allowBlank="1" showInputMessage="1" showErrorMessage="1" sqref="B4:B103">
      <formula1>Proceso</formula1>
    </dataValidation>
    <dataValidation type="list" allowBlank="1" showInputMessage="1" showErrorMessage="1" sqref="N4:N103 M108:M109">
      <formula1>"Abierta,Cerrada"</formula1>
    </dataValidation>
    <dataValidation type="list" allowBlank="1" showInputMessage="1" showErrorMessage="1" sqref="K4:K103">
      <formula1>"Corrección,Acción Correctiva,Acción Preventiva, Plan Mejoramiento"</formula1>
    </dataValidation>
    <dataValidation type="list" allowBlank="1" showInputMessage="1" showErrorMessage="1" sqref="H4:H103">
      <formula1>"No Conformidad,Recomendación"</formula1>
    </dataValidation>
    <dataValidation type="list" allowBlank="1" showInputMessage="1" showErrorMessage="1" sqref="C115:E115 D5:E103 O107">
      <formula1>"Auditoria,Informes,Especial"</formula1>
    </dataValidation>
  </dataValidations>
  <pageMargins left="0.19685039370078741" right="0.39370078740157483" top="0.55118110236220474" bottom="0.47244094488188981" header="0.31496062992125984" footer="0.31496062992125984"/>
  <pageSetup scale="71" orientation="landscape" r:id="rId1"/>
  <headerFooter>
    <oddHeader>&amp;C&amp;"Arial Black,Normal"&amp;12SEGUIMIENTO ACCIONES PLAN DE MEJORAMIENTO DEL PROGRAMA DE AUDITORIA</oddHeader>
    <oddFooter>&amp;L&amp;A&amp;CHoja &amp;P de &amp;N</oddFoot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90" zoomScaleNormal="90" workbookViewId="0">
      <selection activeCell="A2" sqref="A2"/>
    </sheetView>
  </sheetViews>
  <sheetFormatPr baseColWidth="10" defaultRowHeight="15" x14ac:dyDescent="0.25"/>
  <cols>
    <col min="1" max="1" width="33.140625" style="13" bestFit="1" customWidth="1"/>
    <col min="2" max="2" width="42.85546875" customWidth="1"/>
    <col min="3" max="3" width="11.5703125" bestFit="1" customWidth="1"/>
    <col min="4" max="4" width="28.7109375" customWidth="1"/>
    <col min="5" max="5" width="32.42578125" style="2" customWidth="1"/>
  </cols>
  <sheetData>
    <row r="1" spans="1:5" ht="25.5" x14ac:dyDescent="0.25">
      <c r="A1" s="5" t="s">
        <v>9</v>
      </c>
      <c r="B1" s="5" t="s">
        <v>13</v>
      </c>
      <c r="C1" s="6" t="s">
        <v>4</v>
      </c>
      <c r="D1" s="6" t="s">
        <v>17</v>
      </c>
      <c r="E1" s="6" t="s">
        <v>18</v>
      </c>
    </row>
    <row r="2" spans="1:5" x14ac:dyDescent="0.25">
      <c r="A2" s="11"/>
      <c r="B2" s="11"/>
      <c r="C2" s="10"/>
      <c r="D2" s="14"/>
      <c r="E2" s="17"/>
    </row>
    <row r="3" spans="1:5" x14ac:dyDescent="0.25">
      <c r="A3" s="11"/>
      <c r="B3" s="3"/>
      <c r="C3" s="7"/>
      <c r="D3" s="14"/>
      <c r="E3" s="17"/>
    </row>
    <row r="4" spans="1:5" x14ac:dyDescent="0.25">
      <c r="A4" s="11"/>
      <c r="B4" s="3"/>
      <c r="C4" s="10"/>
      <c r="D4" s="14"/>
      <c r="E4" s="17"/>
    </row>
    <row r="5" spans="1:5" x14ac:dyDescent="0.25">
      <c r="A5" s="11"/>
      <c r="B5" s="3"/>
      <c r="C5" s="10"/>
      <c r="D5" s="14"/>
      <c r="E5" s="17"/>
    </row>
    <row r="6" spans="1:5" x14ac:dyDescent="0.25">
      <c r="A6" s="11"/>
      <c r="B6" s="3"/>
      <c r="C6" s="7"/>
      <c r="D6" s="14"/>
      <c r="E6" s="17"/>
    </row>
    <row r="7" spans="1:5" x14ac:dyDescent="0.25">
      <c r="A7" s="11"/>
      <c r="B7" s="11"/>
      <c r="C7" s="7"/>
      <c r="D7" s="14"/>
      <c r="E7" s="17"/>
    </row>
    <row r="8" spans="1:5" x14ac:dyDescent="0.25">
      <c r="A8" s="11"/>
      <c r="B8" s="3"/>
      <c r="C8" s="10"/>
      <c r="D8" s="14"/>
      <c r="E8" s="17"/>
    </row>
    <row r="9" spans="1:5" x14ac:dyDescent="0.25">
      <c r="A9" s="11"/>
      <c r="B9" s="11"/>
      <c r="C9" s="7"/>
      <c r="D9" s="14"/>
      <c r="E9" s="17"/>
    </row>
    <row r="10" spans="1:5" x14ac:dyDescent="0.25">
      <c r="A10" s="11"/>
      <c r="B10" s="3"/>
      <c r="C10" s="7"/>
      <c r="D10" s="14"/>
      <c r="E10" s="17"/>
    </row>
    <row r="11" spans="1:5" x14ac:dyDescent="0.25">
      <c r="A11" s="8"/>
      <c r="B11" s="3"/>
      <c r="C11" s="7"/>
      <c r="D11" s="14"/>
      <c r="E11" s="17"/>
    </row>
    <row r="12" spans="1:5" x14ac:dyDescent="0.25">
      <c r="A12" s="8"/>
      <c r="B12" s="3"/>
      <c r="C12" s="7"/>
      <c r="D12" s="14"/>
      <c r="E12" s="17"/>
    </row>
    <row r="13" spans="1:5" x14ac:dyDescent="0.25">
      <c r="A13" s="8"/>
      <c r="B13" s="8"/>
      <c r="C13" s="9"/>
      <c r="D13" s="14"/>
      <c r="E13" s="17"/>
    </row>
    <row r="14" spans="1:5" x14ac:dyDescent="0.25">
      <c r="A14" s="8"/>
      <c r="B14" s="4"/>
      <c r="C14" s="10"/>
      <c r="D14" s="14"/>
      <c r="E14" s="17"/>
    </row>
    <row r="15" spans="1:5" x14ac:dyDescent="0.25">
      <c r="A15" s="11"/>
      <c r="B15" s="3"/>
      <c r="C15" s="7"/>
      <c r="D15" s="14"/>
      <c r="E15" s="17"/>
    </row>
    <row r="16" spans="1:5" x14ac:dyDescent="0.25">
      <c r="A16" s="11"/>
      <c r="B16" s="3"/>
      <c r="C16" s="7"/>
      <c r="D16" s="14"/>
      <c r="E16" s="17"/>
    </row>
    <row r="17" spans="1:5" x14ac:dyDescent="0.25">
      <c r="A17" s="11"/>
      <c r="B17" s="3"/>
      <c r="C17" s="7"/>
      <c r="D17" s="14"/>
      <c r="E17" s="17"/>
    </row>
    <row r="18" spans="1:5" x14ac:dyDescent="0.25">
      <c r="A18" s="11"/>
      <c r="B18" s="3"/>
      <c r="C18" s="7"/>
      <c r="D18" s="14"/>
      <c r="E18" s="17"/>
    </row>
    <row r="19" spans="1:5" x14ac:dyDescent="0.25">
      <c r="A19" s="11"/>
      <c r="B19" s="3"/>
      <c r="C19" s="7"/>
      <c r="D19" s="14"/>
      <c r="E19" s="17"/>
    </row>
    <row r="20" spans="1:5" x14ac:dyDescent="0.25">
      <c r="A20" s="11"/>
      <c r="B20" s="3"/>
      <c r="C20" s="7"/>
      <c r="D20" s="14"/>
      <c r="E20" s="17"/>
    </row>
    <row r="21" spans="1:5" x14ac:dyDescent="0.25">
      <c r="A21" s="11"/>
      <c r="B21" s="3"/>
      <c r="C21" s="12"/>
      <c r="D21" s="14"/>
      <c r="E21" s="17"/>
    </row>
    <row r="22" spans="1:5" x14ac:dyDescent="0.25">
      <c r="A22" s="11"/>
      <c r="B22" s="3"/>
      <c r="C22" s="7"/>
      <c r="D22" s="14"/>
      <c r="E22" s="17"/>
    </row>
    <row r="23" spans="1:5" x14ac:dyDescent="0.25">
      <c r="A23" s="11"/>
      <c r="B23" s="11"/>
      <c r="C23" s="10"/>
      <c r="D23" s="14"/>
      <c r="E23" s="17"/>
    </row>
    <row r="24" spans="1:5" x14ac:dyDescent="0.25">
      <c r="A24" s="11"/>
      <c r="B24" s="11"/>
      <c r="C24" s="10"/>
      <c r="D24" s="14"/>
      <c r="E24" s="17"/>
    </row>
    <row r="25" spans="1:5" x14ac:dyDescent="0.25">
      <c r="A25" s="11"/>
      <c r="B25" s="11"/>
      <c r="C25" s="10"/>
      <c r="D25" s="14"/>
      <c r="E25" s="17"/>
    </row>
    <row r="26" spans="1:5" s="1" customFormat="1" x14ac:dyDescent="0.25">
      <c r="A26" s="11"/>
      <c r="B26" s="11"/>
      <c r="C26" s="10"/>
      <c r="D26" s="14"/>
      <c r="E26" s="17"/>
    </row>
    <row r="27" spans="1:5" x14ac:dyDescent="0.25">
      <c r="A27" s="8"/>
      <c r="B27" s="3"/>
      <c r="C27" s="7"/>
      <c r="D27" s="14"/>
      <c r="E27" s="17"/>
    </row>
    <row r="28" spans="1:5" x14ac:dyDescent="0.25">
      <c r="A28" s="11"/>
      <c r="B28" s="3"/>
      <c r="C28" s="7"/>
      <c r="D28" s="14"/>
      <c r="E28" s="17"/>
    </row>
    <row r="29" spans="1:5" x14ac:dyDescent="0.25">
      <c r="A29" s="8"/>
      <c r="B29" s="3"/>
      <c r="C29" s="7"/>
      <c r="D29" s="14"/>
      <c r="E29" s="17"/>
    </row>
    <row r="30" spans="1:5" x14ac:dyDescent="0.25">
      <c r="A30" s="11"/>
      <c r="B30" s="3"/>
      <c r="C30" s="7"/>
      <c r="D30" s="14"/>
      <c r="E30" s="17"/>
    </row>
    <row r="31" spans="1:5" x14ac:dyDescent="0.25">
      <c r="A31" s="11"/>
      <c r="B31" s="3"/>
      <c r="C31" s="7"/>
      <c r="D31" s="14"/>
      <c r="E31" s="17"/>
    </row>
    <row r="32" spans="1:5" x14ac:dyDescent="0.25">
      <c r="A32" s="11"/>
      <c r="B32" s="3"/>
      <c r="C32" s="7"/>
      <c r="D32" s="14"/>
      <c r="E32" s="17"/>
    </row>
    <row r="33" spans="1:5" x14ac:dyDescent="0.25">
      <c r="A33" s="11"/>
      <c r="B33" s="3"/>
      <c r="C33" s="7"/>
      <c r="D33" s="14"/>
      <c r="E33" s="17"/>
    </row>
    <row r="34" spans="1:5" x14ac:dyDescent="0.25">
      <c r="A34" s="11"/>
      <c r="B34" s="3"/>
      <c r="C34" s="7"/>
      <c r="D34" s="14"/>
      <c r="E34" s="17"/>
    </row>
    <row r="35" spans="1:5" x14ac:dyDescent="0.25">
      <c r="A35" s="11"/>
      <c r="B35" s="3"/>
      <c r="C35" s="7"/>
      <c r="D35" s="14"/>
      <c r="E35" s="17"/>
    </row>
    <row r="36" spans="1:5" x14ac:dyDescent="0.25">
      <c r="A36" s="11"/>
      <c r="B36" s="3"/>
      <c r="C36" s="7"/>
      <c r="D36" s="14"/>
      <c r="E36" s="17"/>
    </row>
    <row r="37" spans="1:5" x14ac:dyDescent="0.25">
      <c r="A37" s="11"/>
      <c r="B37" s="3"/>
      <c r="C37" s="7"/>
      <c r="D37" s="153"/>
      <c r="E37" s="17"/>
    </row>
    <row r="38" spans="1:5" x14ac:dyDescent="0.25">
      <c r="A38" s="11"/>
      <c r="B38" s="3"/>
      <c r="C38" s="7"/>
      <c r="D38" s="153"/>
      <c r="E38" s="17"/>
    </row>
    <row r="39" spans="1:5" x14ac:dyDescent="0.25">
      <c r="A39" s="11"/>
      <c r="B39" s="3"/>
      <c r="C39" s="7"/>
      <c r="D39" s="153"/>
      <c r="E39" s="17"/>
    </row>
    <row r="40" spans="1:5" x14ac:dyDescent="0.25">
      <c r="A40" s="11"/>
      <c r="B40" s="3"/>
      <c r="C40" s="154"/>
      <c r="D40" s="153"/>
      <c r="E40" s="17"/>
    </row>
    <row r="41" spans="1:5" x14ac:dyDescent="0.25">
      <c r="A41" s="11"/>
      <c r="B41" s="3"/>
      <c r="C41" s="154"/>
      <c r="D41" s="153"/>
      <c r="E41" s="17"/>
    </row>
  </sheetData>
  <sortState ref="A2:D23">
    <sortCondition ref="A2:A23"/>
  </sortState>
  <pageMargins left="0.70866141732283472" right="0.70866141732283472" top="0.74803149606299213" bottom="0.5" header="0.31496062992125984" footer="0.31496062992125984"/>
  <pageSetup scale="7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4" sqref="C14"/>
    </sheetView>
  </sheetViews>
  <sheetFormatPr baseColWidth="10" defaultRowHeight="14.25" x14ac:dyDescent="0.2"/>
  <cols>
    <col min="1" max="1" width="9.85546875" style="267" customWidth="1"/>
    <col min="2" max="2" width="11.42578125" style="267"/>
    <col min="3" max="3" width="50.42578125" style="267" customWidth="1"/>
    <col min="4" max="4" width="17.28515625" style="267" customWidth="1"/>
    <col min="5" max="16384" width="11.42578125" style="267"/>
  </cols>
  <sheetData>
    <row r="1" spans="1:4" ht="15.75" thickBot="1" x14ac:dyDescent="0.25">
      <c r="A1" s="272" t="s">
        <v>367</v>
      </c>
      <c r="B1" s="273" t="s">
        <v>365</v>
      </c>
      <c r="C1" s="273" t="s">
        <v>366</v>
      </c>
      <c r="D1" s="274" t="s">
        <v>103</v>
      </c>
    </row>
    <row r="2" spans="1:4" ht="29.25" thickTop="1" x14ac:dyDescent="0.2">
      <c r="A2" s="271">
        <v>1</v>
      </c>
      <c r="B2" s="279">
        <v>41701</v>
      </c>
      <c r="C2" s="276" t="s">
        <v>380</v>
      </c>
      <c r="D2" s="277" t="s">
        <v>381</v>
      </c>
    </row>
    <row r="3" spans="1:4" ht="57" x14ac:dyDescent="0.2">
      <c r="A3" s="269">
        <v>2</v>
      </c>
      <c r="B3" s="280">
        <v>42109</v>
      </c>
      <c r="C3" s="275" t="s">
        <v>377</v>
      </c>
      <c r="D3" s="278" t="s">
        <v>378</v>
      </c>
    </row>
    <row r="4" spans="1:4" ht="71.25" x14ac:dyDescent="0.2">
      <c r="A4" s="269">
        <v>3</v>
      </c>
      <c r="B4" s="280">
        <v>42285</v>
      </c>
      <c r="C4" s="270" t="s">
        <v>379</v>
      </c>
      <c r="D4" s="278" t="s">
        <v>376</v>
      </c>
    </row>
    <row r="5" spans="1:4" ht="57" x14ac:dyDescent="0.2">
      <c r="A5" s="269">
        <v>4</v>
      </c>
      <c r="B5" s="280">
        <v>42521</v>
      </c>
      <c r="C5" s="316" t="s">
        <v>588</v>
      </c>
      <c r="D5" s="317" t="s">
        <v>586</v>
      </c>
    </row>
    <row r="6" spans="1:4" ht="57" x14ac:dyDescent="0.2">
      <c r="A6" s="269">
        <v>5</v>
      </c>
      <c r="B6" s="280">
        <v>42537</v>
      </c>
      <c r="C6" s="316" t="s">
        <v>587</v>
      </c>
      <c r="D6" s="317" t="s">
        <v>586</v>
      </c>
    </row>
    <row r="7" spans="1:4" x14ac:dyDescent="0.2">
      <c r="B7" s="268"/>
    </row>
    <row r="8" spans="1:4" x14ac:dyDescent="0.2">
      <c r="B8" s="268"/>
    </row>
    <row r="9" spans="1:4" x14ac:dyDescent="0.2">
      <c r="B9" s="268"/>
    </row>
    <row r="10" spans="1:4" x14ac:dyDescent="0.2">
      <c r="B10" s="268"/>
    </row>
    <row r="11" spans="1:4" x14ac:dyDescent="0.2">
      <c r="B11" s="268"/>
    </row>
    <row r="12" spans="1:4" x14ac:dyDescent="0.2">
      <c r="B12" s="268"/>
    </row>
    <row r="13" spans="1:4" x14ac:dyDescent="0.2">
      <c r="B13" s="268"/>
    </row>
    <row r="14" spans="1:4" x14ac:dyDescent="0.2">
      <c r="B14" s="268"/>
    </row>
    <row r="15" spans="1:4" x14ac:dyDescent="0.2">
      <c r="B15" s="268"/>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7" tint="0.39997558519241921"/>
  </sheetPr>
  <dimension ref="A1:AE361"/>
  <sheetViews>
    <sheetView topLeftCell="F1" zoomScale="70" zoomScaleNormal="70" zoomScaleSheetLayoutView="80" workbookViewId="0">
      <pane ySplit="3" topLeftCell="A202" activePane="bottomLeft" state="frozen"/>
      <selection pane="bottomLeft" activeCell="R272" sqref="R272"/>
    </sheetView>
  </sheetViews>
  <sheetFormatPr baseColWidth="10" defaultColWidth="11.42578125" defaultRowHeight="14.25" x14ac:dyDescent="0.2"/>
  <cols>
    <col min="1" max="1" width="7.42578125" style="32" customWidth="1"/>
    <col min="2" max="2" width="17" style="32" customWidth="1"/>
    <col min="3" max="3" width="26.85546875" style="32" customWidth="1"/>
    <col min="4" max="4" width="13.5703125" style="349" customWidth="1"/>
    <col min="5" max="5" width="12.42578125" style="32" customWidth="1"/>
    <col min="6" max="6" width="14.140625" style="32" customWidth="1"/>
    <col min="7" max="7" width="11.5703125" style="425" customWidth="1"/>
    <col min="8" max="8" width="58.140625" style="509" customWidth="1"/>
    <col min="9" max="9" width="14.5703125" style="426" customWidth="1"/>
    <col min="10" max="10" width="11.42578125" style="32" customWidth="1"/>
    <col min="11" max="11" width="11.28515625" style="32" customWidth="1"/>
    <col min="12" max="12" width="12" style="32" customWidth="1"/>
    <col min="13" max="13" width="16" style="32" customWidth="1"/>
    <col min="14" max="14" width="19.7109375" style="32" customWidth="1"/>
    <col min="15" max="15" width="46.42578125" style="509" customWidth="1"/>
    <col min="16" max="16" width="13.42578125" style="32" customWidth="1"/>
    <col min="17" max="17" width="43.7109375" style="32" customWidth="1"/>
    <col min="18" max="18" width="10.5703125" style="32" customWidth="1"/>
    <col min="19" max="19" width="11.85546875" style="32" customWidth="1"/>
    <col min="20" max="20" width="52.42578125" style="32" customWidth="1"/>
    <col min="21" max="22" width="18.28515625" style="32" customWidth="1"/>
    <col min="23" max="23" width="25.85546875" style="32" customWidth="1"/>
    <col min="24" max="24" width="14.5703125" style="32" customWidth="1"/>
    <col min="25" max="25" width="11.42578125" style="32" customWidth="1"/>
    <col min="26" max="27" width="11.42578125" style="419" customWidth="1"/>
    <col min="28" max="28" width="11.42578125" style="31" customWidth="1"/>
    <col min="29" max="16384" width="11.42578125" style="31"/>
  </cols>
  <sheetData>
    <row r="1" spans="1:25" ht="39" thickBot="1" x14ac:dyDescent="0.25">
      <c r="A1" s="402"/>
      <c r="B1" s="30" t="s">
        <v>66</v>
      </c>
      <c r="C1" s="290">
        <v>2017</v>
      </c>
      <c r="D1" s="337" t="s">
        <v>302</v>
      </c>
      <c r="E1" s="220" t="s">
        <v>302</v>
      </c>
      <c r="F1" s="165"/>
      <c r="G1" s="416"/>
      <c r="H1" s="510"/>
      <c r="I1" s="220" t="s">
        <v>302</v>
      </c>
      <c r="J1" s="220" t="s">
        <v>302</v>
      </c>
      <c r="K1" s="543" t="s">
        <v>302</v>
      </c>
      <c r="L1" s="30"/>
      <c r="M1" s="417" t="s">
        <v>301</v>
      </c>
      <c r="N1" s="418">
        <v>42916</v>
      </c>
      <c r="Q1" s="30"/>
      <c r="X1" s="220"/>
    </row>
    <row r="2" spans="1:25" ht="3.75" customHeight="1" thickBot="1" x14ac:dyDescent="0.25">
      <c r="B2" s="30"/>
      <c r="C2" s="30"/>
      <c r="D2" s="348"/>
      <c r="E2" s="30"/>
      <c r="F2" s="30"/>
      <c r="G2" s="416"/>
      <c r="H2" s="510"/>
      <c r="I2" s="420"/>
      <c r="J2" s="89"/>
      <c r="K2" s="30"/>
      <c r="L2" s="30"/>
      <c r="M2" s="30"/>
      <c r="N2" s="30"/>
      <c r="O2" s="510"/>
      <c r="P2" s="30"/>
      <c r="Q2" s="30"/>
      <c r="S2" s="30"/>
      <c r="X2" s="89"/>
    </row>
    <row r="3" spans="1:25" ht="75.75" thickBot="1" x14ac:dyDescent="0.25">
      <c r="A3" s="34" t="s">
        <v>68</v>
      </c>
      <c r="B3" s="35" t="s">
        <v>0</v>
      </c>
      <c r="C3" s="35" t="s">
        <v>1</v>
      </c>
      <c r="D3" s="338" t="s">
        <v>42</v>
      </c>
      <c r="E3" s="185" t="s">
        <v>199</v>
      </c>
      <c r="F3" s="36" t="s">
        <v>726</v>
      </c>
      <c r="G3" s="37" t="s">
        <v>70</v>
      </c>
      <c r="H3" s="204" t="s">
        <v>71</v>
      </c>
      <c r="I3" s="218" t="s">
        <v>45</v>
      </c>
      <c r="J3" s="219" t="s">
        <v>132</v>
      </c>
      <c r="K3" s="544" t="s">
        <v>72</v>
      </c>
      <c r="L3" s="36" t="s">
        <v>73</v>
      </c>
      <c r="M3" s="318" t="s">
        <v>47</v>
      </c>
      <c r="N3" s="318" t="s">
        <v>103</v>
      </c>
      <c r="O3" s="318" t="s">
        <v>33</v>
      </c>
      <c r="P3" s="39" t="s">
        <v>106</v>
      </c>
      <c r="Q3" s="210" t="s">
        <v>32</v>
      </c>
      <c r="R3" s="160" t="s">
        <v>131</v>
      </c>
      <c r="S3" s="39" t="s">
        <v>74</v>
      </c>
      <c r="T3" s="210" t="s">
        <v>75</v>
      </c>
      <c r="U3" s="36" t="s">
        <v>76</v>
      </c>
      <c r="V3" s="188" t="s">
        <v>206</v>
      </c>
      <c r="W3" s="41" t="s">
        <v>77</v>
      </c>
      <c r="X3" s="218" t="s">
        <v>591</v>
      </c>
      <c r="Y3" s="32" t="s">
        <v>105</v>
      </c>
    </row>
    <row r="4" spans="1:25" ht="281.25" hidden="1" customHeight="1" thickTop="1" x14ac:dyDescent="0.2">
      <c r="A4" s="818">
        <v>1</v>
      </c>
      <c r="B4" s="687" t="s">
        <v>49</v>
      </c>
      <c r="C4" s="778" t="s">
        <v>201</v>
      </c>
      <c r="D4" s="738" t="s">
        <v>43</v>
      </c>
      <c r="E4" s="720" t="s">
        <v>0</v>
      </c>
      <c r="F4" s="779" t="s">
        <v>58</v>
      </c>
      <c r="G4" s="780">
        <v>41626</v>
      </c>
      <c r="H4" s="794" t="s">
        <v>24</v>
      </c>
      <c r="I4" s="755" t="s">
        <v>78</v>
      </c>
      <c r="J4" s="755" t="s">
        <v>134</v>
      </c>
      <c r="K4" s="775" t="s">
        <v>79</v>
      </c>
      <c r="L4" s="46">
        <v>41753</v>
      </c>
      <c r="M4" s="363" t="s">
        <v>50</v>
      </c>
      <c r="N4" s="363" t="s">
        <v>168</v>
      </c>
      <c r="O4" s="557" t="s">
        <v>185</v>
      </c>
      <c r="P4" s="46">
        <v>42551</v>
      </c>
      <c r="Q4" s="655" t="s">
        <v>1020</v>
      </c>
      <c r="R4" s="367" t="s">
        <v>55</v>
      </c>
      <c r="S4" s="46">
        <v>42733</v>
      </c>
      <c r="T4" s="485" t="s">
        <v>760</v>
      </c>
      <c r="U4" s="498">
        <f t="shared" ref="U4:U9" si="0">DAYS360(G4,L4,0)+1</f>
        <v>127</v>
      </c>
      <c r="V4" s="375" t="str">
        <f t="shared" ref="V4:V14" si="1">IF(U4&gt;7,"Inoportuno",(IF(U4&lt;0,"No ha formulado PM","Oportuno")))</f>
        <v>Inoportuno</v>
      </c>
      <c r="W4" s="383">
        <f t="shared" ref="W4:W10" si="2">DAYS360(P4,S4,0)+1</f>
        <v>180</v>
      </c>
      <c r="X4" s="806" t="s">
        <v>336</v>
      </c>
    </row>
    <row r="5" spans="1:25" ht="171.75" hidden="1" customHeight="1" thickBot="1" x14ac:dyDescent="0.25">
      <c r="A5" s="734"/>
      <c r="B5" s="676" t="s">
        <v>49</v>
      </c>
      <c r="C5" s="743"/>
      <c r="D5" s="735"/>
      <c r="E5" s="743"/>
      <c r="F5" s="741"/>
      <c r="G5" s="760"/>
      <c r="H5" s="745"/>
      <c r="I5" s="755"/>
      <c r="J5" s="755"/>
      <c r="K5" s="776"/>
      <c r="L5" s="46">
        <v>41753</v>
      </c>
      <c r="M5" s="363" t="s">
        <v>50</v>
      </c>
      <c r="N5" s="363" t="s">
        <v>168</v>
      </c>
      <c r="O5" s="557" t="s">
        <v>186</v>
      </c>
      <c r="P5" s="46">
        <v>42551</v>
      </c>
      <c r="Q5" s="656" t="s">
        <v>609</v>
      </c>
      <c r="R5" s="367" t="s">
        <v>55</v>
      </c>
      <c r="S5" s="46">
        <v>42733</v>
      </c>
      <c r="T5" s="485" t="s">
        <v>761</v>
      </c>
      <c r="U5" s="383">
        <f t="shared" si="0"/>
        <v>41155</v>
      </c>
      <c r="V5" s="375" t="str">
        <f t="shared" si="1"/>
        <v>Inoportuno</v>
      </c>
      <c r="W5" s="383">
        <f t="shared" si="2"/>
        <v>180</v>
      </c>
      <c r="X5" s="806" t="s">
        <v>336</v>
      </c>
    </row>
    <row r="6" spans="1:25" ht="243" hidden="1" customHeight="1" thickTop="1" x14ac:dyDescent="0.2">
      <c r="A6" s="726"/>
      <c r="B6" s="595" t="s">
        <v>49</v>
      </c>
      <c r="C6" s="728"/>
      <c r="D6" s="730"/>
      <c r="E6" s="728"/>
      <c r="F6" s="722"/>
      <c r="G6" s="732"/>
      <c r="H6" s="746"/>
      <c r="I6" s="755"/>
      <c r="J6" s="755"/>
      <c r="K6" s="777"/>
      <c r="L6" s="46">
        <v>41753</v>
      </c>
      <c r="M6" s="363" t="s">
        <v>50</v>
      </c>
      <c r="N6" s="363" t="s">
        <v>168</v>
      </c>
      <c r="O6" s="557" t="s">
        <v>169</v>
      </c>
      <c r="P6" s="46">
        <v>42551</v>
      </c>
      <c r="Q6" s="656" t="s">
        <v>610</v>
      </c>
      <c r="R6" s="367" t="s">
        <v>55</v>
      </c>
      <c r="S6" s="46">
        <v>42733</v>
      </c>
      <c r="T6" s="485" t="s">
        <v>761</v>
      </c>
      <c r="U6" s="383">
        <f>DAYS360(G4,L6,0)+1</f>
        <v>127</v>
      </c>
      <c r="V6" s="375" t="str">
        <f t="shared" si="1"/>
        <v>Inoportuno</v>
      </c>
      <c r="W6" s="383">
        <f t="shared" si="2"/>
        <v>180</v>
      </c>
      <c r="X6" s="806" t="s">
        <v>336</v>
      </c>
    </row>
    <row r="7" spans="1:25" ht="143.25" hidden="1" customHeight="1" x14ac:dyDescent="0.2">
      <c r="A7" s="367">
        <v>2</v>
      </c>
      <c r="B7" s="363" t="s">
        <v>36</v>
      </c>
      <c r="C7" s="363" t="s">
        <v>109</v>
      </c>
      <c r="D7" s="361" t="s">
        <v>43</v>
      </c>
      <c r="E7" s="371" t="s">
        <v>0</v>
      </c>
      <c r="F7" s="364" t="s">
        <v>58</v>
      </c>
      <c r="G7" s="46">
        <v>41638</v>
      </c>
      <c r="H7" s="560" t="s">
        <v>26</v>
      </c>
      <c r="I7" s="373" t="s">
        <v>78</v>
      </c>
      <c r="J7" s="373" t="s">
        <v>134</v>
      </c>
      <c r="K7" s="159" t="s">
        <v>79</v>
      </c>
      <c r="L7" s="46">
        <v>41970</v>
      </c>
      <c r="M7" s="363" t="s">
        <v>50</v>
      </c>
      <c r="N7" s="363" t="s">
        <v>108</v>
      </c>
      <c r="O7" s="577" t="s">
        <v>261</v>
      </c>
      <c r="P7" s="46">
        <v>42734</v>
      </c>
      <c r="Q7" s="654" t="s">
        <v>1036</v>
      </c>
      <c r="R7" s="189" t="s">
        <v>55</v>
      </c>
      <c r="S7" s="46" t="s">
        <v>1037</v>
      </c>
      <c r="T7" s="367" t="s">
        <v>1038</v>
      </c>
      <c r="U7" s="383">
        <f t="shared" ref="U7" si="3">DAYS360(G7,L7,0)+1</f>
        <v>328</v>
      </c>
      <c r="V7" s="552" t="str">
        <f t="shared" si="1"/>
        <v>Inoportuno</v>
      </c>
      <c r="W7" s="551" t="e">
        <f t="shared" si="2"/>
        <v>#VALUE!</v>
      </c>
      <c r="X7" s="378" t="s">
        <v>336</v>
      </c>
    </row>
    <row r="8" spans="1:25" ht="107.25" hidden="1" customHeight="1" x14ac:dyDescent="0.2">
      <c r="A8" s="215">
        <v>3</v>
      </c>
      <c r="B8" s="363" t="s">
        <v>2</v>
      </c>
      <c r="C8" s="363" t="s">
        <v>241</v>
      </c>
      <c r="D8" s="361" t="s">
        <v>43</v>
      </c>
      <c r="E8" s="371" t="s">
        <v>0</v>
      </c>
      <c r="F8" s="364" t="s">
        <v>58</v>
      </c>
      <c r="G8" s="46">
        <v>41309</v>
      </c>
      <c r="H8" s="561" t="s">
        <v>11</v>
      </c>
      <c r="I8" s="373" t="s">
        <v>78</v>
      </c>
      <c r="J8" s="373" t="s">
        <v>134</v>
      </c>
      <c r="K8" s="159" t="s">
        <v>79</v>
      </c>
      <c r="L8" s="46">
        <v>41410</v>
      </c>
      <c r="M8" s="363" t="s">
        <v>50</v>
      </c>
      <c r="N8" s="363" t="s">
        <v>141</v>
      </c>
      <c r="O8" s="557" t="s">
        <v>456</v>
      </c>
      <c r="P8" s="46">
        <v>41440</v>
      </c>
      <c r="Q8" s="464" t="s">
        <v>1064</v>
      </c>
      <c r="R8" s="367" t="s">
        <v>55</v>
      </c>
      <c r="S8" s="46">
        <v>42734</v>
      </c>
      <c r="T8" s="670" t="s">
        <v>1065</v>
      </c>
      <c r="U8" s="383">
        <f t="shared" si="0"/>
        <v>103</v>
      </c>
      <c r="V8" s="375" t="str">
        <f t="shared" si="1"/>
        <v>Inoportuno</v>
      </c>
      <c r="W8" s="383">
        <f t="shared" si="2"/>
        <v>1276</v>
      </c>
      <c r="X8" s="378" t="s">
        <v>336</v>
      </c>
    </row>
    <row r="9" spans="1:25" ht="288.75" hidden="1" customHeight="1" x14ac:dyDescent="0.2">
      <c r="A9" s="367">
        <v>4</v>
      </c>
      <c r="B9" s="363" t="s">
        <v>61</v>
      </c>
      <c r="C9" s="363" t="s">
        <v>16</v>
      </c>
      <c r="D9" s="360" t="s">
        <v>43</v>
      </c>
      <c r="E9" s="362" t="s">
        <v>0</v>
      </c>
      <c r="F9" s="364" t="s">
        <v>58</v>
      </c>
      <c r="G9" s="46">
        <v>41453</v>
      </c>
      <c r="H9" s="561" t="s">
        <v>15</v>
      </c>
      <c r="I9" s="373" t="s">
        <v>78</v>
      </c>
      <c r="J9" s="373" t="s">
        <v>134</v>
      </c>
      <c r="K9" s="284" t="s">
        <v>79</v>
      </c>
      <c r="L9" s="46">
        <v>41456</v>
      </c>
      <c r="M9" s="363" t="s">
        <v>104</v>
      </c>
      <c r="N9" s="363" t="s">
        <v>151</v>
      </c>
      <c r="O9" s="558" t="s">
        <v>156</v>
      </c>
      <c r="P9" s="229">
        <v>42369</v>
      </c>
      <c r="Q9" s="464" t="s">
        <v>1072</v>
      </c>
      <c r="R9" s="367" t="s">
        <v>55</v>
      </c>
      <c r="S9" s="46">
        <v>42720</v>
      </c>
      <c r="T9" s="367" t="s">
        <v>1051</v>
      </c>
      <c r="U9" s="383">
        <f t="shared" si="0"/>
        <v>4</v>
      </c>
      <c r="V9" s="285" t="str">
        <f t="shared" si="1"/>
        <v>Oportuno</v>
      </c>
      <c r="W9" s="382">
        <f t="shared" si="2"/>
        <v>347</v>
      </c>
      <c r="X9" s="378" t="s">
        <v>336</v>
      </c>
    </row>
    <row r="10" spans="1:25" ht="68.25" hidden="1" customHeight="1" x14ac:dyDescent="0.2">
      <c r="A10" s="624">
        <f>A9+1</f>
        <v>5</v>
      </c>
      <c r="B10" s="619" t="s">
        <v>62</v>
      </c>
      <c r="C10" s="619" t="s">
        <v>242</v>
      </c>
      <c r="D10" s="628" t="s">
        <v>43</v>
      </c>
      <c r="E10" s="632" t="s">
        <v>0</v>
      </c>
      <c r="F10" s="626" t="s">
        <v>58</v>
      </c>
      <c r="G10" s="621">
        <v>41610</v>
      </c>
      <c r="H10" s="560" t="s">
        <v>40</v>
      </c>
      <c r="I10" s="373" t="s">
        <v>78</v>
      </c>
      <c r="J10" s="373" t="s">
        <v>134</v>
      </c>
      <c r="K10" s="159" t="s">
        <v>79</v>
      </c>
      <c r="L10" s="46">
        <v>41726</v>
      </c>
      <c r="M10" s="363" t="s">
        <v>50</v>
      </c>
      <c r="N10" s="363" t="s">
        <v>262</v>
      </c>
      <c r="O10" s="558" t="s">
        <v>148</v>
      </c>
      <c r="P10" s="46">
        <v>42004</v>
      </c>
      <c r="Q10" s="464" t="s">
        <v>969</v>
      </c>
      <c r="R10" s="367" t="s">
        <v>55</v>
      </c>
      <c r="S10" s="46">
        <v>42878</v>
      </c>
      <c r="T10" s="634" t="s">
        <v>991</v>
      </c>
      <c r="U10" s="383">
        <f>DAYS360(G10,L10,0)+1</f>
        <v>117</v>
      </c>
      <c r="V10" s="375" t="str">
        <f t="shared" si="1"/>
        <v>Inoportuno</v>
      </c>
      <c r="W10" s="383">
        <f t="shared" si="2"/>
        <v>864</v>
      </c>
      <c r="X10" s="378" t="s">
        <v>336</v>
      </c>
    </row>
    <row r="11" spans="1:25" ht="255.75" hidden="1" customHeight="1" x14ac:dyDescent="0.2">
      <c r="A11" s="367">
        <v>6</v>
      </c>
      <c r="B11" s="363" t="s">
        <v>62</v>
      </c>
      <c r="C11" s="363" t="s">
        <v>243</v>
      </c>
      <c r="D11" s="361" t="s">
        <v>43</v>
      </c>
      <c r="E11" s="371" t="s">
        <v>0</v>
      </c>
      <c r="F11" s="364" t="s">
        <v>58</v>
      </c>
      <c r="G11" s="46">
        <v>41621</v>
      </c>
      <c r="H11" s="644" t="s">
        <v>41</v>
      </c>
      <c r="I11" s="373" t="s">
        <v>78</v>
      </c>
      <c r="J11" s="373" t="s">
        <v>134</v>
      </c>
      <c r="K11" s="159" t="s">
        <v>79</v>
      </c>
      <c r="L11" s="46">
        <v>41711</v>
      </c>
      <c r="M11" s="363" t="s">
        <v>104</v>
      </c>
      <c r="N11" s="363" t="s">
        <v>244</v>
      </c>
      <c r="O11" s="558" t="s">
        <v>457</v>
      </c>
      <c r="P11" s="46">
        <v>42399</v>
      </c>
      <c r="Q11" s="654" t="s">
        <v>970</v>
      </c>
      <c r="R11" s="367" t="s">
        <v>55</v>
      </c>
      <c r="S11" s="46">
        <v>42878</v>
      </c>
      <c r="T11" s="634" t="s">
        <v>991</v>
      </c>
      <c r="U11" s="383">
        <f t="shared" ref="U11:U28" si="4">DAYS360(G11,L11,0)+1</f>
        <v>91</v>
      </c>
      <c r="V11" s="375" t="str">
        <f t="shared" si="1"/>
        <v>Inoportuno</v>
      </c>
      <c r="W11" s="383">
        <f t="shared" ref="W11:W31" si="5">DAYS360(P11,S11,0)+1</f>
        <v>474</v>
      </c>
      <c r="X11" s="378" t="s">
        <v>336</v>
      </c>
    </row>
    <row r="12" spans="1:25" ht="255.75" hidden="1" thickTop="1" x14ac:dyDescent="0.2">
      <c r="A12" s="725">
        <v>7</v>
      </c>
      <c r="B12" s="592" t="s">
        <v>49</v>
      </c>
      <c r="C12" s="727" t="s">
        <v>110</v>
      </c>
      <c r="D12" s="729" t="s">
        <v>43</v>
      </c>
      <c r="E12" s="727" t="s">
        <v>205</v>
      </c>
      <c r="F12" s="721" t="s">
        <v>59</v>
      </c>
      <c r="G12" s="731">
        <v>41689</v>
      </c>
      <c r="H12" s="819" t="s">
        <v>170</v>
      </c>
      <c r="I12" s="755" t="s">
        <v>78</v>
      </c>
      <c r="J12" s="755" t="s">
        <v>134</v>
      </c>
      <c r="K12" s="775" t="s">
        <v>79</v>
      </c>
      <c r="L12" s="731">
        <v>41753</v>
      </c>
      <c r="M12" s="363" t="s">
        <v>50</v>
      </c>
      <c r="N12" s="177" t="s">
        <v>177</v>
      </c>
      <c r="O12" s="558" t="s">
        <v>171</v>
      </c>
      <c r="P12" s="46">
        <v>42063</v>
      </c>
      <c r="Q12" s="654" t="s">
        <v>611</v>
      </c>
      <c r="R12" s="367" t="s">
        <v>55</v>
      </c>
      <c r="S12" s="46">
        <v>42509</v>
      </c>
      <c r="T12" s="363" t="s">
        <v>612</v>
      </c>
      <c r="U12" s="551">
        <f t="shared" si="4"/>
        <v>66</v>
      </c>
      <c r="V12" s="375" t="str">
        <f t="shared" si="1"/>
        <v>Inoportuno</v>
      </c>
      <c r="W12" s="383">
        <f t="shared" si="5"/>
        <v>440</v>
      </c>
      <c r="X12" s="806" t="s">
        <v>336</v>
      </c>
    </row>
    <row r="13" spans="1:25" ht="294" hidden="1" thickTop="1" x14ac:dyDescent="0.2">
      <c r="A13" s="734"/>
      <c r="B13" s="592" t="s">
        <v>49</v>
      </c>
      <c r="C13" s="743"/>
      <c r="D13" s="735"/>
      <c r="E13" s="743"/>
      <c r="F13" s="741"/>
      <c r="G13" s="760"/>
      <c r="H13" s="820"/>
      <c r="I13" s="755"/>
      <c r="J13" s="755"/>
      <c r="K13" s="776"/>
      <c r="L13" s="760"/>
      <c r="M13" s="363" t="s">
        <v>50</v>
      </c>
      <c r="N13" s="177" t="s">
        <v>177</v>
      </c>
      <c r="O13" s="558" t="s">
        <v>172</v>
      </c>
      <c r="P13" s="46">
        <v>42094</v>
      </c>
      <c r="Q13" s="654" t="s">
        <v>613</v>
      </c>
      <c r="R13" s="367" t="s">
        <v>55</v>
      </c>
      <c r="S13" s="46">
        <v>42509</v>
      </c>
      <c r="T13" s="363" t="s">
        <v>614</v>
      </c>
      <c r="U13" s="383">
        <f t="shared" si="4"/>
        <v>1</v>
      </c>
      <c r="V13" s="375" t="str">
        <f t="shared" si="1"/>
        <v>Oportuno</v>
      </c>
      <c r="W13" s="383">
        <f t="shared" si="5"/>
        <v>410</v>
      </c>
      <c r="X13" s="806" t="s">
        <v>336</v>
      </c>
    </row>
    <row r="14" spans="1:25" ht="396" hidden="1" customHeight="1" x14ac:dyDescent="0.2">
      <c r="A14" s="734"/>
      <c r="B14" s="592" t="s">
        <v>49</v>
      </c>
      <c r="C14" s="743"/>
      <c r="D14" s="735"/>
      <c r="E14" s="743"/>
      <c r="F14" s="741"/>
      <c r="G14" s="760"/>
      <c r="H14" s="820"/>
      <c r="I14" s="755"/>
      <c r="J14" s="755"/>
      <c r="K14" s="776"/>
      <c r="L14" s="760"/>
      <c r="M14" s="363" t="s">
        <v>50</v>
      </c>
      <c r="N14" s="177" t="s">
        <v>177</v>
      </c>
      <c r="O14" s="558" t="s">
        <v>173</v>
      </c>
      <c r="P14" s="46">
        <v>41820</v>
      </c>
      <c r="Q14" s="654" t="s">
        <v>615</v>
      </c>
      <c r="R14" s="367" t="s">
        <v>55</v>
      </c>
      <c r="S14" s="46">
        <v>42733</v>
      </c>
      <c r="T14" s="483" t="s">
        <v>757</v>
      </c>
      <c r="U14" s="383">
        <f t="shared" si="4"/>
        <v>1</v>
      </c>
      <c r="V14" s="375" t="str">
        <f t="shared" si="1"/>
        <v>Oportuno</v>
      </c>
      <c r="W14" s="383">
        <f t="shared" si="5"/>
        <v>900</v>
      </c>
      <c r="X14" s="806" t="s">
        <v>336</v>
      </c>
    </row>
    <row r="15" spans="1:25" ht="364.5" hidden="1" customHeight="1" x14ac:dyDescent="0.2">
      <c r="A15" s="734"/>
      <c r="B15" s="592" t="s">
        <v>49</v>
      </c>
      <c r="C15" s="743"/>
      <c r="D15" s="735"/>
      <c r="E15" s="743"/>
      <c r="F15" s="741"/>
      <c r="G15" s="760"/>
      <c r="H15" s="820"/>
      <c r="I15" s="755"/>
      <c r="J15" s="755"/>
      <c r="K15" s="776"/>
      <c r="L15" s="760"/>
      <c r="M15" s="363" t="s">
        <v>50</v>
      </c>
      <c r="N15" s="177" t="s">
        <v>177</v>
      </c>
      <c r="O15" s="558" t="s">
        <v>174</v>
      </c>
      <c r="P15" s="46">
        <v>41820</v>
      </c>
      <c r="Q15" s="654" t="s">
        <v>616</v>
      </c>
      <c r="R15" s="367" t="s">
        <v>55</v>
      </c>
      <c r="S15" s="46">
        <v>42733</v>
      </c>
      <c r="T15" s="483" t="s">
        <v>757</v>
      </c>
      <c r="U15" s="383">
        <f t="shared" si="4"/>
        <v>1</v>
      </c>
      <c r="V15" s="375" t="str">
        <f t="shared" ref="V15:V61" si="6">IF(U15&gt;7,"Inoportuno",(IF(U15&lt;0,"No ha formulado PM","Oportuno")))</f>
        <v>Oportuno</v>
      </c>
      <c r="W15" s="383">
        <f t="shared" si="5"/>
        <v>900</v>
      </c>
      <c r="X15" s="806" t="s">
        <v>336</v>
      </c>
    </row>
    <row r="16" spans="1:25" ht="139.5" hidden="1" customHeight="1" x14ac:dyDescent="0.2">
      <c r="A16" s="734"/>
      <c r="B16" s="592" t="s">
        <v>49</v>
      </c>
      <c r="C16" s="743"/>
      <c r="D16" s="735"/>
      <c r="E16" s="743"/>
      <c r="F16" s="741"/>
      <c r="G16" s="760"/>
      <c r="H16" s="820"/>
      <c r="I16" s="755"/>
      <c r="J16" s="755"/>
      <c r="K16" s="776"/>
      <c r="L16" s="760"/>
      <c r="M16" s="363" t="s">
        <v>50</v>
      </c>
      <c r="N16" s="177" t="s">
        <v>177</v>
      </c>
      <c r="O16" s="558" t="s">
        <v>175</v>
      </c>
      <c r="P16" s="46">
        <v>41820</v>
      </c>
      <c r="Q16" s="654" t="s">
        <v>617</v>
      </c>
      <c r="R16" s="367" t="s">
        <v>55</v>
      </c>
      <c r="S16" s="46">
        <v>42509</v>
      </c>
      <c r="T16" s="363" t="s">
        <v>618</v>
      </c>
      <c r="U16" s="383">
        <f t="shared" si="4"/>
        <v>1</v>
      </c>
      <c r="V16" s="375" t="str">
        <f t="shared" si="6"/>
        <v>Oportuno</v>
      </c>
      <c r="W16" s="383">
        <f t="shared" si="5"/>
        <v>680</v>
      </c>
      <c r="X16" s="806" t="s">
        <v>336</v>
      </c>
    </row>
    <row r="17" spans="1:24" ht="150" hidden="1" customHeight="1" x14ac:dyDescent="0.2">
      <c r="A17" s="726"/>
      <c r="B17" s="592" t="s">
        <v>49</v>
      </c>
      <c r="C17" s="728"/>
      <c r="D17" s="730"/>
      <c r="E17" s="728"/>
      <c r="F17" s="722"/>
      <c r="G17" s="732"/>
      <c r="H17" s="821"/>
      <c r="I17" s="755"/>
      <c r="J17" s="755"/>
      <c r="K17" s="777"/>
      <c r="L17" s="732"/>
      <c r="M17" s="363" t="s">
        <v>50</v>
      </c>
      <c r="N17" s="177" t="s">
        <v>177</v>
      </c>
      <c r="O17" s="558" t="s">
        <v>176</v>
      </c>
      <c r="P17" s="46">
        <v>41820</v>
      </c>
      <c r="Q17" s="654" t="s">
        <v>619</v>
      </c>
      <c r="R17" s="367" t="s">
        <v>55</v>
      </c>
      <c r="S17" s="46">
        <v>42509</v>
      </c>
      <c r="T17" s="363" t="s">
        <v>620</v>
      </c>
      <c r="U17" s="383">
        <f>DAYS360(G12,L12,0)+1</f>
        <v>66</v>
      </c>
      <c r="V17" s="375" t="str">
        <f t="shared" si="6"/>
        <v>Inoportuno</v>
      </c>
      <c r="W17" s="383">
        <f t="shared" si="5"/>
        <v>680</v>
      </c>
      <c r="X17" s="806" t="s">
        <v>336</v>
      </c>
    </row>
    <row r="18" spans="1:24" ht="409.5" hidden="1" customHeight="1" x14ac:dyDescent="0.2">
      <c r="A18" s="725">
        <v>8</v>
      </c>
      <c r="B18" s="592" t="s">
        <v>49</v>
      </c>
      <c r="C18" s="727" t="s">
        <v>38</v>
      </c>
      <c r="D18" s="729" t="s">
        <v>43</v>
      </c>
      <c r="E18" s="727" t="s">
        <v>205</v>
      </c>
      <c r="F18" s="721" t="s">
        <v>59</v>
      </c>
      <c r="G18" s="731">
        <v>41634</v>
      </c>
      <c r="H18" s="792" t="s">
        <v>39</v>
      </c>
      <c r="I18" s="723" t="s">
        <v>78</v>
      </c>
      <c r="J18" s="723" t="s">
        <v>134</v>
      </c>
      <c r="K18" s="725" t="s">
        <v>79</v>
      </c>
      <c r="L18" s="731">
        <v>41753</v>
      </c>
      <c r="M18" s="363" t="s">
        <v>104</v>
      </c>
      <c r="N18" s="363" t="s">
        <v>179</v>
      </c>
      <c r="O18" s="558" t="s">
        <v>178</v>
      </c>
      <c r="P18" s="46">
        <v>41789</v>
      </c>
      <c r="Q18" s="654" t="s">
        <v>1004</v>
      </c>
      <c r="R18" s="367" t="s">
        <v>55</v>
      </c>
      <c r="S18" s="46">
        <v>42886</v>
      </c>
      <c r="T18" s="367" t="s">
        <v>1005</v>
      </c>
      <c r="U18" s="551">
        <f>DAYS360(G13,L13,0)+1</f>
        <v>1</v>
      </c>
      <c r="V18" s="375" t="str">
        <f t="shared" si="6"/>
        <v>Oportuno</v>
      </c>
      <c r="W18" s="383">
        <f t="shared" si="5"/>
        <v>1081</v>
      </c>
      <c r="X18" s="378" t="s">
        <v>336</v>
      </c>
    </row>
    <row r="19" spans="1:24" ht="221.25" hidden="1" customHeight="1" x14ac:dyDescent="0.2">
      <c r="A19" s="726"/>
      <c r="B19" s="669" t="s">
        <v>49</v>
      </c>
      <c r="C19" s="728"/>
      <c r="D19" s="730"/>
      <c r="E19" s="728"/>
      <c r="F19" s="722"/>
      <c r="G19" s="732"/>
      <c r="H19" s="793"/>
      <c r="I19" s="724"/>
      <c r="J19" s="724"/>
      <c r="K19" s="726"/>
      <c r="L19" s="732"/>
      <c r="M19" s="363" t="s">
        <v>50</v>
      </c>
      <c r="N19" s="363" t="s">
        <v>179</v>
      </c>
      <c r="O19" s="558" t="s">
        <v>263</v>
      </c>
      <c r="P19" s="46">
        <v>42004</v>
      </c>
      <c r="Q19" s="654" t="s">
        <v>621</v>
      </c>
      <c r="R19" s="367" t="s">
        <v>55</v>
      </c>
      <c r="S19" s="46">
        <v>42733</v>
      </c>
      <c r="T19" s="483" t="s">
        <v>758</v>
      </c>
      <c r="U19" s="383">
        <f>DAYS360(G18,L19,0)+1</f>
        <v>-41035</v>
      </c>
      <c r="V19" s="375" t="s">
        <v>858</v>
      </c>
      <c r="W19" s="383">
        <f t="shared" si="5"/>
        <v>720</v>
      </c>
      <c r="X19" s="378" t="s">
        <v>336</v>
      </c>
    </row>
    <row r="20" spans="1:24" ht="409.6" hidden="1" thickTop="1" x14ac:dyDescent="0.2">
      <c r="A20" s="367">
        <v>9</v>
      </c>
      <c r="B20" s="363" t="s">
        <v>49</v>
      </c>
      <c r="C20" s="363" t="s">
        <v>111</v>
      </c>
      <c r="D20" s="361" t="s">
        <v>43</v>
      </c>
      <c r="E20" s="371" t="s">
        <v>205</v>
      </c>
      <c r="F20" s="364" t="s">
        <v>59</v>
      </c>
      <c r="G20" s="46">
        <v>41506</v>
      </c>
      <c r="H20" s="562" t="s">
        <v>245</v>
      </c>
      <c r="I20" s="373" t="s">
        <v>78</v>
      </c>
      <c r="J20" s="373" t="s">
        <v>134</v>
      </c>
      <c r="K20" s="159" t="s">
        <v>79</v>
      </c>
      <c r="L20" s="46">
        <v>41513</v>
      </c>
      <c r="M20" s="363" t="s">
        <v>50</v>
      </c>
      <c r="N20" s="363" t="s">
        <v>115</v>
      </c>
      <c r="O20" s="558" t="s">
        <v>759</v>
      </c>
      <c r="P20" s="46">
        <v>42035</v>
      </c>
      <c r="Q20" s="654" t="s">
        <v>458</v>
      </c>
      <c r="R20" s="367" t="s">
        <v>55</v>
      </c>
      <c r="S20" s="46">
        <v>42733</v>
      </c>
      <c r="T20" s="483" t="s">
        <v>762</v>
      </c>
      <c r="U20" s="383">
        <f t="shared" si="4"/>
        <v>8</v>
      </c>
      <c r="V20" s="375" t="str">
        <f t="shared" si="6"/>
        <v>Inoportuno</v>
      </c>
      <c r="W20" s="383">
        <f t="shared" si="5"/>
        <v>690</v>
      </c>
      <c r="X20" s="378" t="s">
        <v>336</v>
      </c>
    </row>
    <row r="21" spans="1:24" ht="281.25" hidden="1" customHeight="1" x14ac:dyDescent="0.2">
      <c r="A21" s="367">
        <f t="shared" ref="A21:A66" si="7">+A20+1</f>
        <v>10</v>
      </c>
      <c r="B21" s="363" t="s">
        <v>49</v>
      </c>
      <c r="C21" s="363" t="s">
        <v>246</v>
      </c>
      <c r="D21" s="361" t="s">
        <v>46</v>
      </c>
      <c r="E21" s="371" t="s">
        <v>205</v>
      </c>
      <c r="F21" s="364" t="s">
        <v>59</v>
      </c>
      <c r="G21" s="46">
        <v>41313</v>
      </c>
      <c r="H21" s="562" t="s">
        <v>14</v>
      </c>
      <c r="I21" s="373" t="s">
        <v>78</v>
      </c>
      <c r="J21" s="373" t="s">
        <v>134</v>
      </c>
      <c r="K21" s="159" t="s">
        <v>79</v>
      </c>
      <c r="L21" s="46">
        <v>41324</v>
      </c>
      <c r="M21" s="363" t="s">
        <v>50</v>
      </c>
      <c r="N21" s="363" t="s">
        <v>113</v>
      </c>
      <c r="O21" s="558" t="s">
        <v>114</v>
      </c>
      <c r="P21" s="46">
        <v>42369</v>
      </c>
      <c r="Q21" s="656" t="s">
        <v>763</v>
      </c>
      <c r="R21" s="367" t="s">
        <v>55</v>
      </c>
      <c r="S21" s="46">
        <v>42509</v>
      </c>
      <c r="T21" s="634" t="s">
        <v>992</v>
      </c>
      <c r="U21" s="383">
        <f t="shared" si="4"/>
        <v>12</v>
      </c>
      <c r="V21" s="375" t="str">
        <f t="shared" si="6"/>
        <v>Inoportuno</v>
      </c>
      <c r="W21" s="383">
        <f t="shared" si="5"/>
        <v>140</v>
      </c>
      <c r="X21" s="378" t="s">
        <v>336</v>
      </c>
    </row>
    <row r="22" spans="1:24" ht="347.25" hidden="1" customHeight="1" x14ac:dyDescent="0.2">
      <c r="A22" s="367">
        <f t="shared" si="7"/>
        <v>11</v>
      </c>
      <c r="B22" s="363" t="s">
        <v>49</v>
      </c>
      <c r="C22" s="363" t="s">
        <v>7</v>
      </c>
      <c r="D22" s="361" t="s">
        <v>43</v>
      </c>
      <c r="E22" s="371" t="s">
        <v>205</v>
      </c>
      <c r="F22" s="364" t="s">
        <v>59</v>
      </c>
      <c r="G22" s="46">
        <v>41534</v>
      </c>
      <c r="H22" s="547" t="s">
        <v>19</v>
      </c>
      <c r="I22" s="373" t="s">
        <v>78</v>
      </c>
      <c r="J22" s="373" t="s">
        <v>134</v>
      </c>
      <c r="K22" s="159" t="s">
        <v>79</v>
      </c>
      <c r="L22" s="46">
        <v>41541</v>
      </c>
      <c r="M22" s="363" t="s">
        <v>50</v>
      </c>
      <c r="N22" s="363" t="s">
        <v>119</v>
      </c>
      <c r="O22" s="558" t="s">
        <v>118</v>
      </c>
      <c r="P22" s="46">
        <v>42094</v>
      </c>
      <c r="Q22" s="654" t="s">
        <v>622</v>
      </c>
      <c r="R22" s="367" t="s">
        <v>55</v>
      </c>
      <c r="S22" s="46">
        <v>42733</v>
      </c>
      <c r="T22" s="484" t="s">
        <v>765</v>
      </c>
      <c r="U22" s="383">
        <f t="shared" si="4"/>
        <v>8</v>
      </c>
      <c r="V22" s="375" t="str">
        <f t="shared" si="6"/>
        <v>Inoportuno</v>
      </c>
      <c r="W22" s="383">
        <f t="shared" si="5"/>
        <v>630</v>
      </c>
      <c r="X22" s="378" t="s">
        <v>336</v>
      </c>
    </row>
    <row r="23" spans="1:24" ht="336.75" hidden="1" customHeight="1" x14ac:dyDescent="0.2">
      <c r="A23" s="367">
        <f t="shared" si="7"/>
        <v>12</v>
      </c>
      <c r="B23" s="363" t="s">
        <v>49</v>
      </c>
      <c r="C23" s="363" t="s">
        <v>7</v>
      </c>
      <c r="D23" s="369" t="s">
        <v>43</v>
      </c>
      <c r="E23" s="371" t="s">
        <v>205</v>
      </c>
      <c r="F23" s="370" t="s">
        <v>59</v>
      </c>
      <c r="G23" s="183">
        <v>41534</v>
      </c>
      <c r="H23" s="563" t="s">
        <v>112</v>
      </c>
      <c r="I23" s="373" t="s">
        <v>78</v>
      </c>
      <c r="J23" s="373" t="s">
        <v>134</v>
      </c>
      <c r="K23" s="539" t="s">
        <v>79</v>
      </c>
      <c r="L23" s="46">
        <v>41541</v>
      </c>
      <c r="M23" s="363" t="s">
        <v>50</v>
      </c>
      <c r="N23" s="363" t="s">
        <v>117</v>
      </c>
      <c r="O23" s="558" t="s">
        <v>120</v>
      </c>
      <c r="P23" s="46">
        <v>42094</v>
      </c>
      <c r="Q23" s="654" t="s">
        <v>623</v>
      </c>
      <c r="R23" s="367" t="s">
        <v>55</v>
      </c>
      <c r="S23" s="46">
        <v>42733</v>
      </c>
      <c r="T23" s="484" t="s">
        <v>766</v>
      </c>
      <c r="U23" s="383">
        <f t="shared" si="4"/>
        <v>8</v>
      </c>
      <c r="V23" s="375" t="str">
        <f t="shared" si="6"/>
        <v>Inoportuno</v>
      </c>
      <c r="W23" s="383">
        <f t="shared" si="5"/>
        <v>630</v>
      </c>
      <c r="X23" s="376" t="s">
        <v>336</v>
      </c>
    </row>
    <row r="24" spans="1:24" ht="345" hidden="1" thickTop="1" x14ac:dyDescent="0.2">
      <c r="A24" s="367">
        <f t="shared" si="7"/>
        <v>13</v>
      </c>
      <c r="B24" s="363" t="s">
        <v>49</v>
      </c>
      <c r="C24" s="363" t="s">
        <v>7</v>
      </c>
      <c r="D24" s="361" t="s">
        <v>43</v>
      </c>
      <c r="E24" s="371" t="s">
        <v>205</v>
      </c>
      <c r="F24" s="364" t="s">
        <v>59</v>
      </c>
      <c r="G24" s="46">
        <v>41534</v>
      </c>
      <c r="H24" s="547" t="s">
        <v>20</v>
      </c>
      <c r="I24" s="373" t="s">
        <v>78</v>
      </c>
      <c r="J24" s="373" t="s">
        <v>134</v>
      </c>
      <c r="K24" s="159" t="s">
        <v>79</v>
      </c>
      <c r="L24" s="46">
        <v>41541</v>
      </c>
      <c r="M24" s="363" t="s">
        <v>104</v>
      </c>
      <c r="N24" s="363" t="s">
        <v>116</v>
      </c>
      <c r="O24" s="558" t="s">
        <v>121</v>
      </c>
      <c r="P24" s="46">
        <v>42369</v>
      </c>
      <c r="Q24" s="654" t="s">
        <v>624</v>
      </c>
      <c r="R24" s="367" t="s">
        <v>55</v>
      </c>
      <c r="S24" s="46">
        <v>42733</v>
      </c>
      <c r="T24" s="484" t="s">
        <v>764</v>
      </c>
      <c r="U24" s="383">
        <f t="shared" si="4"/>
        <v>8</v>
      </c>
      <c r="V24" s="375" t="str">
        <f t="shared" si="6"/>
        <v>Inoportuno</v>
      </c>
      <c r="W24" s="383">
        <f t="shared" si="5"/>
        <v>360</v>
      </c>
      <c r="X24" s="378" t="s">
        <v>336</v>
      </c>
    </row>
    <row r="25" spans="1:24" ht="250.5" hidden="1" customHeight="1" x14ac:dyDescent="0.2">
      <c r="A25" s="367">
        <f t="shared" si="7"/>
        <v>14</v>
      </c>
      <c r="B25" s="363" t="s">
        <v>49</v>
      </c>
      <c r="C25" s="363" t="s">
        <v>7</v>
      </c>
      <c r="D25" s="361" t="s">
        <v>43</v>
      </c>
      <c r="E25" s="371" t="s">
        <v>205</v>
      </c>
      <c r="F25" s="364" t="s">
        <v>59</v>
      </c>
      <c r="G25" s="46">
        <v>41534</v>
      </c>
      <c r="H25" s="547" t="s">
        <v>21</v>
      </c>
      <c r="I25" s="373" t="s">
        <v>78</v>
      </c>
      <c r="J25" s="373" t="s">
        <v>134</v>
      </c>
      <c r="K25" s="159" t="s">
        <v>79</v>
      </c>
      <c r="L25" s="46">
        <v>41541</v>
      </c>
      <c r="M25" s="363" t="s">
        <v>104</v>
      </c>
      <c r="N25" s="363" t="s">
        <v>123</v>
      </c>
      <c r="O25" s="558" t="s">
        <v>122</v>
      </c>
      <c r="P25" s="46">
        <v>42185</v>
      </c>
      <c r="Q25" s="654" t="s">
        <v>767</v>
      </c>
      <c r="R25" s="367" t="s">
        <v>55</v>
      </c>
      <c r="S25" s="356">
        <v>42509</v>
      </c>
      <c r="T25" s="363" t="s">
        <v>625</v>
      </c>
      <c r="U25" s="383">
        <f t="shared" si="4"/>
        <v>8</v>
      </c>
      <c r="V25" s="375" t="str">
        <f t="shared" si="6"/>
        <v>Inoportuno</v>
      </c>
      <c r="W25" s="383">
        <f t="shared" si="5"/>
        <v>320</v>
      </c>
      <c r="X25" s="378" t="s">
        <v>336</v>
      </c>
    </row>
    <row r="26" spans="1:24" ht="335.25" hidden="1" customHeight="1" x14ac:dyDescent="0.2">
      <c r="A26" s="367">
        <f t="shared" si="7"/>
        <v>15</v>
      </c>
      <c r="B26" s="363" t="s">
        <v>49</v>
      </c>
      <c r="C26" s="363" t="s">
        <v>7</v>
      </c>
      <c r="D26" s="361" t="s">
        <v>43</v>
      </c>
      <c r="E26" s="371" t="s">
        <v>205</v>
      </c>
      <c r="F26" s="364" t="s">
        <v>59</v>
      </c>
      <c r="G26" s="46">
        <v>41534</v>
      </c>
      <c r="H26" s="547" t="s">
        <v>22</v>
      </c>
      <c r="I26" s="373" t="s">
        <v>78</v>
      </c>
      <c r="J26" s="373" t="s">
        <v>134</v>
      </c>
      <c r="K26" s="159" t="s">
        <v>79</v>
      </c>
      <c r="L26" s="46">
        <v>41541</v>
      </c>
      <c r="M26" s="363" t="s">
        <v>50</v>
      </c>
      <c r="N26" s="363" t="s">
        <v>124</v>
      </c>
      <c r="O26" s="558" t="s">
        <v>768</v>
      </c>
      <c r="P26" s="46">
        <v>42094</v>
      </c>
      <c r="Q26" s="654" t="s">
        <v>626</v>
      </c>
      <c r="R26" s="367" t="s">
        <v>55</v>
      </c>
      <c r="S26" s="46">
        <v>42733</v>
      </c>
      <c r="T26" s="484" t="s">
        <v>769</v>
      </c>
      <c r="U26" s="383">
        <f t="shared" si="4"/>
        <v>8</v>
      </c>
      <c r="V26" s="375" t="str">
        <f t="shared" si="6"/>
        <v>Inoportuno</v>
      </c>
      <c r="W26" s="383">
        <f t="shared" si="5"/>
        <v>630</v>
      </c>
      <c r="X26" s="378" t="s">
        <v>336</v>
      </c>
    </row>
    <row r="27" spans="1:24" ht="178.5" hidden="1" customHeight="1" x14ac:dyDescent="0.2">
      <c r="A27" s="367">
        <f t="shared" si="7"/>
        <v>16</v>
      </c>
      <c r="B27" s="363" t="s">
        <v>49</v>
      </c>
      <c r="C27" s="363" t="s">
        <v>7</v>
      </c>
      <c r="D27" s="361" t="s">
        <v>43</v>
      </c>
      <c r="E27" s="371" t="s">
        <v>205</v>
      </c>
      <c r="F27" s="364" t="s">
        <v>59</v>
      </c>
      <c r="G27" s="46">
        <v>41534</v>
      </c>
      <c r="H27" s="547" t="s">
        <v>23</v>
      </c>
      <c r="I27" s="373" t="s">
        <v>78</v>
      </c>
      <c r="J27" s="373" t="s">
        <v>134</v>
      </c>
      <c r="K27" s="159" t="s">
        <v>79</v>
      </c>
      <c r="L27" s="46">
        <v>41541</v>
      </c>
      <c r="M27" s="363" t="s">
        <v>104</v>
      </c>
      <c r="N27" s="363" t="s">
        <v>247</v>
      </c>
      <c r="O27" s="558" t="s">
        <v>125</v>
      </c>
      <c r="P27" s="46">
        <v>42185</v>
      </c>
      <c r="Q27" s="654" t="s">
        <v>627</v>
      </c>
      <c r="R27" s="367" t="s">
        <v>55</v>
      </c>
      <c r="S27" s="46">
        <v>42509</v>
      </c>
      <c r="T27" s="363" t="s">
        <v>628</v>
      </c>
      <c r="U27" s="383">
        <f t="shared" si="4"/>
        <v>8</v>
      </c>
      <c r="V27" s="375" t="str">
        <f t="shared" si="6"/>
        <v>Inoportuno</v>
      </c>
      <c r="W27" s="383">
        <f t="shared" si="5"/>
        <v>320</v>
      </c>
      <c r="X27" s="378" t="s">
        <v>336</v>
      </c>
    </row>
    <row r="28" spans="1:24" ht="175.5" customHeight="1" thickTop="1" x14ac:dyDescent="0.2">
      <c r="A28" s="725">
        <v>17</v>
      </c>
      <c r="B28" s="727" t="s">
        <v>25</v>
      </c>
      <c r="C28" s="727" t="s">
        <v>191</v>
      </c>
      <c r="D28" s="729" t="s">
        <v>43</v>
      </c>
      <c r="E28" s="727" t="s">
        <v>0</v>
      </c>
      <c r="F28" s="721" t="s">
        <v>59</v>
      </c>
      <c r="G28" s="731">
        <v>41596</v>
      </c>
      <c r="H28" s="827" t="s">
        <v>507</v>
      </c>
      <c r="I28" s="723" t="s">
        <v>78</v>
      </c>
      <c r="J28" s="723" t="s">
        <v>134</v>
      </c>
      <c r="K28" s="725" t="s">
        <v>79</v>
      </c>
      <c r="L28" s="731">
        <v>42130</v>
      </c>
      <c r="M28" s="363" t="s">
        <v>50</v>
      </c>
      <c r="N28" s="226" t="s">
        <v>321</v>
      </c>
      <c r="O28" s="558" t="s">
        <v>330</v>
      </c>
      <c r="P28" s="214">
        <v>42185</v>
      </c>
      <c r="Q28" s="654" t="s">
        <v>599</v>
      </c>
      <c r="R28" s="367" t="s">
        <v>55</v>
      </c>
      <c r="S28" s="46">
        <v>42451</v>
      </c>
      <c r="T28" s="573" t="s">
        <v>600</v>
      </c>
      <c r="U28" s="551">
        <f t="shared" si="4"/>
        <v>529</v>
      </c>
      <c r="V28" s="375" t="str">
        <f t="shared" ref="V28:V30" si="8">IF(U28&gt;7,"Inoportuno",(IF(U28&lt;0,"No ha formulado PM","Oportuno")))</f>
        <v>Inoportuno</v>
      </c>
      <c r="W28" s="383">
        <f t="shared" ref="W28:W30" si="9">DAYS360(P28,S28,0)+1</f>
        <v>263</v>
      </c>
      <c r="X28" s="806" t="s">
        <v>336</v>
      </c>
    </row>
    <row r="29" spans="1:24" ht="192.75" hidden="1" customHeight="1" x14ac:dyDescent="0.2">
      <c r="A29" s="734"/>
      <c r="B29" s="743"/>
      <c r="C29" s="743"/>
      <c r="D29" s="735"/>
      <c r="E29" s="743"/>
      <c r="F29" s="741"/>
      <c r="G29" s="760"/>
      <c r="H29" s="828"/>
      <c r="I29" s="768"/>
      <c r="J29" s="768"/>
      <c r="K29" s="734"/>
      <c r="L29" s="760"/>
      <c r="M29" s="363" t="s">
        <v>50</v>
      </c>
      <c r="N29" s="18" t="s">
        <v>329</v>
      </c>
      <c r="O29" s="558" t="s">
        <v>331</v>
      </c>
      <c r="P29" s="214">
        <v>42185</v>
      </c>
      <c r="Q29" s="655" t="s">
        <v>601</v>
      </c>
      <c r="R29" s="367" t="s">
        <v>55</v>
      </c>
      <c r="S29" s="46">
        <v>42451</v>
      </c>
      <c r="T29" s="572" t="s">
        <v>600</v>
      </c>
      <c r="U29" s="383">
        <f t="shared" ref="U29:U30" si="10">DAYS360(G29,L29,0)+1</f>
        <v>1</v>
      </c>
      <c r="V29" s="375" t="str">
        <f t="shared" si="8"/>
        <v>Oportuno</v>
      </c>
      <c r="W29" s="383">
        <f t="shared" si="9"/>
        <v>263</v>
      </c>
      <c r="X29" s="806" t="s">
        <v>336</v>
      </c>
    </row>
    <row r="30" spans="1:24" ht="153" hidden="1" x14ac:dyDescent="0.2">
      <c r="A30" s="734"/>
      <c r="B30" s="743"/>
      <c r="C30" s="743"/>
      <c r="D30" s="735"/>
      <c r="E30" s="743"/>
      <c r="F30" s="741"/>
      <c r="G30" s="760"/>
      <c r="H30" s="828"/>
      <c r="I30" s="768"/>
      <c r="J30" s="768"/>
      <c r="K30" s="734"/>
      <c r="L30" s="760"/>
      <c r="M30" s="363" t="s">
        <v>50</v>
      </c>
      <c r="N30" s="18" t="s">
        <v>459</v>
      </c>
      <c r="O30" s="558" t="s">
        <v>503</v>
      </c>
      <c r="P30" s="214">
        <v>42185</v>
      </c>
      <c r="Q30" s="654" t="s">
        <v>602</v>
      </c>
      <c r="R30" s="367" t="s">
        <v>55</v>
      </c>
      <c r="S30" s="46">
        <v>42451</v>
      </c>
      <c r="T30" s="573" t="s">
        <v>600</v>
      </c>
      <c r="U30" s="383">
        <f t="shared" si="10"/>
        <v>1</v>
      </c>
      <c r="V30" s="375" t="str">
        <f t="shared" si="8"/>
        <v>Oportuno</v>
      </c>
      <c r="W30" s="383">
        <f t="shared" si="9"/>
        <v>263</v>
      </c>
      <c r="X30" s="806" t="s">
        <v>336</v>
      </c>
    </row>
    <row r="31" spans="1:24" ht="220.5" hidden="1" customHeight="1" x14ac:dyDescent="0.2">
      <c r="A31" s="726"/>
      <c r="B31" s="743"/>
      <c r="C31" s="728"/>
      <c r="D31" s="730"/>
      <c r="E31" s="728"/>
      <c r="F31" s="722"/>
      <c r="G31" s="732"/>
      <c r="H31" s="829"/>
      <c r="I31" s="724"/>
      <c r="J31" s="724"/>
      <c r="K31" s="726"/>
      <c r="L31" s="732"/>
      <c r="M31" s="363" t="s">
        <v>50</v>
      </c>
      <c r="N31" s="18" t="s">
        <v>324</v>
      </c>
      <c r="O31" s="558" t="s">
        <v>518</v>
      </c>
      <c r="P31" s="214">
        <v>42185</v>
      </c>
      <c r="Q31" s="654" t="s">
        <v>603</v>
      </c>
      <c r="R31" s="367" t="s">
        <v>55</v>
      </c>
      <c r="S31" s="46">
        <v>42451</v>
      </c>
      <c r="T31" s="573" t="s">
        <v>600</v>
      </c>
      <c r="U31" s="383">
        <f>DAYS360(G28,L28,0)+1</f>
        <v>529</v>
      </c>
      <c r="V31" s="375" t="str">
        <f t="shared" si="6"/>
        <v>Inoportuno</v>
      </c>
      <c r="W31" s="383">
        <f t="shared" si="5"/>
        <v>263</v>
      </c>
      <c r="X31" s="806" t="s">
        <v>336</v>
      </c>
    </row>
    <row r="32" spans="1:24" ht="409.5" hidden="1" x14ac:dyDescent="0.2">
      <c r="A32" s="367">
        <v>18</v>
      </c>
      <c r="B32" s="379" t="s">
        <v>64</v>
      </c>
      <c r="C32" s="363" t="s">
        <v>142</v>
      </c>
      <c r="D32" s="504" t="s">
        <v>43</v>
      </c>
      <c r="E32" s="485" t="s">
        <v>0</v>
      </c>
      <c r="F32" s="364" t="s">
        <v>107</v>
      </c>
      <c r="G32" s="403">
        <v>41135</v>
      </c>
      <c r="H32" s="564" t="s">
        <v>8</v>
      </c>
      <c r="I32" s="505" t="s">
        <v>78</v>
      </c>
      <c r="J32" s="496" t="s">
        <v>134</v>
      </c>
      <c r="K32" s="539" t="s">
        <v>79</v>
      </c>
      <c r="L32" s="229">
        <v>41165</v>
      </c>
      <c r="M32" s="363" t="s">
        <v>104</v>
      </c>
      <c r="N32" s="363" t="s">
        <v>143</v>
      </c>
      <c r="O32" s="558" t="s">
        <v>248</v>
      </c>
      <c r="P32" s="214">
        <v>41455</v>
      </c>
      <c r="Q32" s="654" t="s">
        <v>534</v>
      </c>
      <c r="R32" s="215" t="s">
        <v>55</v>
      </c>
      <c r="S32" s="214">
        <v>42508</v>
      </c>
      <c r="T32" s="363" t="s">
        <v>554</v>
      </c>
      <c r="U32" s="383">
        <f t="shared" ref="U32:U57" si="11">DAYS360(G32,L32,0)+1</f>
        <v>30</v>
      </c>
      <c r="V32" s="375" t="str">
        <f t="shared" si="6"/>
        <v>Inoportuno</v>
      </c>
      <c r="W32" s="383">
        <f t="shared" ref="W32:W58" si="12">DAYS360(P32,S32,0)+1</f>
        <v>1039</v>
      </c>
      <c r="X32" s="378" t="s">
        <v>336</v>
      </c>
    </row>
    <row r="33" spans="1:24" ht="126.75" hidden="1" customHeight="1" x14ac:dyDescent="0.2">
      <c r="A33" s="725">
        <v>19</v>
      </c>
      <c r="B33" s="744" t="s">
        <v>64</v>
      </c>
      <c r="C33" s="727" t="s">
        <v>142</v>
      </c>
      <c r="D33" s="729" t="s">
        <v>43</v>
      </c>
      <c r="E33" s="727" t="s">
        <v>0</v>
      </c>
      <c r="F33" s="721" t="s">
        <v>107</v>
      </c>
      <c r="G33" s="795">
        <v>42480</v>
      </c>
      <c r="H33" s="744" t="s">
        <v>911</v>
      </c>
      <c r="I33" s="723" t="s">
        <v>78</v>
      </c>
      <c r="J33" s="723" t="s">
        <v>133</v>
      </c>
      <c r="K33" s="725" t="s">
        <v>79</v>
      </c>
      <c r="L33" s="807">
        <v>42508</v>
      </c>
      <c r="M33" s="363" t="s">
        <v>50</v>
      </c>
      <c r="N33" s="363" t="s">
        <v>136</v>
      </c>
      <c r="O33" s="558" t="s">
        <v>912</v>
      </c>
      <c r="P33" s="214">
        <v>42735</v>
      </c>
      <c r="Q33" s="654" t="s">
        <v>1000</v>
      </c>
      <c r="R33" s="215" t="s">
        <v>55</v>
      </c>
      <c r="S33" s="214">
        <v>42950</v>
      </c>
      <c r="T33" s="215" t="s">
        <v>1001</v>
      </c>
      <c r="U33" s="551">
        <f t="shared" si="11"/>
        <v>29</v>
      </c>
      <c r="V33" s="375" t="str">
        <f t="shared" ref="V33:V35" si="13">IF(U33&gt;7,"Inoportuno",(IF(U33&lt;0,"No ha formulado PM","Oportuno")))</f>
        <v>Inoportuno</v>
      </c>
      <c r="W33" s="383">
        <f t="shared" ref="W33:W35" si="14">DAYS360(P33,S33,0)+1</f>
        <v>214</v>
      </c>
      <c r="X33" s="378" t="s">
        <v>336</v>
      </c>
    </row>
    <row r="34" spans="1:24" ht="30" hidden="1" customHeight="1" x14ac:dyDescent="0.2">
      <c r="A34" s="734"/>
      <c r="B34" s="745"/>
      <c r="C34" s="743"/>
      <c r="D34" s="735"/>
      <c r="E34" s="743"/>
      <c r="F34" s="741"/>
      <c r="G34" s="796"/>
      <c r="H34" s="745"/>
      <c r="I34" s="768"/>
      <c r="J34" s="768"/>
      <c r="K34" s="734"/>
      <c r="L34" s="808"/>
      <c r="M34" s="363" t="s">
        <v>50</v>
      </c>
      <c r="N34" s="363" t="s">
        <v>136</v>
      </c>
      <c r="O34" s="558" t="s">
        <v>555</v>
      </c>
      <c r="P34" s="214">
        <v>42735</v>
      </c>
      <c r="Q34" s="654"/>
      <c r="R34" s="215" t="s">
        <v>51</v>
      </c>
      <c r="S34" s="214"/>
      <c r="T34" s="215"/>
      <c r="U34" s="383">
        <f t="shared" ref="U34" si="15">DAYS360(G34,L34,0)+1</f>
        <v>1</v>
      </c>
      <c r="V34" s="375" t="str">
        <f t="shared" si="13"/>
        <v>Oportuno</v>
      </c>
      <c r="W34" s="383">
        <f t="shared" si="14"/>
        <v>-42119</v>
      </c>
      <c r="X34" s="378" t="s">
        <v>336</v>
      </c>
    </row>
    <row r="35" spans="1:24" ht="30" hidden="1" customHeight="1" x14ac:dyDescent="0.2">
      <c r="A35" s="726"/>
      <c r="B35" s="593"/>
      <c r="C35" s="728"/>
      <c r="D35" s="730"/>
      <c r="E35" s="728"/>
      <c r="F35" s="722"/>
      <c r="G35" s="797"/>
      <c r="H35" s="746"/>
      <c r="I35" s="724"/>
      <c r="J35" s="724"/>
      <c r="K35" s="726"/>
      <c r="L35" s="809"/>
      <c r="M35" s="363" t="s">
        <v>50</v>
      </c>
      <c r="N35" s="363" t="s">
        <v>136</v>
      </c>
      <c r="O35" s="558" t="s">
        <v>556</v>
      </c>
      <c r="P35" s="214">
        <v>42735</v>
      </c>
      <c r="Q35" s="654"/>
      <c r="R35" s="215" t="s">
        <v>51</v>
      </c>
      <c r="S35" s="214"/>
      <c r="T35" s="215"/>
      <c r="U35" s="383">
        <f>DAYS360(G33,L33,0)+1</f>
        <v>29</v>
      </c>
      <c r="V35" s="375" t="str">
        <f t="shared" si="13"/>
        <v>Inoportuno</v>
      </c>
      <c r="W35" s="383">
        <f t="shared" si="14"/>
        <v>-42119</v>
      </c>
      <c r="X35" s="378" t="s">
        <v>336</v>
      </c>
    </row>
    <row r="36" spans="1:24" ht="342" hidden="1" customHeight="1" x14ac:dyDescent="0.2">
      <c r="A36" s="367">
        <v>20</v>
      </c>
      <c r="B36" s="363" t="s">
        <v>64</v>
      </c>
      <c r="C36" s="363" t="s">
        <v>214</v>
      </c>
      <c r="D36" s="360" t="s">
        <v>43</v>
      </c>
      <c r="E36" s="371" t="s">
        <v>0</v>
      </c>
      <c r="F36" s="364" t="s">
        <v>58</v>
      </c>
      <c r="G36" s="46">
        <v>41425</v>
      </c>
      <c r="H36" s="421" t="s">
        <v>135</v>
      </c>
      <c r="I36" s="373" t="s">
        <v>78</v>
      </c>
      <c r="J36" s="373" t="s">
        <v>134</v>
      </c>
      <c r="K36" s="159" t="s">
        <v>79</v>
      </c>
      <c r="L36" s="46">
        <v>41457</v>
      </c>
      <c r="M36" s="363" t="s">
        <v>104</v>
      </c>
      <c r="N36" s="363" t="s">
        <v>136</v>
      </c>
      <c r="O36" s="558" t="s">
        <v>299</v>
      </c>
      <c r="P36" s="214">
        <v>42369</v>
      </c>
      <c r="Q36" s="654" t="s">
        <v>535</v>
      </c>
      <c r="R36" s="215" t="s">
        <v>55</v>
      </c>
      <c r="S36" s="214">
        <v>42480</v>
      </c>
      <c r="T36" s="363" t="s">
        <v>536</v>
      </c>
      <c r="U36" s="383">
        <f t="shared" si="11"/>
        <v>33</v>
      </c>
      <c r="V36" s="375" t="str">
        <f t="shared" si="6"/>
        <v>Inoportuno</v>
      </c>
      <c r="W36" s="383">
        <f t="shared" si="12"/>
        <v>111</v>
      </c>
      <c r="X36" s="378" t="s">
        <v>336</v>
      </c>
    </row>
    <row r="37" spans="1:24" ht="301.5" hidden="1" customHeight="1" x14ac:dyDescent="0.2">
      <c r="A37" s="367">
        <f t="shared" si="7"/>
        <v>21</v>
      </c>
      <c r="B37" s="363" t="s">
        <v>64</v>
      </c>
      <c r="C37" s="363" t="s">
        <v>214</v>
      </c>
      <c r="D37" s="360" t="s">
        <v>43</v>
      </c>
      <c r="E37" s="371" t="s">
        <v>0</v>
      </c>
      <c r="F37" s="364" t="s">
        <v>58</v>
      </c>
      <c r="G37" s="46">
        <v>41425</v>
      </c>
      <c r="H37" s="562" t="s">
        <v>215</v>
      </c>
      <c r="I37" s="373" t="s">
        <v>78</v>
      </c>
      <c r="J37" s="373" t="s">
        <v>134</v>
      </c>
      <c r="K37" s="159" t="s">
        <v>79</v>
      </c>
      <c r="L37" s="46">
        <v>41457</v>
      </c>
      <c r="M37" s="363" t="s">
        <v>50</v>
      </c>
      <c r="N37" s="363" t="s">
        <v>137</v>
      </c>
      <c r="O37" s="558" t="s">
        <v>862</v>
      </c>
      <c r="P37" s="214">
        <v>42531</v>
      </c>
      <c r="Q37" s="654" t="s">
        <v>934</v>
      </c>
      <c r="R37" s="215" t="s">
        <v>55</v>
      </c>
      <c r="S37" s="214">
        <v>42950</v>
      </c>
      <c r="T37" s="215" t="s">
        <v>1002</v>
      </c>
      <c r="U37" s="383">
        <f t="shared" si="11"/>
        <v>33</v>
      </c>
      <c r="V37" s="375" t="str">
        <f t="shared" si="6"/>
        <v>Inoportuno</v>
      </c>
      <c r="W37" s="383">
        <f t="shared" si="12"/>
        <v>414</v>
      </c>
      <c r="X37" s="378" t="s">
        <v>336</v>
      </c>
    </row>
    <row r="38" spans="1:24" ht="216.75" hidden="1" customHeight="1" x14ac:dyDescent="0.2">
      <c r="A38" s="367">
        <f t="shared" si="7"/>
        <v>22</v>
      </c>
      <c r="B38" s="379" t="s">
        <v>64</v>
      </c>
      <c r="C38" s="363" t="s">
        <v>214</v>
      </c>
      <c r="D38" s="360" t="s">
        <v>43</v>
      </c>
      <c r="E38" s="371" t="s">
        <v>0</v>
      </c>
      <c r="F38" s="364" t="s">
        <v>58</v>
      </c>
      <c r="G38" s="46">
        <v>41425</v>
      </c>
      <c r="H38" s="421" t="s">
        <v>216</v>
      </c>
      <c r="I38" s="373" t="s">
        <v>78</v>
      </c>
      <c r="J38" s="373" t="s">
        <v>134</v>
      </c>
      <c r="K38" s="159" t="s">
        <v>79</v>
      </c>
      <c r="L38" s="46">
        <v>41457</v>
      </c>
      <c r="M38" s="363" t="s">
        <v>50</v>
      </c>
      <c r="N38" s="363" t="s">
        <v>136</v>
      </c>
      <c r="O38" s="558" t="s">
        <v>213</v>
      </c>
      <c r="P38" s="214">
        <v>41639</v>
      </c>
      <c r="Q38" s="654" t="s">
        <v>537</v>
      </c>
      <c r="R38" s="215" t="s">
        <v>55</v>
      </c>
      <c r="S38" s="214">
        <v>42480</v>
      </c>
      <c r="T38" s="217" t="s">
        <v>538</v>
      </c>
      <c r="U38" s="383">
        <f t="shared" si="11"/>
        <v>33</v>
      </c>
      <c r="V38" s="375" t="str">
        <f t="shared" si="6"/>
        <v>Inoportuno</v>
      </c>
      <c r="W38" s="383">
        <f t="shared" si="12"/>
        <v>831</v>
      </c>
      <c r="X38" s="378" t="s">
        <v>336</v>
      </c>
    </row>
    <row r="39" spans="1:24" ht="127.5" hidden="1" customHeight="1" x14ac:dyDescent="0.2">
      <c r="A39" s="367">
        <f t="shared" si="7"/>
        <v>23</v>
      </c>
      <c r="B39" s="379" t="s">
        <v>64</v>
      </c>
      <c r="C39" s="363" t="s">
        <v>214</v>
      </c>
      <c r="D39" s="360" t="s">
        <v>43</v>
      </c>
      <c r="E39" s="371" t="s">
        <v>0</v>
      </c>
      <c r="F39" s="364" t="s">
        <v>58</v>
      </c>
      <c r="G39" s="46">
        <v>41425</v>
      </c>
      <c r="H39" s="421" t="s">
        <v>12</v>
      </c>
      <c r="I39" s="373" t="s">
        <v>78</v>
      </c>
      <c r="J39" s="373" t="s">
        <v>134</v>
      </c>
      <c r="K39" s="159" t="s">
        <v>79</v>
      </c>
      <c r="L39" s="46">
        <v>41457</v>
      </c>
      <c r="M39" s="363" t="s">
        <v>104</v>
      </c>
      <c r="N39" s="363" t="s">
        <v>136</v>
      </c>
      <c r="O39" s="558" t="s">
        <v>138</v>
      </c>
      <c r="P39" s="214">
        <v>41517</v>
      </c>
      <c r="Q39" s="654" t="s">
        <v>539</v>
      </c>
      <c r="R39" s="215" t="s">
        <v>55</v>
      </c>
      <c r="S39" s="214">
        <v>42480</v>
      </c>
      <c r="T39" s="363" t="s">
        <v>540</v>
      </c>
      <c r="U39" s="383">
        <f t="shared" si="11"/>
        <v>33</v>
      </c>
      <c r="V39" s="375" t="str">
        <f t="shared" si="6"/>
        <v>Inoportuno</v>
      </c>
      <c r="W39" s="383">
        <f t="shared" si="12"/>
        <v>951</v>
      </c>
      <c r="X39" s="378" t="s">
        <v>336</v>
      </c>
    </row>
    <row r="40" spans="1:24" ht="314.25" hidden="1" customHeight="1" x14ac:dyDescent="0.2">
      <c r="A40" s="367">
        <f t="shared" si="7"/>
        <v>24</v>
      </c>
      <c r="B40" s="363" t="s">
        <v>64</v>
      </c>
      <c r="C40" s="363" t="s">
        <v>214</v>
      </c>
      <c r="D40" s="360" t="s">
        <v>43</v>
      </c>
      <c r="E40" s="371" t="s">
        <v>0</v>
      </c>
      <c r="F40" s="364" t="s">
        <v>58</v>
      </c>
      <c r="G40" s="46">
        <v>41425</v>
      </c>
      <c r="H40" s="562" t="s">
        <v>217</v>
      </c>
      <c r="I40" s="373" t="s">
        <v>78</v>
      </c>
      <c r="J40" s="373" t="s">
        <v>134</v>
      </c>
      <c r="K40" s="159" t="s">
        <v>79</v>
      </c>
      <c r="L40" s="46">
        <v>41457</v>
      </c>
      <c r="M40" s="363" t="s">
        <v>50</v>
      </c>
      <c r="N40" s="363" t="s">
        <v>136</v>
      </c>
      <c r="O40" s="558" t="s">
        <v>557</v>
      </c>
      <c r="P40" s="214">
        <v>42735</v>
      </c>
      <c r="Q40" s="654" t="s">
        <v>935</v>
      </c>
      <c r="R40" s="215" t="s">
        <v>55</v>
      </c>
      <c r="S40" s="214">
        <v>42731</v>
      </c>
      <c r="T40" s="363" t="s">
        <v>913</v>
      </c>
      <c r="U40" s="383">
        <f t="shared" si="11"/>
        <v>33</v>
      </c>
      <c r="V40" s="375" t="str">
        <f t="shared" si="6"/>
        <v>Inoportuno</v>
      </c>
      <c r="W40" s="383">
        <f t="shared" si="12"/>
        <v>-2</v>
      </c>
      <c r="X40" s="378" t="s">
        <v>336</v>
      </c>
    </row>
    <row r="41" spans="1:24" ht="147.75" hidden="1" customHeight="1" x14ac:dyDescent="0.2">
      <c r="A41" s="367">
        <f t="shared" si="7"/>
        <v>25</v>
      </c>
      <c r="B41" s="368" t="s">
        <v>64</v>
      </c>
      <c r="C41" s="368" t="s">
        <v>214</v>
      </c>
      <c r="D41" s="360" t="s">
        <v>43</v>
      </c>
      <c r="E41" s="371" t="s">
        <v>0</v>
      </c>
      <c r="F41" s="381" t="s">
        <v>58</v>
      </c>
      <c r="G41" s="183">
        <v>41425</v>
      </c>
      <c r="H41" s="553" t="s">
        <v>218</v>
      </c>
      <c r="I41" s="373" t="s">
        <v>78</v>
      </c>
      <c r="J41" s="373" t="s">
        <v>134</v>
      </c>
      <c r="K41" s="542" t="s">
        <v>79</v>
      </c>
      <c r="L41" s="46">
        <v>41457</v>
      </c>
      <c r="M41" s="363" t="s">
        <v>50</v>
      </c>
      <c r="N41" s="363" t="s">
        <v>139</v>
      </c>
      <c r="O41" s="558" t="s">
        <v>219</v>
      </c>
      <c r="P41" s="214">
        <v>42735</v>
      </c>
      <c r="Q41" s="654" t="s">
        <v>558</v>
      </c>
      <c r="R41" s="215" t="s">
        <v>55</v>
      </c>
      <c r="S41" s="214">
        <v>42950</v>
      </c>
      <c r="T41" s="215" t="s">
        <v>1003</v>
      </c>
      <c r="U41" s="383">
        <f t="shared" si="11"/>
        <v>33</v>
      </c>
      <c r="V41" s="375" t="str">
        <f t="shared" si="6"/>
        <v>Inoportuno</v>
      </c>
      <c r="W41" s="383">
        <f t="shared" si="12"/>
        <v>214</v>
      </c>
      <c r="X41" s="378" t="s">
        <v>336</v>
      </c>
    </row>
    <row r="42" spans="1:24" ht="203.25" hidden="1" customHeight="1" x14ac:dyDescent="0.2">
      <c r="A42" s="367">
        <v>26</v>
      </c>
      <c r="B42" s="371" t="s">
        <v>335</v>
      </c>
      <c r="C42" s="371" t="s">
        <v>30</v>
      </c>
      <c r="D42" s="360" t="s">
        <v>43</v>
      </c>
      <c r="E42" s="371" t="s">
        <v>0</v>
      </c>
      <c r="F42" s="370" t="s">
        <v>107</v>
      </c>
      <c r="G42" s="183">
        <v>41638</v>
      </c>
      <c r="H42" s="561" t="s">
        <v>28</v>
      </c>
      <c r="I42" s="373" t="s">
        <v>78</v>
      </c>
      <c r="J42" s="404" t="s">
        <v>134</v>
      </c>
      <c r="K42" s="542" t="s">
        <v>79</v>
      </c>
      <c r="L42" s="46">
        <v>42551</v>
      </c>
      <c r="M42" s="363" t="s">
        <v>50</v>
      </c>
      <c r="N42" s="363" t="s">
        <v>144</v>
      </c>
      <c r="O42" s="558" t="s">
        <v>656</v>
      </c>
      <c r="P42" s="214">
        <v>42750</v>
      </c>
      <c r="Q42" s="654" t="s">
        <v>657</v>
      </c>
      <c r="R42" s="215" t="s">
        <v>55</v>
      </c>
      <c r="S42" s="214">
        <v>42663</v>
      </c>
      <c r="T42" s="440" t="s">
        <v>658</v>
      </c>
      <c r="U42" s="383">
        <f t="shared" si="11"/>
        <v>901</v>
      </c>
      <c r="V42" s="375" t="str">
        <f t="shared" si="6"/>
        <v>Inoportuno</v>
      </c>
      <c r="W42" s="383">
        <f t="shared" si="12"/>
        <v>-84</v>
      </c>
      <c r="X42" s="378" t="s">
        <v>336</v>
      </c>
    </row>
    <row r="43" spans="1:24" ht="222.75" hidden="1" customHeight="1" x14ac:dyDescent="0.2">
      <c r="A43" s="367">
        <f t="shared" si="7"/>
        <v>27</v>
      </c>
      <c r="B43" s="371" t="s">
        <v>335</v>
      </c>
      <c r="C43" s="371" t="s">
        <v>30</v>
      </c>
      <c r="D43" s="360" t="s">
        <v>43</v>
      </c>
      <c r="E43" s="371" t="s">
        <v>0</v>
      </c>
      <c r="F43" s="370" t="s">
        <v>107</v>
      </c>
      <c r="G43" s="183">
        <v>41638</v>
      </c>
      <c r="H43" s="561" t="s">
        <v>29</v>
      </c>
      <c r="I43" s="373" t="s">
        <v>78</v>
      </c>
      <c r="J43" s="404" t="s">
        <v>134</v>
      </c>
      <c r="K43" s="542" t="s">
        <v>79</v>
      </c>
      <c r="L43" s="46">
        <v>42537</v>
      </c>
      <c r="M43" s="363" t="s">
        <v>104</v>
      </c>
      <c r="N43" s="363"/>
      <c r="O43" s="558" t="s">
        <v>636</v>
      </c>
      <c r="P43" s="214">
        <v>42537</v>
      </c>
      <c r="Q43" s="654" t="s">
        <v>637</v>
      </c>
      <c r="R43" s="215" t="s">
        <v>55</v>
      </c>
      <c r="S43" s="214">
        <v>42551</v>
      </c>
      <c r="T43" s="222" t="s">
        <v>638</v>
      </c>
      <c r="U43" s="383">
        <f t="shared" si="11"/>
        <v>887</v>
      </c>
      <c r="V43" s="375" t="str">
        <f t="shared" si="6"/>
        <v>Inoportuno</v>
      </c>
      <c r="W43" s="383">
        <f t="shared" si="12"/>
        <v>15</v>
      </c>
      <c r="X43" s="378" t="s">
        <v>336</v>
      </c>
    </row>
    <row r="44" spans="1:24" ht="185.25" hidden="1" customHeight="1" x14ac:dyDescent="0.2">
      <c r="A44" s="367">
        <f t="shared" si="7"/>
        <v>28</v>
      </c>
      <c r="B44" s="371" t="s">
        <v>335</v>
      </c>
      <c r="C44" s="371" t="s">
        <v>30</v>
      </c>
      <c r="D44" s="360" t="s">
        <v>43</v>
      </c>
      <c r="E44" s="371" t="s">
        <v>0</v>
      </c>
      <c r="F44" s="370" t="s">
        <v>107</v>
      </c>
      <c r="G44" s="183">
        <v>41638</v>
      </c>
      <c r="H44" s="561" t="s">
        <v>27</v>
      </c>
      <c r="I44" s="373" t="s">
        <v>78</v>
      </c>
      <c r="J44" s="404" t="s">
        <v>134</v>
      </c>
      <c r="K44" s="542" t="s">
        <v>79</v>
      </c>
      <c r="L44" s="46">
        <v>42581</v>
      </c>
      <c r="M44" s="363" t="s">
        <v>50</v>
      </c>
      <c r="N44" s="363" t="s">
        <v>144</v>
      </c>
      <c r="O44" s="558" t="s">
        <v>885</v>
      </c>
      <c r="P44" s="214">
        <v>42612</v>
      </c>
      <c r="Q44" s="666" t="s">
        <v>1022</v>
      </c>
      <c r="R44" s="215" t="s">
        <v>55</v>
      </c>
      <c r="S44" s="214">
        <v>42859</v>
      </c>
      <c r="T44" s="215" t="s">
        <v>999</v>
      </c>
      <c r="U44" s="383">
        <f t="shared" si="11"/>
        <v>931</v>
      </c>
      <c r="V44" s="375" t="str">
        <f t="shared" si="6"/>
        <v>Inoportuno</v>
      </c>
      <c r="W44" s="383">
        <f t="shared" si="12"/>
        <v>245</v>
      </c>
      <c r="X44" s="378" t="s">
        <v>336</v>
      </c>
    </row>
    <row r="45" spans="1:24" ht="351" hidden="1" customHeight="1" x14ac:dyDescent="0.2">
      <c r="A45" s="453">
        <f t="shared" si="7"/>
        <v>29</v>
      </c>
      <c r="B45" s="371" t="s">
        <v>335</v>
      </c>
      <c r="C45" s="371" t="s">
        <v>140</v>
      </c>
      <c r="D45" s="369" t="s">
        <v>43</v>
      </c>
      <c r="E45" s="371" t="s">
        <v>0</v>
      </c>
      <c r="F45" s="370" t="s">
        <v>107</v>
      </c>
      <c r="G45" s="183">
        <v>41243</v>
      </c>
      <c r="H45" s="565" t="s">
        <v>5</v>
      </c>
      <c r="I45" s="373" t="s">
        <v>78</v>
      </c>
      <c r="J45" s="373" t="s">
        <v>134</v>
      </c>
      <c r="K45" s="159" t="s">
        <v>79</v>
      </c>
      <c r="L45" s="46">
        <v>41318</v>
      </c>
      <c r="M45" s="363" t="s">
        <v>104</v>
      </c>
      <c r="N45" s="363" t="s">
        <v>144</v>
      </c>
      <c r="O45" s="558" t="s">
        <v>145</v>
      </c>
      <c r="P45" s="214">
        <v>41455</v>
      </c>
      <c r="Q45" s="656" t="s">
        <v>451</v>
      </c>
      <c r="R45" s="215" t="s">
        <v>55</v>
      </c>
      <c r="S45" s="214">
        <v>42381</v>
      </c>
      <c r="T45" s="217" t="s">
        <v>460</v>
      </c>
      <c r="U45" s="383">
        <f t="shared" si="11"/>
        <v>74</v>
      </c>
      <c r="V45" s="375" t="str">
        <f t="shared" si="6"/>
        <v>Inoportuno</v>
      </c>
      <c r="W45" s="383">
        <f t="shared" si="12"/>
        <v>913</v>
      </c>
      <c r="X45" s="378" t="s">
        <v>336</v>
      </c>
    </row>
    <row r="46" spans="1:24" ht="217.5" hidden="1" customHeight="1" x14ac:dyDescent="0.2">
      <c r="A46" s="453">
        <f t="shared" si="7"/>
        <v>30</v>
      </c>
      <c r="B46" s="371" t="s">
        <v>335</v>
      </c>
      <c r="C46" s="371" t="s">
        <v>140</v>
      </c>
      <c r="D46" s="369" t="s">
        <v>43</v>
      </c>
      <c r="E46" s="371" t="s">
        <v>0</v>
      </c>
      <c r="F46" s="370" t="s">
        <v>107</v>
      </c>
      <c r="G46" s="183">
        <v>41243</v>
      </c>
      <c r="H46" s="565" t="s">
        <v>6</v>
      </c>
      <c r="I46" s="373" t="s">
        <v>78</v>
      </c>
      <c r="J46" s="373" t="s">
        <v>134</v>
      </c>
      <c r="K46" s="159" t="s">
        <v>79</v>
      </c>
      <c r="L46" s="46">
        <v>41318</v>
      </c>
      <c r="M46" s="363" t="s">
        <v>104</v>
      </c>
      <c r="N46" s="363" t="s">
        <v>144</v>
      </c>
      <c r="O46" s="558" t="s">
        <v>220</v>
      </c>
      <c r="P46" s="214">
        <v>41455</v>
      </c>
      <c r="Q46" s="656" t="s">
        <v>461</v>
      </c>
      <c r="R46" s="215" t="s">
        <v>55</v>
      </c>
      <c r="S46" s="214">
        <v>42381</v>
      </c>
      <c r="T46" s="217" t="s">
        <v>462</v>
      </c>
      <c r="U46" s="383">
        <f t="shared" si="11"/>
        <v>74</v>
      </c>
      <c r="V46" s="375" t="str">
        <f t="shared" si="6"/>
        <v>Inoportuno</v>
      </c>
      <c r="W46" s="383">
        <f t="shared" si="12"/>
        <v>913</v>
      </c>
      <c r="X46" s="378" t="s">
        <v>336</v>
      </c>
    </row>
    <row r="47" spans="1:24" ht="264.75" hidden="1" customHeight="1" x14ac:dyDescent="0.2">
      <c r="A47" s="453">
        <f t="shared" si="7"/>
        <v>31</v>
      </c>
      <c r="B47" s="371" t="s">
        <v>335</v>
      </c>
      <c r="C47" s="371" t="s">
        <v>140</v>
      </c>
      <c r="D47" s="369" t="s">
        <v>43</v>
      </c>
      <c r="E47" s="371" t="s">
        <v>0</v>
      </c>
      <c r="F47" s="370" t="s">
        <v>107</v>
      </c>
      <c r="G47" s="183">
        <v>41243</v>
      </c>
      <c r="H47" s="565" t="s">
        <v>146</v>
      </c>
      <c r="I47" s="373" t="s">
        <v>78</v>
      </c>
      <c r="J47" s="373" t="s">
        <v>134</v>
      </c>
      <c r="K47" s="159" t="s">
        <v>79</v>
      </c>
      <c r="L47" s="46">
        <v>41318</v>
      </c>
      <c r="M47" s="363" t="s">
        <v>50</v>
      </c>
      <c r="N47" s="363" t="s">
        <v>144</v>
      </c>
      <c r="O47" s="558" t="s">
        <v>666</v>
      </c>
      <c r="P47" s="214">
        <v>42612</v>
      </c>
      <c r="Q47" s="656" t="s">
        <v>1023</v>
      </c>
      <c r="R47" s="215" t="s">
        <v>55</v>
      </c>
      <c r="S47" s="214">
        <v>42859</v>
      </c>
      <c r="T47" s="215" t="s">
        <v>1024</v>
      </c>
      <c r="U47" s="383">
        <f t="shared" si="11"/>
        <v>74</v>
      </c>
      <c r="V47" s="375" t="str">
        <f t="shared" si="6"/>
        <v>Inoportuno</v>
      </c>
      <c r="W47" s="383">
        <f t="shared" si="12"/>
        <v>245</v>
      </c>
      <c r="X47" s="378" t="s">
        <v>336</v>
      </c>
    </row>
    <row r="48" spans="1:24" ht="225" hidden="1" customHeight="1" x14ac:dyDescent="0.2">
      <c r="A48" s="453">
        <f t="shared" si="7"/>
        <v>32</v>
      </c>
      <c r="B48" s="371" t="s">
        <v>62</v>
      </c>
      <c r="C48" s="371" t="s">
        <v>221</v>
      </c>
      <c r="D48" s="369" t="s">
        <v>46</v>
      </c>
      <c r="E48" s="371" t="s">
        <v>205</v>
      </c>
      <c r="F48" s="370" t="s">
        <v>58</v>
      </c>
      <c r="G48" s="183">
        <v>41697</v>
      </c>
      <c r="H48" s="645" t="s">
        <v>149</v>
      </c>
      <c r="I48" s="373" t="s">
        <v>78</v>
      </c>
      <c r="J48" s="373" t="s">
        <v>133</v>
      </c>
      <c r="K48" s="159" t="s">
        <v>79</v>
      </c>
      <c r="L48" s="46">
        <v>41726</v>
      </c>
      <c r="M48" s="363" t="s">
        <v>50</v>
      </c>
      <c r="N48" s="363" t="s">
        <v>150</v>
      </c>
      <c r="O48" s="558" t="s">
        <v>222</v>
      </c>
      <c r="P48" s="46">
        <v>42004</v>
      </c>
      <c r="Q48" s="654" t="s">
        <v>971</v>
      </c>
      <c r="R48" s="367" t="s">
        <v>51</v>
      </c>
      <c r="S48" s="46"/>
      <c r="T48" s="367"/>
      <c r="U48" s="383">
        <f t="shared" si="11"/>
        <v>32</v>
      </c>
      <c r="V48" s="375" t="str">
        <f t="shared" si="6"/>
        <v>Inoportuno</v>
      </c>
      <c r="W48" s="383">
        <f t="shared" si="12"/>
        <v>-41399</v>
      </c>
      <c r="X48" s="378" t="s">
        <v>336</v>
      </c>
    </row>
    <row r="49" spans="1:24" ht="258.75" hidden="1" customHeight="1" x14ac:dyDescent="0.2">
      <c r="A49" s="725">
        <f>+A48+1</f>
        <v>33</v>
      </c>
      <c r="B49" s="592" t="s">
        <v>49</v>
      </c>
      <c r="C49" s="720" t="s">
        <v>157</v>
      </c>
      <c r="D49" s="729" t="s">
        <v>46</v>
      </c>
      <c r="E49" s="727" t="s">
        <v>205</v>
      </c>
      <c r="F49" s="721" t="s">
        <v>59</v>
      </c>
      <c r="G49" s="731">
        <v>41684</v>
      </c>
      <c r="H49" s="756" t="s">
        <v>180</v>
      </c>
      <c r="I49" s="755" t="s">
        <v>78</v>
      </c>
      <c r="J49" s="755" t="s">
        <v>134</v>
      </c>
      <c r="K49" s="775" t="s">
        <v>79</v>
      </c>
      <c r="L49" s="731">
        <v>41753</v>
      </c>
      <c r="M49" s="363" t="s">
        <v>50</v>
      </c>
      <c r="N49" s="363" t="s">
        <v>115</v>
      </c>
      <c r="O49" s="558" t="s">
        <v>181</v>
      </c>
      <c r="P49" s="46">
        <v>42063</v>
      </c>
      <c r="Q49" s="654"/>
      <c r="R49" s="367" t="s">
        <v>55</v>
      </c>
      <c r="S49" s="46">
        <v>42509</v>
      </c>
      <c r="T49" s="363" t="s">
        <v>629</v>
      </c>
      <c r="U49" s="551">
        <f t="shared" si="11"/>
        <v>71</v>
      </c>
      <c r="V49" s="375" t="str">
        <f t="shared" si="6"/>
        <v>Inoportuno</v>
      </c>
      <c r="W49" s="383">
        <f t="shared" si="12"/>
        <v>440</v>
      </c>
      <c r="X49" s="806" t="s">
        <v>336</v>
      </c>
    </row>
    <row r="50" spans="1:24" ht="45" hidden="1" customHeight="1" x14ac:dyDescent="0.2">
      <c r="A50" s="734"/>
      <c r="B50" s="592" t="s">
        <v>49</v>
      </c>
      <c r="C50" s="743"/>
      <c r="D50" s="735"/>
      <c r="E50" s="743"/>
      <c r="F50" s="741"/>
      <c r="G50" s="760"/>
      <c r="H50" s="761"/>
      <c r="I50" s="755"/>
      <c r="J50" s="755"/>
      <c r="K50" s="776"/>
      <c r="L50" s="760"/>
      <c r="M50" s="363" t="s">
        <v>50</v>
      </c>
      <c r="N50" s="363" t="s">
        <v>115</v>
      </c>
      <c r="O50" s="558" t="s">
        <v>223</v>
      </c>
      <c r="P50" s="46">
        <v>42063</v>
      </c>
      <c r="Q50" s="654"/>
      <c r="R50" s="367" t="s">
        <v>55</v>
      </c>
      <c r="S50" s="46">
        <v>42509</v>
      </c>
      <c r="T50" s="548" t="s">
        <v>629</v>
      </c>
      <c r="U50" s="383">
        <f t="shared" si="11"/>
        <v>1</v>
      </c>
      <c r="V50" s="375" t="str">
        <f t="shared" si="6"/>
        <v>Oportuno</v>
      </c>
      <c r="W50" s="383">
        <f t="shared" si="12"/>
        <v>440</v>
      </c>
      <c r="X50" s="806" t="s">
        <v>336</v>
      </c>
    </row>
    <row r="51" spans="1:24" ht="189.75" hidden="1" customHeight="1" x14ac:dyDescent="0.2">
      <c r="A51" s="734"/>
      <c r="B51" s="592" t="s">
        <v>49</v>
      </c>
      <c r="C51" s="743"/>
      <c r="D51" s="735"/>
      <c r="E51" s="743"/>
      <c r="F51" s="741"/>
      <c r="G51" s="760"/>
      <c r="H51" s="761"/>
      <c r="I51" s="755"/>
      <c r="J51" s="755"/>
      <c r="K51" s="776"/>
      <c r="L51" s="760"/>
      <c r="M51" s="363" t="s">
        <v>50</v>
      </c>
      <c r="N51" s="363" t="s">
        <v>115</v>
      </c>
      <c r="O51" s="558" t="s">
        <v>182</v>
      </c>
      <c r="P51" s="46">
        <v>41805</v>
      </c>
      <c r="Q51" s="654"/>
      <c r="R51" s="367" t="s">
        <v>55</v>
      </c>
      <c r="S51" s="46">
        <v>42509</v>
      </c>
      <c r="T51" s="367" t="s">
        <v>855</v>
      </c>
      <c r="U51" s="383">
        <f t="shared" si="11"/>
        <v>1</v>
      </c>
      <c r="V51" s="375" t="str">
        <f t="shared" si="6"/>
        <v>Oportuno</v>
      </c>
      <c r="W51" s="383">
        <f t="shared" si="12"/>
        <v>695</v>
      </c>
      <c r="X51" s="806" t="s">
        <v>336</v>
      </c>
    </row>
    <row r="52" spans="1:24" ht="267.75" hidden="1" customHeight="1" x14ac:dyDescent="0.2">
      <c r="A52" s="726"/>
      <c r="B52" s="592" t="s">
        <v>49</v>
      </c>
      <c r="C52" s="728"/>
      <c r="D52" s="730"/>
      <c r="E52" s="728"/>
      <c r="F52" s="722"/>
      <c r="G52" s="732"/>
      <c r="H52" s="759"/>
      <c r="I52" s="755"/>
      <c r="J52" s="755"/>
      <c r="K52" s="777"/>
      <c r="L52" s="732"/>
      <c r="M52" s="363" t="s">
        <v>50</v>
      </c>
      <c r="N52" s="363" t="s">
        <v>115</v>
      </c>
      <c r="O52" s="558" t="s">
        <v>183</v>
      </c>
      <c r="P52" s="46">
        <v>41789</v>
      </c>
      <c r="Q52" s="654"/>
      <c r="R52" s="367" t="s">
        <v>55</v>
      </c>
      <c r="S52" s="46">
        <v>42733</v>
      </c>
      <c r="T52" s="486" t="s">
        <v>792</v>
      </c>
      <c r="U52" s="383">
        <f>DAYS360(G49,L49,0)+1</f>
        <v>71</v>
      </c>
      <c r="V52" s="375" t="str">
        <f t="shared" si="6"/>
        <v>Inoportuno</v>
      </c>
      <c r="W52" s="383">
        <f t="shared" si="12"/>
        <v>930</v>
      </c>
      <c r="X52" s="806" t="s">
        <v>336</v>
      </c>
    </row>
    <row r="53" spans="1:24" ht="236.25" hidden="1" customHeight="1" x14ac:dyDescent="0.2">
      <c r="A53" s="725">
        <v>34</v>
      </c>
      <c r="B53" s="592" t="s">
        <v>65</v>
      </c>
      <c r="C53" s="727" t="s">
        <v>158</v>
      </c>
      <c r="D53" s="729" t="s">
        <v>46</v>
      </c>
      <c r="E53" s="727" t="s">
        <v>205</v>
      </c>
      <c r="F53" s="721" t="s">
        <v>59</v>
      </c>
      <c r="G53" s="731">
        <v>41704</v>
      </c>
      <c r="H53" s="727" t="s">
        <v>165</v>
      </c>
      <c r="I53" s="755" t="s">
        <v>78</v>
      </c>
      <c r="J53" s="755" t="s">
        <v>134</v>
      </c>
      <c r="K53" s="775" t="s">
        <v>79</v>
      </c>
      <c r="L53" s="731">
        <v>41737</v>
      </c>
      <c r="M53" s="363" t="s">
        <v>104</v>
      </c>
      <c r="N53" s="363" t="s">
        <v>59</v>
      </c>
      <c r="O53" s="558" t="s">
        <v>224</v>
      </c>
      <c r="P53" s="46">
        <v>42078</v>
      </c>
      <c r="Q53" s="654"/>
      <c r="R53" s="367" t="s">
        <v>55</v>
      </c>
      <c r="S53" s="46"/>
      <c r="T53" s="363" t="s">
        <v>580</v>
      </c>
      <c r="U53" s="551">
        <f>DAYS360(G50,L50,0)+1</f>
        <v>1</v>
      </c>
      <c r="V53" s="375" t="str">
        <f t="shared" si="6"/>
        <v>Oportuno</v>
      </c>
      <c r="W53" s="383">
        <f t="shared" si="12"/>
        <v>-41474</v>
      </c>
      <c r="X53" s="806" t="s">
        <v>336</v>
      </c>
    </row>
    <row r="54" spans="1:24" ht="408.75" hidden="1" customHeight="1" x14ac:dyDescent="0.2">
      <c r="A54" s="726"/>
      <c r="B54" s="592" t="s">
        <v>65</v>
      </c>
      <c r="C54" s="728"/>
      <c r="D54" s="735"/>
      <c r="E54" s="743"/>
      <c r="F54" s="722"/>
      <c r="G54" s="732"/>
      <c r="H54" s="728"/>
      <c r="I54" s="755"/>
      <c r="J54" s="755"/>
      <c r="K54" s="776"/>
      <c r="L54" s="732"/>
      <c r="M54" s="363" t="s">
        <v>50</v>
      </c>
      <c r="N54" s="363" t="s">
        <v>59</v>
      </c>
      <c r="O54" s="558" t="s">
        <v>166</v>
      </c>
      <c r="P54" s="46">
        <v>42078</v>
      </c>
      <c r="Q54" s="654"/>
      <c r="R54" s="367" t="s">
        <v>55</v>
      </c>
      <c r="S54" s="46">
        <v>42467</v>
      </c>
      <c r="T54" s="363" t="s">
        <v>580</v>
      </c>
      <c r="U54" s="383">
        <f>DAYS360(G53,L53,0)+1</f>
        <v>33</v>
      </c>
      <c r="V54" s="375" t="str">
        <f t="shared" si="6"/>
        <v>Inoportuno</v>
      </c>
      <c r="W54" s="383">
        <f t="shared" si="12"/>
        <v>383</v>
      </c>
      <c r="X54" s="806" t="s">
        <v>336</v>
      </c>
    </row>
    <row r="55" spans="1:24" ht="165" hidden="1" customHeight="1" x14ac:dyDescent="0.2">
      <c r="A55" s="725">
        <v>35</v>
      </c>
      <c r="B55" s="727" t="s">
        <v>63</v>
      </c>
      <c r="C55" s="727" t="s">
        <v>225</v>
      </c>
      <c r="D55" s="729" t="s">
        <v>46</v>
      </c>
      <c r="E55" s="727" t="s">
        <v>205</v>
      </c>
      <c r="F55" s="721" t="s">
        <v>59</v>
      </c>
      <c r="G55" s="731">
        <v>41714</v>
      </c>
      <c r="H55" s="727" t="s">
        <v>152</v>
      </c>
      <c r="I55" s="723" t="s">
        <v>78</v>
      </c>
      <c r="J55" s="723" t="s">
        <v>134</v>
      </c>
      <c r="K55" s="725" t="s">
        <v>79</v>
      </c>
      <c r="L55" s="731">
        <v>41726</v>
      </c>
      <c r="M55" s="363" t="s">
        <v>50</v>
      </c>
      <c r="N55" s="363" t="s">
        <v>150</v>
      </c>
      <c r="O55" s="558" t="s">
        <v>153</v>
      </c>
      <c r="P55" s="46">
        <v>42004</v>
      </c>
      <c r="Q55" s="654" t="s">
        <v>1049</v>
      </c>
      <c r="R55" s="367" t="s">
        <v>55</v>
      </c>
      <c r="S55" s="46">
        <v>42705</v>
      </c>
      <c r="T55" s="367" t="s">
        <v>990</v>
      </c>
      <c r="U55" s="551">
        <f>DAYS360(G54,L54,0)+1</f>
        <v>1</v>
      </c>
      <c r="V55" s="375" t="str">
        <f t="shared" si="6"/>
        <v>Oportuno</v>
      </c>
      <c r="W55" s="383">
        <f t="shared" si="12"/>
        <v>692</v>
      </c>
      <c r="X55" s="806" t="s">
        <v>336</v>
      </c>
    </row>
    <row r="56" spans="1:24" ht="166.5" hidden="1" customHeight="1" x14ac:dyDescent="0.2">
      <c r="A56" s="734"/>
      <c r="B56" s="743"/>
      <c r="C56" s="743"/>
      <c r="D56" s="735"/>
      <c r="E56" s="743"/>
      <c r="F56" s="741"/>
      <c r="G56" s="760"/>
      <c r="H56" s="743"/>
      <c r="I56" s="768"/>
      <c r="J56" s="768"/>
      <c r="K56" s="734"/>
      <c r="L56" s="760"/>
      <c r="M56" s="363" t="s">
        <v>50</v>
      </c>
      <c r="N56" s="363" t="s">
        <v>150</v>
      </c>
      <c r="O56" s="558" t="s">
        <v>154</v>
      </c>
      <c r="P56" s="46">
        <v>42004</v>
      </c>
      <c r="Q56" s="681" t="s">
        <v>1079</v>
      </c>
      <c r="R56" s="367" t="s">
        <v>55</v>
      </c>
      <c r="S56" s="46">
        <v>42705</v>
      </c>
      <c r="T56" s="682" t="s">
        <v>990</v>
      </c>
      <c r="U56" s="383">
        <f t="shared" si="11"/>
        <v>1</v>
      </c>
      <c r="V56" s="375" t="str">
        <f t="shared" si="6"/>
        <v>Oportuno</v>
      </c>
      <c r="W56" s="383">
        <f t="shared" si="12"/>
        <v>692</v>
      </c>
      <c r="X56" s="806" t="s">
        <v>336</v>
      </c>
    </row>
    <row r="57" spans="1:24" ht="89.25" hidden="1" customHeight="1" x14ac:dyDescent="0.2">
      <c r="A57" s="734"/>
      <c r="B57" s="743"/>
      <c r="C57" s="743"/>
      <c r="D57" s="735"/>
      <c r="E57" s="743"/>
      <c r="F57" s="741"/>
      <c r="G57" s="760"/>
      <c r="H57" s="743"/>
      <c r="I57" s="768"/>
      <c r="J57" s="768"/>
      <c r="K57" s="734"/>
      <c r="L57" s="760"/>
      <c r="M57" s="363" t="s">
        <v>50</v>
      </c>
      <c r="N57" s="363" t="s">
        <v>150</v>
      </c>
      <c r="O57" s="558" t="s">
        <v>155</v>
      </c>
      <c r="P57" s="46">
        <v>42004</v>
      </c>
      <c r="Q57" s="681" t="s">
        <v>1079</v>
      </c>
      <c r="R57" s="367" t="s">
        <v>55</v>
      </c>
      <c r="S57" s="46">
        <v>42705</v>
      </c>
      <c r="T57" s="682" t="s">
        <v>990</v>
      </c>
      <c r="U57" s="383">
        <f t="shared" si="11"/>
        <v>1</v>
      </c>
      <c r="V57" s="375" t="str">
        <f t="shared" si="6"/>
        <v>Oportuno</v>
      </c>
      <c r="W57" s="383">
        <f t="shared" si="12"/>
        <v>692</v>
      </c>
      <c r="X57" s="806" t="s">
        <v>336</v>
      </c>
    </row>
    <row r="58" spans="1:24" ht="63.75" hidden="1" customHeight="1" x14ac:dyDescent="0.2">
      <c r="A58" s="726"/>
      <c r="B58" s="728"/>
      <c r="C58" s="728"/>
      <c r="D58" s="730"/>
      <c r="E58" s="728"/>
      <c r="F58" s="722"/>
      <c r="G58" s="732"/>
      <c r="H58" s="728"/>
      <c r="I58" s="724"/>
      <c r="J58" s="724"/>
      <c r="K58" s="726"/>
      <c r="L58" s="732"/>
      <c r="M58" s="363" t="s">
        <v>50</v>
      </c>
      <c r="N58" s="363" t="s">
        <v>150</v>
      </c>
      <c r="O58" s="558" t="s">
        <v>226</v>
      </c>
      <c r="P58" s="46">
        <v>42004</v>
      </c>
      <c r="Q58" s="681" t="s">
        <v>1079</v>
      </c>
      <c r="R58" s="367" t="s">
        <v>55</v>
      </c>
      <c r="S58" s="46">
        <v>42705</v>
      </c>
      <c r="T58" s="682" t="s">
        <v>990</v>
      </c>
      <c r="U58" s="383">
        <f>DAYS360(G55,L55,0)+1</f>
        <v>13</v>
      </c>
      <c r="V58" s="375" t="str">
        <f t="shared" si="6"/>
        <v>Inoportuno</v>
      </c>
      <c r="W58" s="383">
        <f t="shared" si="12"/>
        <v>692</v>
      </c>
      <c r="X58" s="806" t="s">
        <v>336</v>
      </c>
    </row>
    <row r="59" spans="1:24" ht="168.75" hidden="1" customHeight="1" x14ac:dyDescent="0.2">
      <c r="A59" s="725">
        <v>36</v>
      </c>
      <c r="B59" s="592" t="s">
        <v>335</v>
      </c>
      <c r="C59" s="772" t="s">
        <v>184</v>
      </c>
      <c r="D59" s="729" t="s">
        <v>184</v>
      </c>
      <c r="E59" s="727" t="s">
        <v>0</v>
      </c>
      <c r="F59" s="721" t="s">
        <v>107</v>
      </c>
      <c r="G59" s="769">
        <v>41901</v>
      </c>
      <c r="H59" s="826" t="s">
        <v>233</v>
      </c>
      <c r="I59" s="755" t="s">
        <v>78</v>
      </c>
      <c r="J59" s="755" t="s">
        <v>134</v>
      </c>
      <c r="K59" s="775" t="s">
        <v>79</v>
      </c>
      <c r="L59" s="731">
        <v>41933</v>
      </c>
      <c r="M59" s="363" t="s">
        <v>104</v>
      </c>
      <c r="N59" s="363" t="s">
        <v>144</v>
      </c>
      <c r="O59" s="558" t="s">
        <v>661</v>
      </c>
      <c r="P59" s="214">
        <v>42612</v>
      </c>
      <c r="Q59" s="654"/>
      <c r="R59" s="215" t="s">
        <v>55</v>
      </c>
      <c r="S59" s="214">
        <v>42381</v>
      </c>
      <c r="T59" s="217" t="s">
        <v>662</v>
      </c>
      <c r="U59" s="551">
        <f>DAYS360(G56,L56,0)+1</f>
        <v>1</v>
      </c>
      <c r="V59" s="375" t="str">
        <f t="shared" si="6"/>
        <v>Oportuno</v>
      </c>
      <c r="W59" s="383">
        <f>DAYS360(P59,S59,0)+1</f>
        <v>-227</v>
      </c>
      <c r="X59" s="806" t="s">
        <v>336</v>
      </c>
    </row>
    <row r="60" spans="1:24" ht="117.75" hidden="1" customHeight="1" x14ac:dyDescent="0.2">
      <c r="A60" s="734"/>
      <c r="B60" s="592" t="s">
        <v>335</v>
      </c>
      <c r="C60" s="773"/>
      <c r="D60" s="735"/>
      <c r="E60" s="743"/>
      <c r="F60" s="741"/>
      <c r="G60" s="770"/>
      <c r="H60" s="773"/>
      <c r="I60" s="755"/>
      <c r="J60" s="755"/>
      <c r="K60" s="776"/>
      <c r="L60" s="760"/>
      <c r="M60" s="363" t="s">
        <v>50</v>
      </c>
      <c r="N60" s="363" t="s">
        <v>249</v>
      </c>
      <c r="O60" s="558" t="s">
        <v>250</v>
      </c>
      <c r="P60" s="214">
        <v>42216</v>
      </c>
      <c r="Q60" s="654"/>
      <c r="R60" s="215" t="s">
        <v>55</v>
      </c>
      <c r="S60" s="214">
        <v>42381</v>
      </c>
      <c r="T60" s="217" t="s">
        <v>452</v>
      </c>
      <c r="U60" s="383">
        <f t="shared" ref="U60:U64" si="16">DAYS360(G60,L60,0)+1</f>
        <v>1</v>
      </c>
      <c r="V60" s="375" t="str">
        <f t="shared" si="6"/>
        <v>Oportuno</v>
      </c>
      <c r="W60" s="383">
        <f t="shared" ref="W60:W63" si="17">DAYS360(P60,S60,0)+1</f>
        <v>163</v>
      </c>
      <c r="X60" s="806" t="s">
        <v>336</v>
      </c>
    </row>
    <row r="61" spans="1:24" ht="84.75" hidden="1" customHeight="1" x14ac:dyDescent="0.2">
      <c r="A61" s="734"/>
      <c r="B61" s="592" t="s">
        <v>335</v>
      </c>
      <c r="C61" s="773"/>
      <c r="D61" s="735"/>
      <c r="E61" s="743"/>
      <c r="F61" s="741"/>
      <c r="G61" s="770"/>
      <c r="H61" s="773"/>
      <c r="I61" s="755"/>
      <c r="J61" s="755"/>
      <c r="K61" s="776"/>
      <c r="L61" s="760"/>
      <c r="M61" s="363" t="s">
        <v>104</v>
      </c>
      <c r="N61" s="217" t="s">
        <v>235</v>
      </c>
      <c r="O61" s="558" t="s">
        <v>234</v>
      </c>
      <c r="P61" s="214">
        <v>42004</v>
      </c>
      <c r="Q61" s="654"/>
      <c r="R61" s="215" t="s">
        <v>55</v>
      </c>
      <c r="S61" s="214">
        <v>42381</v>
      </c>
      <c r="T61" s="217" t="s">
        <v>452</v>
      </c>
      <c r="U61" s="383">
        <f t="shared" si="16"/>
        <v>1</v>
      </c>
      <c r="V61" s="375" t="str">
        <f t="shared" si="6"/>
        <v>Oportuno</v>
      </c>
      <c r="W61" s="383">
        <f t="shared" si="17"/>
        <v>373</v>
      </c>
      <c r="X61" s="806" t="s">
        <v>336</v>
      </c>
    </row>
    <row r="62" spans="1:24" ht="201" hidden="1" customHeight="1" x14ac:dyDescent="0.2">
      <c r="A62" s="734"/>
      <c r="B62" s="592" t="s">
        <v>335</v>
      </c>
      <c r="C62" s="773"/>
      <c r="D62" s="735"/>
      <c r="E62" s="743"/>
      <c r="F62" s="741"/>
      <c r="G62" s="770"/>
      <c r="H62" s="773"/>
      <c r="I62" s="755"/>
      <c r="J62" s="755"/>
      <c r="K62" s="776"/>
      <c r="L62" s="760"/>
      <c r="M62" s="363" t="s">
        <v>104</v>
      </c>
      <c r="N62" s="217" t="s">
        <v>235</v>
      </c>
      <c r="O62" s="558" t="s">
        <v>300</v>
      </c>
      <c r="P62" s="214">
        <v>42004</v>
      </c>
      <c r="Q62" s="654"/>
      <c r="R62" s="215" t="s">
        <v>55</v>
      </c>
      <c r="S62" s="214">
        <v>42537</v>
      </c>
      <c r="T62" s="548" t="s">
        <v>856</v>
      </c>
      <c r="U62" s="383">
        <f t="shared" si="16"/>
        <v>1</v>
      </c>
      <c r="V62" s="375" t="str">
        <f t="shared" ref="V62:V84" si="18">IF(U62&gt;7,"Inoportuno",(IF(U62&lt;0,"No ha formulado PM","Oportuno")))</f>
        <v>Oportuno</v>
      </c>
      <c r="W62" s="383">
        <f t="shared" si="17"/>
        <v>527</v>
      </c>
      <c r="X62" s="806" t="s">
        <v>336</v>
      </c>
    </row>
    <row r="63" spans="1:24" ht="193.5" hidden="1" customHeight="1" x14ac:dyDescent="0.2">
      <c r="A63" s="726"/>
      <c r="B63" s="592" t="s">
        <v>335</v>
      </c>
      <c r="C63" s="774"/>
      <c r="D63" s="730"/>
      <c r="E63" s="728"/>
      <c r="F63" s="722"/>
      <c r="G63" s="771"/>
      <c r="H63" s="774"/>
      <c r="I63" s="755"/>
      <c r="J63" s="755"/>
      <c r="K63" s="777"/>
      <c r="L63" s="732"/>
      <c r="M63" s="363" t="s">
        <v>50</v>
      </c>
      <c r="N63" s="217" t="s">
        <v>235</v>
      </c>
      <c r="O63" s="558" t="s">
        <v>659</v>
      </c>
      <c r="P63" s="214">
        <v>42612</v>
      </c>
      <c r="Q63" s="654"/>
      <c r="R63" s="215" t="s">
        <v>55</v>
      </c>
      <c r="S63" s="214"/>
      <c r="T63" s="217" t="s">
        <v>463</v>
      </c>
      <c r="U63" s="383">
        <f>DAYS360(G59,L59,0)+1</f>
        <v>33</v>
      </c>
      <c r="V63" s="375" t="str">
        <f t="shared" si="18"/>
        <v>Inoportuno</v>
      </c>
      <c r="W63" s="383">
        <f t="shared" si="17"/>
        <v>-41999</v>
      </c>
      <c r="X63" s="806" t="s">
        <v>336</v>
      </c>
    </row>
    <row r="64" spans="1:24" ht="293.25" hidden="1" customHeight="1" x14ac:dyDescent="0.2">
      <c r="A64" s="367">
        <v>37</v>
      </c>
      <c r="B64" s="363" t="s">
        <v>10</v>
      </c>
      <c r="C64" s="363" t="s">
        <v>190</v>
      </c>
      <c r="D64" s="360" t="s">
        <v>43</v>
      </c>
      <c r="E64" s="362" t="s">
        <v>0</v>
      </c>
      <c r="F64" s="364" t="s">
        <v>59</v>
      </c>
      <c r="G64" s="46">
        <v>41778</v>
      </c>
      <c r="H64" s="421" t="s">
        <v>251</v>
      </c>
      <c r="I64" s="365" t="s">
        <v>78</v>
      </c>
      <c r="J64" s="365" t="s">
        <v>134</v>
      </c>
      <c r="K64" s="537" t="s">
        <v>79</v>
      </c>
      <c r="L64" s="46">
        <v>41816</v>
      </c>
      <c r="M64" s="363" t="s">
        <v>50</v>
      </c>
      <c r="N64" s="363" t="s">
        <v>252</v>
      </c>
      <c r="O64" s="558" t="s">
        <v>253</v>
      </c>
      <c r="P64" s="46">
        <v>41881</v>
      </c>
      <c r="Q64" s="654"/>
      <c r="R64" s="367" t="s">
        <v>55</v>
      </c>
      <c r="S64" s="46">
        <v>42820</v>
      </c>
      <c r="T64" s="576" t="s">
        <v>864</v>
      </c>
      <c r="U64" s="383">
        <f t="shared" si="16"/>
        <v>38</v>
      </c>
      <c r="V64" s="375" t="str">
        <f t="shared" si="18"/>
        <v>Inoportuno</v>
      </c>
      <c r="W64" s="383">
        <f t="shared" ref="W64" si="19">DAYS360(P64,S64,0)+1</f>
        <v>927</v>
      </c>
      <c r="X64" s="378" t="s">
        <v>336</v>
      </c>
    </row>
    <row r="65" spans="1:24" ht="409.5" hidden="1" customHeight="1" x14ac:dyDescent="0.2">
      <c r="A65" s="367">
        <f t="shared" si="7"/>
        <v>38</v>
      </c>
      <c r="B65" s="363" t="s">
        <v>49</v>
      </c>
      <c r="C65" s="363" t="s">
        <v>192</v>
      </c>
      <c r="D65" s="361" t="s">
        <v>46</v>
      </c>
      <c r="E65" s="371" t="s">
        <v>205</v>
      </c>
      <c r="F65" s="364" t="s">
        <v>59</v>
      </c>
      <c r="G65" s="46">
        <v>41848</v>
      </c>
      <c r="H65" s="421" t="s">
        <v>254</v>
      </c>
      <c r="I65" s="373" t="s">
        <v>78</v>
      </c>
      <c r="J65" s="373" t="s">
        <v>134</v>
      </c>
      <c r="K65" s="159" t="s">
        <v>79</v>
      </c>
      <c r="L65" s="46">
        <v>41964</v>
      </c>
      <c r="M65" s="363" t="s">
        <v>104</v>
      </c>
      <c r="N65" s="363" t="s">
        <v>361</v>
      </c>
      <c r="O65" s="558" t="s">
        <v>771</v>
      </c>
      <c r="P65" s="46">
        <v>41942</v>
      </c>
      <c r="Q65" s="654"/>
      <c r="R65" s="367" t="s">
        <v>55</v>
      </c>
      <c r="S65" s="46">
        <v>42582</v>
      </c>
      <c r="T65" s="484" t="s">
        <v>770</v>
      </c>
      <c r="U65" s="383">
        <f t="shared" ref="U65:U77" si="20">DAYS360(G65,L65,0)+1</f>
        <v>114</v>
      </c>
      <c r="V65" s="375" t="str">
        <f t="shared" si="18"/>
        <v>Inoportuno</v>
      </c>
      <c r="W65" s="383">
        <f t="shared" ref="W65:W79" si="21">DAYS360(P65,S65,0)+1</f>
        <v>631</v>
      </c>
      <c r="X65" s="378" t="s">
        <v>336</v>
      </c>
    </row>
    <row r="66" spans="1:24" ht="129" hidden="1" customHeight="1" x14ac:dyDescent="0.2">
      <c r="A66" s="367">
        <f t="shared" si="7"/>
        <v>39</v>
      </c>
      <c r="B66" s="363" t="s">
        <v>49</v>
      </c>
      <c r="C66" s="363" t="s">
        <v>192</v>
      </c>
      <c r="D66" s="361" t="s">
        <v>46</v>
      </c>
      <c r="E66" s="371" t="s">
        <v>205</v>
      </c>
      <c r="F66" s="364" t="s">
        <v>59</v>
      </c>
      <c r="G66" s="46">
        <v>41848</v>
      </c>
      <c r="H66" s="421" t="s">
        <v>193</v>
      </c>
      <c r="I66" s="373" t="s">
        <v>78</v>
      </c>
      <c r="J66" s="200" t="s">
        <v>134</v>
      </c>
      <c r="K66" s="159" t="s">
        <v>79</v>
      </c>
      <c r="L66" s="46">
        <v>41964</v>
      </c>
      <c r="M66" s="363" t="s">
        <v>104</v>
      </c>
      <c r="N66" s="363" t="s">
        <v>362</v>
      </c>
      <c r="O66" s="558" t="s">
        <v>772</v>
      </c>
      <c r="P66" s="46">
        <v>41912</v>
      </c>
      <c r="Q66" s="654"/>
      <c r="R66" s="367" t="s">
        <v>55</v>
      </c>
      <c r="S66" s="46">
        <v>42733</v>
      </c>
      <c r="T66" s="484" t="s">
        <v>773</v>
      </c>
      <c r="U66" s="383">
        <f t="shared" si="20"/>
        <v>114</v>
      </c>
      <c r="V66" s="375" t="str">
        <f t="shared" si="18"/>
        <v>Inoportuno</v>
      </c>
      <c r="W66" s="383">
        <f t="shared" si="21"/>
        <v>810</v>
      </c>
      <c r="X66" s="378" t="s">
        <v>336</v>
      </c>
    </row>
    <row r="67" spans="1:24" ht="236.25" hidden="1" customHeight="1" x14ac:dyDescent="0.2">
      <c r="A67" s="725">
        <v>40</v>
      </c>
      <c r="B67" s="727" t="s">
        <v>49</v>
      </c>
      <c r="C67" s="727" t="s">
        <v>192</v>
      </c>
      <c r="D67" s="729" t="s">
        <v>46</v>
      </c>
      <c r="E67" s="727" t="s">
        <v>205</v>
      </c>
      <c r="F67" s="721" t="s">
        <v>59</v>
      </c>
      <c r="G67" s="731">
        <v>41848</v>
      </c>
      <c r="H67" s="727" t="s">
        <v>194</v>
      </c>
      <c r="I67" s="755" t="s">
        <v>78</v>
      </c>
      <c r="J67" s="755" t="s">
        <v>134</v>
      </c>
      <c r="K67" s="775" t="s">
        <v>79</v>
      </c>
      <c r="L67" s="731">
        <v>41964</v>
      </c>
      <c r="M67" s="363" t="s">
        <v>104</v>
      </c>
      <c r="N67" s="196" t="s">
        <v>236</v>
      </c>
      <c r="O67" s="558" t="s">
        <v>237</v>
      </c>
      <c r="P67" s="46">
        <v>42063</v>
      </c>
      <c r="Q67" s="654"/>
      <c r="R67" s="367" t="s">
        <v>55</v>
      </c>
      <c r="S67" s="46">
        <v>42509</v>
      </c>
      <c r="T67" s="363" t="s">
        <v>844</v>
      </c>
      <c r="U67" s="551">
        <f t="shared" si="20"/>
        <v>114</v>
      </c>
      <c r="V67" s="375" t="str">
        <f t="shared" si="18"/>
        <v>Inoportuno</v>
      </c>
      <c r="W67" s="383">
        <f t="shared" si="21"/>
        <v>440</v>
      </c>
      <c r="X67" s="806" t="s">
        <v>336</v>
      </c>
    </row>
    <row r="68" spans="1:24" ht="215.25" hidden="1" customHeight="1" x14ac:dyDescent="0.2">
      <c r="A68" s="726"/>
      <c r="B68" s="728"/>
      <c r="C68" s="728"/>
      <c r="D68" s="730"/>
      <c r="E68" s="728"/>
      <c r="F68" s="722"/>
      <c r="G68" s="732"/>
      <c r="H68" s="728"/>
      <c r="I68" s="755"/>
      <c r="J68" s="755"/>
      <c r="K68" s="777"/>
      <c r="L68" s="732"/>
      <c r="M68" s="363" t="s">
        <v>50</v>
      </c>
      <c r="N68" s="196" t="s">
        <v>236</v>
      </c>
      <c r="O68" s="558" t="s">
        <v>255</v>
      </c>
      <c r="P68" s="46">
        <v>42063</v>
      </c>
      <c r="Q68" s="654"/>
      <c r="R68" s="357" t="s">
        <v>55</v>
      </c>
      <c r="S68" s="358">
        <v>42531</v>
      </c>
      <c r="T68" s="367" t="s">
        <v>999</v>
      </c>
      <c r="U68" s="383">
        <f>DAYS360(G67,L67,0)+1</f>
        <v>114</v>
      </c>
      <c r="V68" s="375" t="str">
        <f t="shared" si="18"/>
        <v>Inoportuno</v>
      </c>
      <c r="W68" s="383">
        <f t="shared" si="21"/>
        <v>461</v>
      </c>
      <c r="X68" s="806" t="s">
        <v>336</v>
      </c>
    </row>
    <row r="69" spans="1:24" ht="357" hidden="1" customHeight="1" x14ac:dyDescent="0.2">
      <c r="A69" s="725">
        <v>41</v>
      </c>
      <c r="B69" s="727" t="s">
        <v>49</v>
      </c>
      <c r="C69" s="727" t="s">
        <v>192</v>
      </c>
      <c r="D69" s="729" t="s">
        <v>46</v>
      </c>
      <c r="E69" s="727" t="s">
        <v>205</v>
      </c>
      <c r="F69" s="721" t="s">
        <v>59</v>
      </c>
      <c r="G69" s="731">
        <v>41848</v>
      </c>
      <c r="H69" s="727" t="s">
        <v>195</v>
      </c>
      <c r="I69" s="755" t="s">
        <v>78</v>
      </c>
      <c r="J69" s="755" t="s">
        <v>134</v>
      </c>
      <c r="K69" s="775" t="s">
        <v>79</v>
      </c>
      <c r="L69" s="731">
        <v>41964</v>
      </c>
      <c r="M69" s="363" t="s">
        <v>104</v>
      </c>
      <c r="N69" s="363" t="s">
        <v>236</v>
      </c>
      <c r="O69" s="558" t="s">
        <v>774</v>
      </c>
      <c r="P69" s="46">
        <v>42063</v>
      </c>
      <c r="Q69" s="654"/>
      <c r="R69" s="367" t="s">
        <v>55</v>
      </c>
      <c r="S69" s="46">
        <v>42733</v>
      </c>
      <c r="T69" s="484" t="s">
        <v>775</v>
      </c>
      <c r="U69" s="551">
        <f>DAYS360(G68,L68,0)+1</f>
        <v>1</v>
      </c>
      <c r="V69" s="375" t="str">
        <f t="shared" si="18"/>
        <v>Oportuno</v>
      </c>
      <c r="W69" s="383">
        <f t="shared" si="21"/>
        <v>660</v>
      </c>
      <c r="X69" s="806" t="s">
        <v>336</v>
      </c>
    </row>
    <row r="70" spans="1:24" ht="357" hidden="1" customHeight="1" x14ac:dyDescent="0.2">
      <c r="A70" s="726"/>
      <c r="B70" s="728"/>
      <c r="C70" s="728"/>
      <c r="D70" s="730"/>
      <c r="E70" s="728"/>
      <c r="F70" s="722"/>
      <c r="G70" s="732"/>
      <c r="H70" s="728"/>
      <c r="I70" s="755"/>
      <c r="J70" s="755"/>
      <c r="K70" s="777"/>
      <c r="L70" s="732"/>
      <c r="M70" s="363" t="s">
        <v>50</v>
      </c>
      <c r="N70" s="363" t="s">
        <v>236</v>
      </c>
      <c r="O70" s="558" t="s">
        <v>255</v>
      </c>
      <c r="P70" s="46">
        <v>42063</v>
      </c>
      <c r="Q70" s="654"/>
      <c r="R70" s="367" t="s">
        <v>55</v>
      </c>
      <c r="S70" s="46">
        <v>42733</v>
      </c>
      <c r="T70" s="484" t="s">
        <v>776</v>
      </c>
      <c r="U70" s="383">
        <f>DAYS360(G69,L69,0)+1</f>
        <v>114</v>
      </c>
      <c r="V70" s="375" t="str">
        <f t="shared" si="18"/>
        <v>Inoportuno</v>
      </c>
      <c r="W70" s="383">
        <f t="shared" si="21"/>
        <v>660</v>
      </c>
      <c r="X70" s="806" t="s">
        <v>336</v>
      </c>
    </row>
    <row r="71" spans="1:24" ht="408" hidden="1" customHeight="1" x14ac:dyDescent="0.2">
      <c r="A71" s="367">
        <v>42</v>
      </c>
      <c r="B71" s="363" t="s">
        <v>49</v>
      </c>
      <c r="C71" s="363" t="s">
        <v>192</v>
      </c>
      <c r="D71" s="361" t="s">
        <v>46</v>
      </c>
      <c r="E71" s="371" t="s">
        <v>205</v>
      </c>
      <c r="F71" s="364" t="s">
        <v>59</v>
      </c>
      <c r="G71" s="46">
        <v>41848</v>
      </c>
      <c r="H71" s="421" t="s">
        <v>196</v>
      </c>
      <c r="I71" s="373" t="s">
        <v>78</v>
      </c>
      <c r="J71" s="373" t="s">
        <v>134</v>
      </c>
      <c r="K71" s="159" t="s">
        <v>79</v>
      </c>
      <c r="L71" s="46">
        <v>41964</v>
      </c>
      <c r="M71" s="363" t="s">
        <v>50</v>
      </c>
      <c r="N71" s="196" t="s">
        <v>238</v>
      </c>
      <c r="O71" s="558" t="s">
        <v>777</v>
      </c>
      <c r="P71" s="46">
        <v>42124</v>
      </c>
      <c r="Q71" s="654"/>
      <c r="R71" s="367" t="s">
        <v>55</v>
      </c>
      <c r="S71" s="46">
        <v>42582</v>
      </c>
      <c r="T71" s="484" t="s">
        <v>778</v>
      </c>
      <c r="U71" s="383">
        <f t="shared" si="20"/>
        <v>114</v>
      </c>
      <c r="V71" s="375" t="str">
        <f t="shared" si="18"/>
        <v>Inoportuno</v>
      </c>
      <c r="W71" s="383">
        <f t="shared" si="21"/>
        <v>451</v>
      </c>
      <c r="X71" s="378" t="s">
        <v>336</v>
      </c>
    </row>
    <row r="72" spans="1:24" ht="319.5" hidden="1" customHeight="1" x14ac:dyDescent="0.2">
      <c r="A72" s="367">
        <f t="shared" ref="A72:A116" si="22">+A71+1</f>
        <v>43</v>
      </c>
      <c r="B72" s="363" t="s">
        <v>49</v>
      </c>
      <c r="C72" s="363" t="s">
        <v>192</v>
      </c>
      <c r="D72" s="361" t="s">
        <v>46</v>
      </c>
      <c r="E72" s="371" t="s">
        <v>205</v>
      </c>
      <c r="F72" s="364" t="s">
        <v>59</v>
      </c>
      <c r="G72" s="46">
        <v>41848</v>
      </c>
      <c r="H72" s="421" t="s">
        <v>197</v>
      </c>
      <c r="I72" s="373" t="s">
        <v>78</v>
      </c>
      <c r="J72" s="373" t="s">
        <v>134</v>
      </c>
      <c r="K72" s="159" t="s">
        <v>79</v>
      </c>
      <c r="L72" s="46">
        <v>41964</v>
      </c>
      <c r="M72" s="363" t="s">
        <v>50</v>
      </c>
      <c r="N72" s="196" t="s">
        <v>240</v>
      </c>
      <c r="O72" s="558" t="s">
        <v>239</v>
      </c>
      <c r="P72" s="46">
        <v>42004</v>
      </c>
      <c r="Q72" s="654"/>
      <c r="R72" s="367" t="s">
        <v>55</v>
      </c>
      <c r="S72" s="46">
        <v>42733</v>
      </c>
      <c r="T72" s="484" t="s">
        <v>779</v>
      </c>
      <c r="U72" s="383">
        <f t="shared" si="20"/>
        <v>114</v>
      </c>
      <c r="V72" s="375" t="str">
        <f t="shared" si="18"/>
        <v>Inoportuno</v>
      </c>
      <c r="W72" s="383">
        <f t="shared" si="21"/>
        <v>720</v>
      </c>
      <c r="X72" s="378" t="s">
        <v>336</v>
      </c>
    </row>
    <row r="73" spans="1:24" ht="55.5" hidden="1" customHeight="1" x14ac:dyDescent="0.2">
      <c r="A73" s="725">
        <v>44</v>
      </c>
      <c r="B73" s="727" t="s">
        <v>49</v>
      </c>
      <c r="C73" s="727" t="s">
        <v>192</v>
      </c>
      <c r="D73" s="729" t="s">
        <v>46</v>
      </c>
      <c r="E73" s="727" t="s">
        <v>205</v>
      </c>
      <c r="F73" s="721" t="s">
        <v>59</v>
      </c>
      <c r="G73" s="731">
        <v>41848</v>
      </c>
      <c r="H73" s="727" t="s">
        <v>198</v>
      </c>
      <c r="I73" s="755" t="s">
        <v>78</v>
      </c>
      <c r="J73" s="755" t="s">
        <v>134</v>
      </c>
      <c r="K73" s="775" t="s">
        <v>79</v>
      </c>
      <c r="L73" s="731">
        <v>41964</v>
      </c>
      <c r="M73" s="363" t="s">
        <v>104</v>
      </c>
      <c r="N73" s="363" t="s">
        <v>236</v>
      </c>
      <c r="O73" s="558" t="s">
        <v>780</v>
      </c>
      <c r="P73" s="192">
        <v>41942</v>
      </c>
      <c r="Q73" s="654"/>
      <c r="R73" s="367" t="s">
        <v>55</v>
      </c>
      <c r="S73" s="731">
        <v>42733</v>
      </c>
      <c r="T73" s="727" t="s">
        <v>845</v>
      </c>
      <c r="U73" s="551">
        <f t="shared" si="20"/>
        <v>114</v>
      </c>
      <c r="V73" s="375" t="str">
        <f t="shared" si="18"/>
        <v>Inoportuno</v>
      </c>
      <c r="W73" s="383">
        <f t="shared" si="21"/>
        <v>780</v>
      </c>
      <c r="X73" s="806" t="s">
        <v>336</v>
      </c>
    </row>
    <row r="74" spans="1:24" ht="389.25" hidden="1" customHeight="1" x14ac:dyDescent="0.2">
      <c r="A74" s="726"/>
      <c r="B74" s="728"/>
      <c r="C74" s="728"/>
      <c r="D74" s="730"/>
      <c r="E74" s="728"/>
      <c r="F74" s="722"/>
      <c r="G74" s="732"/>
      <c r="H74" s="728"/>
      <c r="I74" s="755"/>
      <c r="J74" s="755"/>
      <c r="K74" s="777"/>
      <c r="L74" s="732"/>
      <c r="M74" s="363" t="s">
        <v>50</v>
      </c>
      <c r="N74" s="363" t="s">
        <v>236</v>
      </c>
      <c r="O74" s="558" t="s">
        <v>781</v>
      </c>
      <c r="P74" s="192">
        <v>42124</v>
      </c>
      <c r="Q74" s="654"/>
      <c r="R74" s="367" t="s">
        <v>55</v>
      </c>
      <c r="S74" s="732"/>
      <c r="T74" s="726"/>
      <c r="U74" s="383">
        <f>DAYS360(G73,L73,0)+1</f>
        <v>114</v>
      </c>
      <c r="V74" s="375" t="str">
        <f t="shared" si="18"/>
        <v>Inoportuno</v>
      </c>
      <c r="W74" s="383">
        <f t="shared" ref="W74" si="23">DAYS360(P74,S74,0)+1</f>
        <v>-41519</v>
      </c>
      <c r="X74" s="806" t="s">
        <v>336</v>
      </c>
    </row>
    <row r="75" spans="1:24" ht="198" hidden="1" customHeight="1" x14ac:dyDescent="0.2">
      <c r="A75" s="725">
        <v>45</v>
      </c>
      <c r="B75" s="592" t="s">
        <v>61</v>
      </c>
      <c r="C75" s="727" t="s">
        <v>207</v>
      </c>
      <c r="D75" s="729" t="s">
        <v>43</v>
      </c>
      <c r="E75" s="727" t="s">
        <v>0</v>
      </c>
      <c r="F75" s="721" t="s">
        <v>58</v>
      </c>
      <c r="G75" s="731">
        <v>41880</v>
      </c>
      <c r="H75" s="727" t="s">
        <v>208</v>
      </c>
      <c r="I75" s="723" t="s">
        <v>78</v>
      </c>
      <c r="J75" s="723" t="s">
        <v>133</v>
      </c>
      <c r="K75" s="725" t="s">
        <v>79</v>
      </c>
      <c r="L75" s="731">
        <v>41921</v>
      </c>
      <c r="M75" s="363" t="s">
        <v>50</v>
      </c>
      <c r="N75" s="363" t="s">
        <v>229</v>
      </c>
      <c r="O75" s="558" t="s">
        <v>256</v>
      </c>
      <c r="P75" s="46">
        <v>41973</v>
      </c>
      <c r="Q75" s="654"/>
      <c r="R75" s="367" t="s">
        <v>51</v>
      </c>
      <c r="S75" s="46"/>
      <c r="T75" s="367"/>
      <c r="U75" s="551">
        <f>DAYS360(G74,L74,0)+1</f>
        <v>1</v>
      </c>
      <c r="V75" s="375" t="str">
        <f t="shared" ref="V75" si="24">IF(U75&gt;7,"Inoportuno",(IF(U75&lt;0,"No ha formulado PM","Oportuno")))</f>
        <v>Oportuno</v>
      </c>
      <c r="W75" s="383">
        <f t="shared" si="21"/>
        <v>-41369</v>
      </c>
      <c r="X75" s="806" t="s">
        <v>336</v>
      </c>
    </row>
    <row r="76" spans="1:24" ht="186" hidden="1" customHeight="1" x14ac:dyDescent="0.2">
      <c r="A76" s="726"/>
      <c r="B76" s="592" t="s">
        <v>61</v>
      </c>
      <c r="C76" s="728"/>
      <c r="D76" s="730"/>
      <c r="E76" s="728"/>
      <c r="F76" s="722"/>
      <c r="G76" s="732"/>
      <c r="H76" s="728"/>
      <c r="I76" s="724"/>
      <c r="J76" s="724"/>
      <c r="K76" s="726"/>
      <c r="L76" s="732"/>
      <c r="M76" s="363" t="s">
        <v>50</v>
      </c>
      <c r="N76" s="363" t="s">
        <v>227</v>
      </c>
      <c r="O76" s="558" t="s">
        <v>228</v>
      </c>
      <c r="P76" s="46">
        <v>42369</v>
      </c>
      <c r="Q76" s="654"/>
      <c r="R76" s="367" t="s">
        <v>51</v>
      </c>
      <c r="S76" s="46"/>
      <c r="T76" s="367"/>
      <c r="U76" s="383">
        <f>DAYS360(G75,L75,0)+1</f>
        <v>41</v>
      </c>
      <c r="V76" s="375" t="str">
        <f t="shared" ref="V76" si="25">IF(U76&gt;7,"Inoportuno",(IF(U76&lt;0,"No ha formulado PM","Oportuno")))</f>
        <v>Inoportuno</v>
      </c>
      <c r="W76" s="383">
        <f t="shared" ref="W76" si="26">DAYS360(P76,S76,0)+1</f>
        <v>-41759</v>
      </c>
      <c r="X76" s="806" t="s">
        <v>336</v>
      </c>
    </row>
    <row r="77" spans="1:24" ht="141.75" hidden="1" customHeight="1" x14ac:dyDescent="0.2">
      <c r="A77" s="367">
        <f>+A75+1</f>
        <v>46</v>
      </c>
      <c r="B77" s="371" t="s">
        <v>333</v>
      </c>
      <c r="C77" s="363" t="s">
        <v>209</v>
      </c>
      <c r="D77" s="361" t="s">
        <v>43</v>
      </c>
      <c r="E77" s="371" t="s">
        <v>0</v>
      </c>
      <c r="F77" s="364" t="s">
        <v>107</v>
      </c>
      <c r="G77" s="46">
        <v>41908</v>
      </c>
      <c r="H77" s="421" t="s">
        <v>210</v>
      </c>
      <c r="I77" s="373" t="s">
        <v>78</v>
      </c>
      <c r="J77" s="373" t="s">
        <v>134</v>
      </c>
      <c r="K77" s="159" t="s">
        <v>79</v>
      </c>
      <c r="L77" s="46">
        <v>41942</v>
      </c>
      <c r="M77" s="363" t="s">
        <v>50</v>
      </c>
      <c r="N77" s="217" t="s">
        <v>230</v>
      </c>
      <c r="O77" s="558" t="s">
        <v>257</v>
      </c>
      <c r="P77" s="214">
        <v>41988</v>
      </c>
      <c r="Q77" s="654"/>
      <c r="R77" s="215" t="s">
        <v>55</v>
      </c>
      <c r="S77" s="214">
        <v>42480</v>
      </c>
      <c r="T77" s="217" t="s">
        <v>541</v>
      </c>
      <c r="U77" s="383">
        <f t="shared" si="20"/>
        <v>35</v>
      </c>
      <c r="V77" s="375" t="str">
        <f t="shared" si="18"/>
        <v>Inoportuno</v>
      </c>
      <c r="W77" s="383">
        <f t="shared" si="21"/>
        <v>486</v>
      </c>
      <c r="X77" s="378" t="s">
        <v>336</v>
      </c>
    </row>
    <row r="78" spans="1:24" ht="144" hidden="1" customHeight="1" x14ac:dyDescent="0.2">
      <c r="A78" s="367">
        <f t="shared" si="22"/>
        <v>47</v>
      </c>
      <c r="B78" s="371" t="s">
        <v>333</v>
      </c>
      <c r="C78" s="363" t="s">
        <v>209</v>
      </c>
      <c r="D78" s="361" t="s">
        <v>43</v>
      </c>
      <c r="E78" s="371" t="s">
        <v>0</v>
      </c>
      <c r="F78" s="364" t="s">
        <v>107</v>
      </c>
      <c r="G78" s="46">
        <v>41908</v>
      </c>
      <c r="H78" s="421" t="s">
        <v>396</v>
      </c>
      <c r="I78" s="373" t="s">
        <v>78</v>
      </c>
      <c r="J78" s="373" t="s">
        <v>134</v>
      </c>
      <c r="K78" s="159" t="s">
        <v>79</v>
      </c>
      <c r="L78" s="46">
        <v>41942</v>
      </c>
      <c r="M78" s="363" t="s">
        <v>50</v>
      </c>
      <c r="N78" s="217" t="s">
        <v>230</v>
      </c>
      <c r="O78" s="558" t="s">
        <v>258</v>
      </c>
      <c r="P78" s="214">
        <v>41958</v>
      </c>
      <c r="Q78" s="654"/>
      <c r="R78" s="215" t="s">
        <v>55</v>
      </c>
      <c r="S78" s="214">
        <v>42480</v>
      </c>
      <c r="T78" s="217" t="s">
        <v>542</v>
      </c>
      <c r="U78" s="383">
        <f t="shared" ref="U78:U79" si="27">DAYS360(G78,L78,0)+1</f>
        <v>35</v>
      </c>
      <c r="V78" s="375" t="str">
        <f t="shared" si="18"/>
        <v>Inoportuno</v>
      </c>
      <c r="W78" s="383">
        <f t="shared" ref="W78" si="28">DAYS360(P78,S78,0)+1</f>
        <v>516</v>
      </c>
      <c r="X78" s="378" t="s">
        <v>336</v>
      </c>
    </row>
    <row r="79" spans="1:24" ht="248.25" hidden="1" customHeight="1" x14ac:dyDescent="0.2">
      <c r="A79" s="725">
        <v>48</v>
      </c>
      <c r="B79" s="727" t="s">
        <v>333</v>
      </c>
      <c r="C79" s="727" t="s">
        <v>209</v>
      </c>
      <c r="D79" s="729" t="s">
        <v>43</v>
      </c>
      <c r="E79" s="727" t="s">
        <v>0</v>
      </c>
      <c r="F79" s="721" t="s">
        <v>58</v>
      </c>
      <c r="G79" s="731">
        <v>42480</v>
      </c>
      <c r="H79" s="744" t="s">
        <v>337</v>
      </c>
      <c r="I79" s="723" t="s">
        <v>78</v>
      </c>
      <c r="J79" s="723" t="s">
        <v>134</v>
      </c>
      <c r="K79" s="725" t="s">
        <v>79</v>
      </c>
      <c r="L79" s="46">
        <v>42142</v>
      </c>
      <c r="M79" s="363" t="s">
        <v>50</v>
      </c>
      <c r="N79" s="217" t="s">
        <v>136</v>
      </c>
      <c r="O79" s="558" t="s">
        <v>559</v>
      </c>
      <c r="P79" s="216">
        <v>42531</v>
      </c>
      <c r="Q79" s="654"/>
      <c r="R79" s="215" t="s">
        <v>55</v>
      </c>
      <c r="S79" s="214">
        <v>42942</v>
      </c>
      <c r="T79" s="642" t="s">
        <v>936</v>
      </c>
      <c r="U79" s="551">
        <f t="shared" si="27"/>
        <v>-331</v>
      </c>
      <c r="V79" s="375" t="s">
        <v>858</v>
      </c>
      <c r="W79" s="383">
        <f t="shared" si="21"/>
        <v>407</v>
      </c>
      <c r="X79" s="378" t="s">
        <v>336</v>
      </c>
    </row>
    <row r="80" spans="1:24" ht="248.25" hidden="1" customHeight="1" x14ac:dyDescent="0.2">
      <c r="A80" s="726"/>
      <c r="B80" s="728"/>
      <c r="C80" s="728"/>
      <c r="D80" s="730"/>
      <c r="E80" s="728"/>
      <c r="F80" s="722"/>
      <c r="G80" s="732"/>
      <c r="H80" s="746"/>
      <c r="I80" s="724"/>
      <c r="J80" s="724"/>
      <c r="K80" s="726"/>
      <c r="L80" s="46">
        <v>42508</v>
      </c>
      <c r="M80" s="363" t="s">
        <v>50</v>
      </c>
      <c r="N80" s="217" t="s">
        <v>136</v>
      </c>
      <c r="O80" s="558" t="s">
        <v>722</v>
      </c>
      <c r="P80" s="216">
        <v>42531</v>
      </c>
      <c r="Q80" s="654"/>
      <c r="R80" s="215" t="s">
        <v>55</v>
      </c>
      <c r="S80" s="214">
        <v>42706</v>
      </c>
      <c r="T80" s="642" t="s">
        <v>936</v>
      </c>
      <c r="U80" s="383">
        <f>DAYS360(G79,L80,0)+1</f>
        <v>29</v>
      </c>
      <c r="V80" s="375" t="str">
        <f t="shared" ref="V80" si="29">IF(U80&gt;7,"Inoportuno",(IF(U80&lt;0,"No ha formulado PM","Oportuno")))</f>
        <v>Inoportuno</v>
      </c>
      <c r="W80" s="383">
        <f t="shared" ref="W80" si="30">DAYS360(P80,S80,0)+1</f>
        <v>173</v>
      </c>
      <c r="X80" s="378" t="s">
        <v>336</v>
      </c>
    </row>
    <row r="81" spans="1:24" ht="234" hidden="1" customHeight="1" x14ac:dyDescent="0.2">
      <c r="A81" s="367">
        <f>+A79+1</f>
        <v>49</v>
      </c>
      <c r="B81" s="371" t="s">
        <v>333</v>
      </c>
      <c r="C81" s="363" t="s">
        <v>209</v>
      </c>
      <c r="D81" s="361" t="s">
        <v>43</v>
      </c>
      <c r="E81" s="371" t="s">
        <v>0</v>
      </c>
      <c r="F81" s="364" t="s">
        <v>107</v>
      </c>
      <c r="G81" s="46">
        <v>41908</v>
      </c>
      <c r="H81" s="421" t="s">
        <v>259</v>
      </c>
      <c r="I81" s="373" t="s">
        <v>78</v>
      </c>
      <c r="J81" s="373" t="s">
        <v>134</v>
      </c>
      <c r="K81" s="159" t="s">
        <v>79</v>
      </c>
      <c r="L81" s="46">
        <v>41942</v>
      </c>
      <c r="M81" s="363" t="s">
        <v>50</v>
      </c>
      <c r="N81" s="217" t="s">
        <v>232</v>
      </c>
      <c r="O81" s="558" t="s">
        <v>231</v>
      </c>
      <c r="P81" s="214">
        <v>42003</v>
      </c>
      <c r="Q81" s="654"/>
      <c r="R81" s="215" t="s">
        <v>55</v>
      </c>
      <c r="S81" s="214">
        <v>42472</v>
      </c>
      <c r="T81" s="363" t="s">
        <v>543</v>
      </c>
      <c r="U81" s="383">
        <f t="shared" ref="U81" si="31">DAYS360(G81,L81,0)+1</f>
        <v>35</v>
      </c>
      <c r="V81" s="375" t="str">
        <f t="shared" si="18"/>
        <v>Inoportuno</v>
      </c>
      <c r="W81" s="383">
        <f t="shared" ref="W81" si="32">DAYS360(P81,S81,0)+1</f>
        <v>463</v>
      </c>
      <c r="X81" s="378" t="s">
        <v>336</v>
      </c>
    </row>
    <row r="82" spans="1:24" ht="281.25" hidden="1" customHeight="1" x14ac:dyDescent="0.2">
      <c r="A82" s="462">
        <f>+A81+1</f>
        <v>50</v>
      </c>
      <c r="B82" s="363" t="s">
        <v>63</v>
      </c>
      <c r="C82" s="363" t="s">
        <v>211</v>
      </c>
      <c r="D82" s="360" t="s">
        <v>43</v>
      </c>
      <c r="E82" s="362" t="s">
        <v>0</v>
      </c>
      <c r="F82" s="364" t="s">
        <v>59</v>
      </c>
      <c r="G82" s="46">
        <v>41878</v>
      </c>
      <c r="H82" s="566" t="s">
        <v>212</v>
      </c>
      <c r="I82" s="365" t="s">
        <v>78</v>
      </c>
      <c r="J82" s="365" t="s">
        <v>134</v>
      </c>
      <c r="K82" s="537" t="s">
        <v>79</v>
      </c>
      <c r="L82" s="46">
        <v>42130</v>
      </c>
      <c r="M82" s="363" t="s">
        <v>104</v>
      </c>
      <c r="N82" s="363" t="s">
        <v>150</v>
      </c>
      <c r="O82" s="558" t="s">
        <v>312</v>
      </c>
      <c r="P82" s="46">
        <v>42369</v>
      </c>
      <c r="Q82" s="654" t="s">
        <v>1050</v>
      </c>
      <c r="R82" s="367" t="s">
        <v>55</v>
      </c>
      <c r="S82" s="46">
        <v>42705</v>
      </c>
      <c r="T82" s="367" t="s">
        <v>1051</v>
      </c>
      <c r="U82" s="383">
        <f t="shared" ref="U82" si="33">DAYS360(G82,L82,0)+1</f>
        <v>250</v>
      </c>
      <c r="V82" s="375" t="str">
        <f t="shared" ref="V82" si="34">IF(U82&gt;7,"Inoportuno",(IF(U82&lt;0,"No ha formulado PM","Oportuno")))</f>
        <v>Inoportuno</v>
      </c>
      <c r="W82" s="383">
        <f t="shared" ref="W82" si="35">DAYS360(P82,S82,0)+1</f>
        <v>332</v>
      </c>
      <c r="X82" s="377" t="s">
        <v>336</v>
      </c>
    </row>
    <row r="83" spans="1:24" ht="244.5" hidden="1" customHeight="1" x14ac:dyDescent="0.2">
      <c r="A83" s="462">
        <f>+A82+1</f>
        <v>51</v>
      </c>
      <c r="B83" s="363" t="s">
        <v>49</v>
      </c>
      <c r="C83" s="363" t="s">
        <v>265</v>
      </c>
      <c r="D83" s="360" t="s">
        <v>43</v>
      </c>
      <c r="E83" s="362" t="s">
        <v>205</v>
      </c>
      <c r="F83" s="364" t="s">
        <v>59</v>
      </c>
      <c r="G83" s="46">
        <v>41969</v>
      </c>
      <c r="H83" s="562" t="s">
        <v>264</v>
      </c>
      <c r="I83" s="365" t="s">
        <v>78</v>
      </c>
      <c r="J83" s="365" t="s">
        <v>134</v>
      </c>
      <c r="K83" s="537" t="s">
        <v>79</v>
      </c>
      <c r="L83" s="46">
        <v>42228</v>
      </c>
      <c r="M83" s="363" t="s">
        <v>54</v>
      </c>
      <c r="N83" s="363" t="s">
        <v>338</v>
      </c>
      <c r="O83" s="558" t="s">
        <v>384</v>
      </c>
      <c r="P83" s="46">
        <v>42369</v>
      </c>
      <c r="Q83" s="654"/>
      <c r="R83" s="367" t="s">
        <v>55</v>
      </c>
      <c r="S83" s="46">
        <v>42733</v>
      </c>
      <c r="T83" s="484" t="s">
        <v>782</v>
      </c>
      <c r="U83" s="383">
        <f t="shared" ref="U83:U84" si="36">DAYS360(G83,L83,0)+1</f>
        <v>257</v>
      </c>
      <c r="V83" s="375" t="str">
        <f t="shared" ref="V83" si="37">IF(U83&gt;7,"Inoportuno",(IF(U83&lt;0,"No ha formulado PM","Oportuno")))</f>
        <v>Inoportuno</v>
      </c>
      <c r="W83" s="383">
        <f t="shared" ref="W83" si="38">DAYS360(P83,S83,0)+1</f>
        <v>360</v>
      </c>
      <c r="X83" s="378" t="s">
        <v>336</v>
      </c>
    </row>
    <row r="84" spans="1:24" ht="384" hidden="1" customHeight="1" x14ac:dyDescent="0.2">
      <c r="A84" s="725">
        <v>52</v>
      </c>
      <c r="B84" s="727" t="s">
        <v>49</v>
      </c>
      <c r="C84" s="727" t="s">
        <v>265</v>
      </c>
      <c r="D84" s="729" t="s">
        <v>43</v>
      </c>
      <c r="E84" s="727" t="s">
        <v>205</v>
      </c>
      <c r="F84" s="721" t="s">
        <v>59</v>
      </c>
      <c r="G84" s="731">
        <v>41969</v>
      </c>
      <c r="H84" s="744" t="s">
        <v>464</v>
      </c>
      <c r="I84" s="723" t="s">
        <v>78</v>
      </c>
      <c r="J84" s="723" t="s">
        <v>134</v>
      </c>
      <c r="K84" s="725" t="s">
        <v>79</v>
      </c>
      <c r="L84" s="731">
        <v>42228</v>
      </c>
      <c r="M84" s="363" t="s">
        <v>104</v>
      </c>
      <c r="N84" s="363" t="s">
        <v>349</v>
      </c>
      <c r="O84" s="558" t="s">
        <v>385</v>
      </c>
      <c r="P84" s="46">
        <v>42277</v>
      </c>
      <c r="Q84" s="654"/>
      <c r="R84" s="357" t="s">
        <v>55</v>
      </c>
      <c r="S84" s="358">
        <v>42531</v>
      </c>
      <c r="T84" s="367" t="s">
        <v>846</v>
      </c>
      <c r="U84" s="551">
        <f t="shared" si="36"/>
        <v>257</v>
      </c>
      <c r="V84" s="375" t="str">
        <f t="shared" si="18"/>
        <v>Inoportuno</v>
      </c>
      <c r="W84" s="383">
        <f t="shared" ref="W84:W115" si="39">DAYS360(P84,S84,0)+1</f>
        <v>251</v>
      </c>
      <c r="X84" s="378" t="s">
        <v>336</v>
      </c>
    </row>
    <row r="85" spans="1:24" ht="285.75" hidden="1" customHeight="1" x14ac:dyDescent="0.2">
      <c r="A85" s="726"/>
      <c r="B85" s="728"/>
      <c r="C85" s="728"/>
      <c r="D85" s="730"/>
      <c r="E85" s="728"/>
      <c r="F85" s="722"/>
      <c r="G85" s="732"/>
      <c r="H85" s="746"/>
      <c r="I85" s="724"/>
      <c r="J85" s="724"/>
      <c r="K85" s="726"/>
      <c r="L85" s="732"/>
      <c r="M85" s="363" t="s">
        <v>54</v>
      </c>
      <c r="N85" s="363" t="s">
        <v>349</v>
      </c>
      <c r="O85" s="558" t="s">
        <v>350</v>
      </c>
      <c r="P85" s="46">
        <v>42277</v>
      </c>
      <c r="Q85" s="654"/>
      <c r="R85" s="357" t="s">
        <v>55</v>
      </c>
      <c r="S85" s="358">
        <v>42509</v>
      </c>
      <c r="T85" s="359" t="s">
        <v>630</v>
      </c>
      <c r="U85" s="383">
        <f>DAYS360(G84,L84,0)+1</f>
        <v>257</v>
      </c>
      <c r="V85" s="375" t="str">
        <f t="shared" ref="V85:V89" si="40">IF(U85&gt;7,"Inoportuno",(IF(U85&lt;0,"No ha formulado PM","Oportuno")))</f>
        <v>Inoportuno</v>
      </c>
      <c r="W85" s="383">
        <f t="shared" ref="W85:W89" si="41">DAYS360(P85,S85,0)+1</f>
        <v>230</v>
      </c>
      <c r="X85" s="378" t="s">
        <v>336</v>
      </c>
    </row>
    <row r="86" spans="1:24" ht="356.25" hidden="1" customHeight="1" x14ac:dyDescent="0.2">
      <c r="A86" s="367">
        <v>53</v>
      </c>
      <c r="B86" s="363" t="s">
        <v>49</v>
      </c>
      <c r="C86" s="363" t="s">
        <v>265</v>
      </c>
      <c r="D86" s="729" t="s">
        <v>43</v>
      </c>
      <c r="E86" s="727" t="s">
        <v>205</v>
      </c>
      <c r="F86" s="364" t="s">
        <v>59</v>
      </c>
      <c r="G86" s="549">
        <v>41969</v>
      </c>
      <c r="H86" s="562" t="s">
        <v>386</v>
      </c>
      <c r="I86" s="723" t="s">
        <v>78</v>
      </c>
      <c r="J86" s="723" t="s">
        <v>134</v>
      </c>
      <c r="K86" s="725" t="s">
        <v>79</v>
      </c>
      <c r="L86" s="46">
        <v>42228</v>
      </c>
      <c r="M86" s="363" t="s">
        <v>104</v>
      </c>
      <c r="N86" s="363" t="s">
        <v>340</v>
      </c>
      <c r="O86" s="558" t="s">
        <v>341</v>
      </c>
      <c r="P86" s="229">
        <v>42369</v>
      </c>
      <c r="Q86" s="654"/>
      <c r="R86" s="367" t="s">
        <v>55</v>
      </c>
      <c r="S86" s="46">
        <v>42541</v>
      </c>
      <c r="T86" s="363" t="s">
        <v>631</v>
      </c>
      <c r="U86" s="551">
        <f>DAYS360(G85,L85,0)+1</f>
        <v>1</v>
      </c>
      <c r="V86" s="375" t="str">
        <f t="shared" ref="V86:V88" si="42">IF(U86&gt;7,"Inoportuno",(IF(U86&lt;0,"No ha formulado PM","Oportuno")))</f>
        <v>Oportuno</v>
      </c>
      <c r="W86" s="383">
        <f t="shared" ref="W86:W88" si="43">DAYS360(P86,S86,0)+1</f>
        <v>171</v>
      </c>
      <c r="X86" s="378" t="s">
        <v>336</v>
      </c>
    </row>
    <row r="87" spans="1:24" ht="356.25" hidden="1" customHeight="1" x14ac:dyDescent="0.2">
      <c r="A87" s="725">
        <v>54</v>
      </c>
      <c r="B87" s="727" t="s">
        <v>49</v>
      </c>
      <c r="C87" s="727" t="s">
        <v>265</v>
      </c>
      <c r="D87" s="735"/>
      <c r="E87" s="743"/>
      <c r="F87" s="364" t="s">
        <v>59</v>
      </c>
      <c r="G87" s="575">
        <v>42116</v>
      </c>
      <c r="H87" s="744" t="s">
        <v>345</v>
      </c>
      <c r="I87" s="768"/>
      <c r="J87" s="768"/>
      <c r="K87" s="734"/>
      <c r="L87" s="518">
        <v>42228</v>
      </c>
      <c r="M87" s="363" t="s">
        <v>50</v>
      </c>
      <c r="N87" s="363" t="s">
        <v>340</v>
      </c>
      <c r="O87" s="558" t="s">
        <v>342</v>
      </c>
      <c r="P87" s="46">
        <v>42369</v>
      </c>
      <c r="Q87" s="654"/>
      <c r="R87" s="367" t="s">
        <v>55</v>
      </c>
      <c r="S87" s="46">
        <v>42541</v>
      </c>
      <c r="T87" s="367" t="s">
        <v>998</v>
      </c>
      <c r="U87" s="551">
        <f>DAYS360(G86,L86,0)+1</f>
        <v>257</v>
      </c>
      <c r="V87" s="375" t="str">
        <f t="shared" si="42"/>
        <v>Inoportuno</v>
      </c>
      <c r="W87" s="383">
        <f t="shared" si="43"/>
        <v>171</v>
      </c>
      <c r="X87" s="378" t="s">
        <v>336</v>
      </c>
    </row>
    <row r="88" spans="1:24" ht="356.25" hidden="1" customHeight="1" x14ac:dyDescent="0.2">
      <c r="A88" s="726"/>
      <c r="B88" s="728"/>
      <c r="C88" s="728"/>
      <c r="D88" s="730"/>
      <c r="E88" s="728"/>
      <c r="F88" s="364" t="s">
        <v>59</v>
      </c>
      <c r="G88" s="575">
        <v>42116</v>
      </c>
      <c r="H88" s="746"/>
      <c r="I88" s="724"/>
      <c r="J88" s="724"/>
      <c r="K88" s="726"/>
      <c r="L88" s="574"/>
      <c r="M88" s="363" t="s">
        <v>50</v>
      </c>
      <c r="N88" s="363" t="s">
        <v>340</v>
      </c>
      <c r="O88" s="558" t="s">
        <v>343</v>
      </c>
      <c r="P88" s="46">
        <v>42369</v>
      </c>
      <c r="Q88" s="654"/>
      <c r="R88" s="367" t="s">
        <v>55</v>
      </c>
      <c r="S88" s="46">
        <v>42541</v>
      </c>
      <c r="T88" s="367" t="s">
        <v>997</v>
      </c>
      <c r="U88" s="383">
        <f>DAYS360(G87,L87,0)+1</f>
        <v>111</v>
      </c>
      <c r="V88" s="375" t="str">
        <f t="shared" si="42"/>
        <v>Inoportuno</v>
      </c>
      <c r="W88" s="383">
        <f t="shared" si="43"/>
        <v>171</v>
      </c>
      <c r="X88" s="378" t="s">
        <v>336</v>
      </c>
    </row>
    <row r="89" spans="1:24" ht="371.25" hidden="1" customHeight="1" x14ac:dyDescent="0.2">
      <c r="A89" s="367">
        <f>+A87+1</f>
        <v>55</v>
      </c>
      <c r="B89" s="363" t="s">
        <v>49</v>
      </c>
      <c r="C89" s="363" t="s">
        <v>265</v>
      </c>
      <c r="D89" s="360" t="s">
        <v>43</v>
      </c>
      <c r="E89" s="362" t="s">
        <v>205</v>
      </c>
      <c r="F89" s="364" t="s">
        <v>59</v>
      </c>
      <c r="G89" s="46">
        <v>41969</v>
      </c>
      <c r="H89" s="562" t="s">
        <v>266</v>
      </c>
      <c r="I89" s="365" t="s">
        <v>78</v>
      </c>
      <c r="J89" s="365" t="s">
        <v>134</v>
      </c>
      <c r="K89" s="537" t="s">
        <v>79</v>
      </c>
      <c r="L89" s="46">
        <v>42228</v>
      </c>
      <c r="M89" s="363" t="s">
        <v>50</v>
      </c>
      <c r="N89" s="363" t="s">
        <v>344</v>
      </c>
      <c r="O89" s="558" t="s">
        <v>783</v>
      </c>
      <c r="P89" s="229">
        <v>42004</v>
      </c>
      <c r="Q89" s="654"/>
      <c r="R89" s="367" t="s">
        <v>55</v>
      </c>
      <c r="S89" s="46">
        <v>42733</v>
      </c>
      <c r="T89" s="484" t="s">
        <v>784</v>
      </c>
      <c r="U89" s="383">
        <f t="shared" ref="U89" si="44">DAYS360(G89,L89,0)+1</f>
        <v>257</v>
      </c>
      <c r="V89" s="375" t="str">
        <f t="shared" si="40"/>
        <v>Inoportuno</v>
      </c>
      <c r="W89" s="383">
        <f t="shared" si="41"/>
        <v>720</v>
      </c>
      <c r="X89" s="378" t="s">
        <v>336</v>
      </c>
    </row>
    <row r="90" spans="1:24" ht="107.25" hidden="1" customHeight="1" x14ac:dyDescent="0.2">
      <c r="A90" s="367">
        <f t="shared" si="22"/>
        <v>56</v>
      </c>
      <c r="B90" s="363" t="s">
        <v>267</v>
      </c>
      <c r="C90" s="363" t="s">
        <v>267</v>
      </c>
      <c r="D90" s="360" t="s">
        <v>43</v>
      </c>
      <c r="E90" s="371" t="s">
        <v>0</v>
      </c>
      <c r="F90" s="364" t="s">
        <v>56</v>
      </c>
      <c r="G90" s="46">
        <v>41999</v>
      </c>
      <c r="H90" s="550" t="s">
        <v>268</v>
      </c>
      <c r="I90" s="373" t="s">
        <v>78</v>
      </c>
      <c r="J90" s="365" t="s">
        <v>134</v>
      </c>
      <c r="K90" s="537" t="s">
        <v>79</v>
      </c>
      <c r="L90" s="46">
        <v>42052</v>
      </c>
      <c r="M90" s="363" t="s">
        <v>50</v>
      </c>
      <c r="N90" s="363" t="s">
        <v>363</v>
      </c>
      <c r="O90" s="558" t="s">
        <v>290</v>
      </c>
      <c r="P90" s="46">
        <v>42369</v>
      </c>
      <c r="Q90" s="685" t="s">
        <v>1052</v>
      </c>
      <c r="R90" s="367" t="s">
        <v>55</v>
      </c>
      <c r="S90" s="46">
        <v>42892</v>
      </c>
      <c r="T90" s="367" t="s">
        <v>1053</v>
      </c>
      <c r="U90" s="383">
        <f t="shared" ref="U90:U115" si="45">DAYS360(G90,L90,0)+1</f>
        <v>52</v>
      </c>
      <c r="V90" s="375" t="str">
        <f t="shared" ref="V90:V115" si="46">IF(U90&gt;7,"Inoportuno",(IF(U90&lt;0,"No ha formulado PM","Oportuno")))</f>
        <v>Inoportuno</v>
      </c>
      <c r="W90" s="383">
        <f t="shared" si="39"/>
        <v>517</v>
      </c>
      <c r="X90" s="377" t="s">
        <v>336</v>
      </c>
    </row>
    <row r="91" spans="1:24" ht="138.75" hidden="1" customHeight="1" x14ac:dyDescent="0.2">
      <c r="A91" s="367">
        <f t="shared" si="22"/>
        <v>57</v>
      </c>
      <c r="B91" s="363" t="s">
        <v>63</v>
      </c>
      <c r="C91" s="363" t="s">
        <v>269</v>
      </c>
      <c r="D91" s="369" t="s">
        <v>43</v>
      </c>
      <c r="E91" s="362" t="s">
        <v>0</v>
      </c>
      <c r="F91" s="364" t="s">
        <v>59</v>
      </c>
      <c r="G91" s="46">
        <v>41995</v>
      </c>
      <c r="H91" s="421" t="s">
        <v>270</v>
      </c>
      <c r="I91" s="365" t="s">
        <v>78</v>
      </c>
      <c r="J91" s="365" t="s">
        <v>133</v>
      </c>
      <c r="K91" s="537" t="s">
        <v>79</v>
      </c>
      <c r="L91" s="46">
        <v>42010</v>
      </c>
      <c r="M91" s="363" t="s">
        <v>50</v>
      </c>
      <c r="N91" s="366" t="s">
        <v>282</v>
      </c>
      <c r="O91" s="558" t="s">
        <v>283</v>
      </c>
      <c r="P91" s="46">
        <v>42369</v>
      </c>
      <c r="Q91" s="654" t="s">
        <v>1055</v>
      </c>
      <c r="R91" s="367" t="s">
        <v>51</v>
      </c>
      <c r="S91" s="46"/>
      <c r="T91" s="367"/>
      <c r="U91" s="383">
        <f t="shared" ref="U91" si="47">DAYS360(G91,L91,0)+1</f>
        <v>15</v>
      </c>
      <c r="V91" s="375" t="str">
        <f t="shared" si="46"/>
        <v>Inoportuno</v>
      </c>
      <c r="W91" s="383">
        <f t="shared" ref="W91" si="48">DAYS360(P91,S91,0)+1</f>
        <v>-41759</v>
      </c>
      <c r="X91" s="378" t="s">
        <v>336</v>
      </c>
    </row>
    <row r="92" spans="1:24" ht="149.25" hidden="1" customHeight="1" x14ac:dyDescent="0.2">
      <c r="A92" s="367">
        <f t="shared" si="22"/>
        <v>58</v>
      </c>
      <c r="B92" s="363" t="s">
        <v>63</v>
      </c>
      <c r="C92" s="363" t="s">
        <v>269</v>
      </c>
      <c r="D92" s="361" t="s">
        <v>43</v>
      </c>
      <c r="E92" s="371" t="s">
        <v>0</v>
      </c>
      <c r="F92" s="364" t="s">
        <v>59</v>
      </c>
      <c r="G92" s="46">
        <v>41995</v>
      </c>
      <c r="H92" s="421" t="s">
        <v>271</v>
      </c>
      <c r="I92" s="373" t="s">
        <v>78</v>
      </c>
      <c r="J92" s="373" t="s">
        <v>133</v>
      </c>
      <c r="K92" s="159" t="s">
        <v>80</v>
      </c>
      <c r="L92" s="46"/>
      <c r="M92" s="363"/>
      <c r="N92" s="363"/>
      <c r="O92" s="515"/>
      <c r="P92" s="46"/>
      <c r="Q92" s="558" t="s">
        <v>1054</v>
      </c>
      <c r="R92" s="367" t="s">
        <v>51</v>
      </c>
      <c r="S92" s="46"/>
      <c r="T92" s="367"/>
      <c r="U92" s="383">
        <f t="shared" si="45"/>
        <v>-41391</v>
      </c>
      <c r="V92" s="375" t="str">
        <f t="shared" si="46"/>
        <v>No ha formulado PM</v>
      </c>
      <c r="W92" s="383">
        <f t="shared" si="39"/>
        <v>1</v>
      </c>
      <c r="X92" s="378" t="s">
        <v>336</v>
      </c>
    </row>
    <row r="93" spans="1:24" ht="111.75" hidden="1" customHeight="1" x14ac:dyDescent="0.2">
      <c r="A93" s="725">
        <v>59</v>
      </c>
      <c r="B93" s="720" t="s">
        <v>63</v>
      </c>
      <c r="C93" s="720" t="s">
        <v>269</v>
      </c>
      <c r="D93" s="738" t="s">
        <v>43</v>
      </c>
      <c r="E93" s="720" t="s">
        <v>0</v>
      </c>
      <c r="F93" s="742" t="s">
        <v>59</v>
      </c>
      <c r="G93" s="757">
        <v>41995</v>
      </c>
      <c r="H93" s="720" t="s">
        <v>272</v>
      </c>
      <c r="I93" s="755" t="s">
        <v>78</v>
      </c>
      <c r="J93" s="755" t="s">
        <v>133</v>
      </c>
      <c r="K93" s="733" t="s">
        <v>79</v>
      </c>
      <c r="L93" s="757">
        <v>42010</v>
      </c>
      <c r="M93" s="669" t="s">
        <v>104</v>
      </c>
      <c r="N93" s="366" t="s">
        <v>286</v>
      </c>
      <c r="O93" s="558" t="s">
        <v>284</v>
      </c>
      <c r="P93" s="46">
        <v>42369</v>
      </c>
      <c r="Q93" s="654" t="s">
        <v>1060</v>
      </c>
      <c r="R93" s="367" t="s">
        <v>51</v>
      </c>
      <c r="S93" s="46"/>
      <c r="T93" s="367"/>
      <c r="U93" s="551">
        <f t="shared" si="45"/>
        <v>15</v>
      </c>
      <c r="V93" s="375" t="str">
        <f t="shared" si="46"/>
        <v>Inoportuno</v>
      </c>
      <c r="W93" s="383">
        <f t="shared" ref="W93:W96" si="49">DAYS360(P93,S93,0)+1</f>
        <v>-41759</v>
      </c>
      <c r="X93" s="806" t="s">
        <v>336</v>
      </c>
    </row>
    <row r="94" spans="1:24" ht="131.25" hidden="1" customHeight="1" x14ac:dyDescent="0.2">
      <c r="A94" s="734"/>
      <c r="B94" s="743"/>
      <c r="C94" s="743"/>
      <c r="D94" s="735"/>
      <c r="E94" s="743"/>
      <c r="F94" s="741"/>
      <c r="G94" s="760"/>
      <c r="H94" s="743"/>
      <c r="I94" s="768"/>
      <c r="J94" s="768"/>
      <c r="K94" s="734"/>
      <c r="L94" s="760"/>
      <c r="M94" s="363" t="s">
        <v>104</v>
      </c>
      <c r="N94" s="366" t="s">
        <v>286</v>
      </c>
      <c r="O94" s="558" t="s">
        <v>285</v>
      </c>
      <c r="P94" s="46">
        <v>42369</v>
      </c>
      <c r="Q94" s="654"/>
      <c r="R94" s="367" t="s">
        <v>51</v>
      </c>
      <c r="S94" s="46"/>
      <c r="T94" s="367"/>
      <c r="U94" s="383">
        <f t="shared" ref="U94:U95" si="50">DAYS360(G94,L94,0)+1</f>
        <v>1</v>
      </c>
      <c r="V94" s="375" t="str">
        <f t="shared" si="46"/>
        <v>Oportuno</v>
      </c>
      <c r="W94" s="383">
        <f t="shared" si="49"/>
        <v>-41759</v>
      </c>
      <c r="X94" s="806" t="s">
        <v>336</v>
      </c>
    </row>
    <row r="95" spans="1:24" ht="220.5" hidden="1" customHeight="1" x14ac:dyDescent="0.2">
      <c r="A95" s="734"/>
      <c r="B95" s="743"/>
      <c r="C95" s="743"/>
      <c r="D95" s="735"/>
      <c r="E95" s="743"/>
      <c r="F95" s="741"/>
      <c r="G95" s="760"/>
      <c r="H95" s="743"/>
      <c r="I95" s="768"/>
      <c r="J95" s="768"/>
      <c r="K95" s="734"/>
      <c r="L95" s="760"/>
      <c r="M95" s="363" t="s">
        <v>50</v>
      </c>
      <c r="N95" s="366" t="s">
        <v>286</v>
      </c>
      <c r="O95" s="558" t="s">
        <v>465</v>
      </c>
      <c r="P95" s="46">
        <v>42369</v>
      </c>
      <c r="Q95" s="654"/>
      <c r="R95" s="367" t="s">
        <v>51</v>
      </c>
      <c r="S95" s="46"/>
      <c r="T95" s="367"/>
      <c r="U95" s="383">
        <f t="shared" si="50"/>
        <v>1</v>
      </c>
      <c r="V95" s="375" t="str">
        <f t="shared" si="46"/>
        <v>Oportuno</v>
      </c>
      <c r="W95" s="383">
        <f t="shared" si="49"/>
        <v>-41759</v>
      </c>
      <c r="X95" s="806" t="s">
        <v>336</v>
      </c>
    </row>
    <row r="96" spans="1:24" ht="96" hidden="1" customHeight="1" x14ac:dyDescent="0.2">
      <c r="A96" s="726"/>
      <c r="B96" s="743"/>
      <c r="C96" s="728"/>
      <c r="D96" s="730"/>
      <c r="E96" s="728"/>
      <c r="F96" s="722"/>
      <c r="G96" s="732"/>
      <c r="H96" s="728"/>
      <c r="I96" s="724"/>
      <c r="J96" s="724"/>
      <c r="K96" s="726"/>
      <c r="L96" s="732"/>
      <c r="M96" s="363" t="s">
        <v>50</v>
      </c>
      <c r="N96" s="366" t="s">
        <v>286</v>
      </c>
      <c r="O96" s="558" t="s">
        <v>287</v>
      </c>
      <c r="P96" s="46">
        <v>42369</v>
      </c>
      <c r="Q96" s="654"/>
      <c r="R96" s="367" t="s">
        <v>51</v>
      </c>
      <c r="S96" s="46"/>
      <c r="T96" s="367"/>
      <c r="U96" s="383">
        <f>DAYS360(G93,L93,0)+1</f>
        <v>15</v>
      </c>
      <c r="V96" s="375" t="str">
        <f t="shared" si="46"/>
        <v>Inoportuno</v>
      </c>
      <c r="W96" s="383">
        <f t="shared" si="49"/>
        <v>-41759</v>
      </c>
      <c r="X96" s="806" t="s">
        <v>336</v>
      </c>
    </row>
    <row r="97" spans="1:24" ht="238.5" hidden="1" customHeight="1" x14ac:dyDescent="0.2">
      <c r="A97" s="367">
        <f>+A93+1</f>
        <v>60</v>
      </c>
      <c r="B97" s="363" t="s">
        <v>63</v>
      </c>
      <c r="C97" s="363" t="s">
        <v>269</v>
      </c>
      <c r="D97" s="369" t="s">
        <v>43</v>
      </c>
      <c r="E97" s="362" t="s">
        <v>0</v>
      </c>
      <c r="F97" s="364" t="s">
        <v>59</v>
      </c>
      <c r="G97" s="46">
        <v>41995</v>
      </c>
      <c r="H97" s="421" t="s">
        <v>273</v>
      </c>
      <c r="I97" s="373" t="s">
        <v>78</v>
      </c>
      <c r="J97" s="373" t="s">
        <v>133</v>
      </c>
      <c r="K97" s="542" t="s">
        <v>79</v>
      </c>
      <c r="L97" s="46">
        <v>42010</v>
      </c>
      <c r="M97" s="363" t="s">
        <v>104</v>
      </c>
      <c r="N97" s="366" t="s">
        <v>286</v>
      </c>
      <c r="O97" s="558" t="s">
        <v>313</v>
      </c>
      <c r="P97" s="46">
        <v>42277</v>
      </c>
      <c r="Q97" s="654" t="s">
        <v>1056</v>
      </c>
      <c r="R97" s="367" t="s">
        <v>51</v>
      </c>
      <c r="S97" s="46"/>
      <c r="T97" s="367"/>
      <c r="U97" s="383">
        <f t="shared" si="45"/>
        <v>15</v>
      </c>
      <c r="V97" s="375" t="str">
        <f t="shared" si="46"/>
        <v>Inoportuno</v>
      </c>
      <c r="W97" s="383">
        <f t="shared" si="39"/>
        <v>-41669</v>
      </c>
      <c r="X97" s="378" t="s">
        <v>336</v>
      </c>
    </row>
    <row r="98" spans="1:24" ht="216.75" hidden="1" customHeight="1" x14ac:dyDescent="0.2">
      <c r="A98" s="725">
        <v>61</v>
      </c>
      <c r="B98" s="727" t="s">
        <v>335</v>
      </c>
      <c r="C98" s="720" t="s">
        <v>466</v>
      </c>
      <c r="D98" s="729" t="s">
        <v>43</v>
      </c>
      <c r="E98" s="727" t="s">
        <v>0</v>
      </c>
      <c r="F98" s="721" t="s">
        <v>60</v>
      </c>
      <c r="G98" s="731">
        <v>41985</v>
      </c>
      <c r="H98" s="727" t="s">
        <v>274</v>
      </c>
      <c r="I98" s="723" t="s">
        <v>78</v>
      </c>
      <c r="J98" s="723" t="s">
        <v>134</v>
      </c>
      <c r="K98" s="725" t="s">
        <v>79</v>
      </c>
      <c r="L98" s="731">
        <v>42023</v>
      </c>
      <c r="M98" s="363" t="s">
        <v>104</v>
      </c>
      <c r="N98" s="217" t="s">
        <v>291</v>
      </c>
      <c r="O98" s="558" t="s">
        <v>663</v>
      </c>
      <c r="P98" s="214">
        <v>42612</v>
      </c>
      <c r="Q98" s="654"/>
      <c r="R98" s="215" t="s">
        <v>55</v>
      </c>
      <c r="S98" s="214">
        <v>42663</v>
      </c>
      <c r="T98" s="588" t="s">
        <v>658</v>
      </c>
      <c r="U98" s="551">
        <f t="shared" si="45"/>
        <v>38</v>
      </c>
      <c r="V98" s="375" t="str">
        <f t="shared" si="46"/>
        <v>Inoportuno</v>
      </c>
      <c r="W98" s="383">
        <f t="shared" si="39"/>
        <v>51</v>
      </c>
      <c r="X98" s="805" t="s">
        <v>336</v>
      </c>
    </row>
    <row r="99" spans="1:24" ht="196.5" hidden="1" customHeight="1" x14ac:dyDescent="0.2">
      <c r="A99" s="726"/>
      <c r="B99" s="728"/>
      <c r="C99" s="728"/>
      <c r="D99" s="730"/>
      <c r="E99" s="728"/>
      <c r="F99" s="722"/>
      <c r="G99" s="732"/>
      <c r="H99" s="728"/>
      <c r="I99" s="724"/>
      <c r="J99" s="724"/>
      <c r="K99" s="726"/>
      <c r="L99" s="732"/>
      <c r="M99" s="363" t="s">
        <v>50</v>
      </c>
      <c r="N99" s="217" t="s">
        <v>291</v>
      </c>
      <c r="O99" s="558" t="s">
        <v>660</v>
      </c>
      <c r="P99" s="214">
        <v>42551</v>
      </c>
      <c r="Q99" s="654"/>
      <c r="R99" s="215" t="s">
        <v>55</v>
      </c>
      <c r="S99" s="214">
        <v>42663</v>
      </c>
      <c r="T99" s="215" t="s">
        <v>857</v>
      </c>
      <c r="U99" s="383">
        <f>DAYS360(G98,L98,0)+1</f>
        <v>38</v>
      </c>
      <c r="V99" s="375" t="str">
        <f t="shared" si="46"/>
        <v>Inoportuno</v>
      </c>
      <c r="W99" s="383">
        <f t="shared" ref="W99" si="51">DAYS360(P99,S99,0)+1</f>
        <v>111</v>
      </c>
      <c r="X99" s="804" t="s">
        <v>336</v>
      </c>
    </row>
    <row r="100" spans="1:24" ht="174.75" hidden="1" customHeight="1" x14ac:dyDescent="0.2">
      <c r="A100" s="367">
        <f>+A98+1</f>
        <v>62</v>
      </c>
      <c r="B100" s="371" t="s">
        <v>335</v>
      </c>
      <c r="C100" s="363" t="s">
        <v>466</v>
      </c>
      <c r="D100" s="361" t="s">
        <v>43</v>
      </c>
      <c r="E100" s="371" t="s">
        <v>0</v>
      </c>
      <c r="F100" s="364" t="s">
        <v>60</v>
      </c>
      <c r="G100" s="46">
        <v>41985</v>
      </c>
      <c r="H100" s="421" t="s">
        <v>467</v>
      </c>
      <c r="I100" s="373" t="s">
        <v>78</v>
      </c>
      <c r="J100" s="373" t="s">
        <v>134</v>
      </c>
      <c r="K100" s="159" t="s">
        <v>79</v>
      </c>
      <c r="L100" s="46">
        <v>42023</v>
      </c>
      <c r="M100" s="363" t="s">
        <v>104</v>
      </c>
      <c r="N100" s="363" t="s">
        <v>136</v>
      </c>
      <c r="O100" s="558" t="s">
        <v>664</v>
      </c>
      <c r="P100" s="46">
        <v>42612</v>
      </c>
      <c r="Q100" s="654"/>
      <c r="R100" s="367" t="s">
        <v>55</v>
      </c>
      <c r="S100" s="46">
        <v>42663</v>
      </c>
      <c r="T100" s="217" t="s">
        <v>658</v>
      </c>
      <c r="U100" s="383">
        <f t="shared" si="45"/>
        <v>38</v>
      </c>
      <c r="V100" s="375" t="str">
        <f t="shared" si="46"/>
        <v>Inoportuno</v>
      </c>
      <c r="W100" s="383">
        <f t="shared" si="39"/>
        <v>51</v>
      </c>
      <c r="X100" s="378" t="s">
        <v>336</v>
      </c>
    </row>
    <row r="101" spans="1:24" ht="110.25" hidden="1" customHeight="1" x14ac:dyDescent="0.2">
      <c r="A101" s="367">
        <f t="shared" si="22"/>
        <v>63</v>
      </c>
      <c r="B101" s="371" t="s">
        <v>335</v>
      </c>
      <c r="C101" s="363" t="s">
        <v>466</v>
      </c>
      <c r="D101" s="361" t="s">
        <v>43</v>
      </c>
      <c r="E101" s="371" t="s">
        <v>0</v>
      </c>
      <c r="F101" s="364" t="s">
        <v>60</v>
      </c>
      <c r="G101" s="46">
        <v>41985</v>
      </c>
      <c r="H101" s="421" t="s">
        <v>275</v>
      </c>
      <c r="I101" s="373" t="s">
        <v>78</v>
      </c>
      <c r="J101" s="373" t="s">
        <v>134</v>
      </c>
      <c r="K101" s="159" t="s">
        <v>79</v>
      </c>
      <c r="L101" s="46">
        <v>42023</v>
      </c>
      <c r="M101" s="363" t="s">
        <v>104</v>
      </c>
      <c r="N101" s="363" t="s">
        <v>136</v>
      </c>
      <c r="O101" s="558" t="s">
        <v>292</v>
      </c>
      <c r="P101" s="46">
        <v>42093</v>
      </c>
      <c r="Q101" s="654"/>
      <c r="R101" s="367" t="s">
        <v>55</v>
      </c>
      <c r="S101" s="46">
        <v>42537</v>
      </c>
      <c r="T101" s="367" t="s">
        <v>847</v>
      </c>
      <c r="U101" s="383">
        <f t="shared" si="45"/>
        <v>38</v>
      </c>
      <c r="V101" s="375" t="str">
        <f t="shared" si="46"/>
        <v>Inoportuno</v>
      </c>
      <c r="W101" s="383">
        <f t="shared" si="39"/>
        <v>437</v>
      </c>
      <c r="X101" s="378" t="s">
        <v>336</v>
      </c>
    </row>
    <row r="102" spans="1:24" ht="162.75" hidden="1" customHeight="1" x14ac:dyDescent="0.2">
      <c r="A102" s="725">
        <v>64</v>
      </c>
      <c r="B102" s="592" t="s">
        <v>335</v>
      </c>
      <c r="C102" s="720" t="s">
        <v>466</v>
      </c>
      <c r="D102" s="738" t="s">
        <v>43</v>
      </c>
      <c r="E102" s="727" t="s">
        <v>0</v>
      </c>
      <c r="F102" s="721" t="s">
        <v>60</v>
      </c>
      <c r="G102" s="731">
        <v>41985</v>
      </c>
      <c r="H102" s="720" t="s">
        <v>276</v>
      </c>
      <c r="I102" s="723" t="s">
        <v>78</v>
      </c>
      <c r="J102" s="723" t="s">
        <v>134</v>
      </c>
      <c r="K102" s="725" t="s">
        <v>79</v>
      </c>
      <c r="L102" s="731">
        <v>42023</v>
      </c>
      <c r="M102" s="363" t="s">
        <v>104</v>
      </c>
      <c r="N102" s="363" t="s">
        <v>136</v>
      </c>
      <c r="O102" s="558" t="s">
        <v>665</v>
      </c>
      <c r="P102" s="46">
        <v>42368</v>
      </c>
      <c r="Q102" s="643" t="s">
        <v>1025</v>
      </c>
      <c r="R102" s="367" t="s">
        <v>55</v>
      </c>
      <c r="S102" s="46">
        <v>42885</v>
      </c>
      <c r="T102" s="217" t="s">
        <v>1026</v>
      </c>
      <c r="U102" s="551">
        <f t="shared" si="45"/>
        <v>38</v>
      </c>
      <c r="V102" s="375" t="str">
        <f t="shared" si="46"/>
        <v>Inoportuno</v>
      </c>
      <c r="W102" s="383">
        <f t="shared" si="39"/>
        <v>511</v>
      </c>
      <c r="X102" s="805" t="s">
        <v>336</v>
      </c>
    </row>
    <row r="103" spans="1:24" ht="92.25" hidden="1" customHeight="1" x14ac:dyDescent="0.2">
      <c r="A103" s="734"/>
      <c r="B103" s="592" t="s">
        <v>335</v>
      </c>
      <c r="C103" s="743"/>
      <c r="D103" s="735"/>
      <c r="E103" s="743"/>
      <c r="F103" s="741"/>
      <c r="G103" s="760"/>
      <c r="H103" s="743"/>
      <c r="I103" s="768"/>
      <c r="J103" s="768"/>
      <c r="K103" s="734"/>
      <c r="L103" s="760"/>
      <c r="M103" s="363" t="s">
        <v>104</v>
      </c>
      <c r="N103" s="363" t="s">
        <v>136</v>
      </c>
      <c r="O103" s="558" t="s">
        <v>468</v>
      </c>
      <c r="P103" s="46">
        <v>42368</v>
      </c>
      <c r="Q103" s="654"/>
      <c r="R103" s="367" t="s">
        <v>55</v>
      </c>
      <c r="S103" s="46">
        <v>42381</v>
      </c>
      <c r="T103" s="217" t="s">
        <v>452</v>
      </c>
      <c r="U103" s="383">
        <f t="shared" ref="U103:U104" si="52">DAYS360(G103,L103,0)+1</f>
        <v>1</v>
      </c>
      <c r="V103" s="375" t="str">
        <f t="shared" si="46"/>
        <v>Oportuno</v>
      </c>
      <c r="W103" s="383">
        <f t="shared" ref="W103:W105" si="53">DAYS360(P103,S103,0)+1</f>
        <v>13</v>
      </c>
      <c r="X103" s="803" t="s">
        <v>336</v>
      </c>
    </row>
    <row r="104" spans="1:24" ht="143.25" hidden="1" customHeight="1" x14ac:dyDescent="0.2">
      <c r="A104" s="734"/>
      <c r="B104" s="592" t="s">
        <v>335</v>
      </c>
      <c r="C104" s="743"/>
      <c r="D104" s="735"/>
      <c r="E104" s="743"/>
      <c r="F104" s="741"/>
      <c r="G104" s="760"/>
      <c r="H104" s="743"/>
      <c r="I104" s="768"/>
      <c r="J104" s="768"/>
      <c r="K104" s="734"/>
      <c r="L104" s="760"/>
      <c r="M104" s="363" t="s">
        <v>50</v>
      </c>
      <c r="N104" s="363" t="s">
        <v>136</v>
      </c>
      <c r="O104" s="558" t="s">
        <v>293</v>
      </c>
      <c r="P104" s="46">
        <v>42368</v>
      </c>
      <c r="Q104" s="654"/>
      <c r="R104" s="367" t="s">
        <v>55</v>
      </c>
      <c r="S104" s="46">
        <v>42381</v>
      </c>
      <c r="T104" s="634" t="s">
        <v>452</v>
      </c>
      <c r="U104" s="383">
        <f t="shared" si="52"/>
        <v>1</v>
      </c>
      <c r="V104" s="375" t="str">
        <f t="shared" si="46"/>
        <v>Oportuno</v>
      </c>
      <c r="W104" s="383">
        <f t="shared" si="53"/>
        <v>13</v>
      </c>
      <c r="X104" s="803" t="s">
        <v>336</v>
      </c>
    </row>
    <row r="105" spans="1:24" ht="175.5" hidden="1" customHeight="1" x14ac:dyDescent="0.2">
      <c r="A105" s="726"/>
      <c r="B105" s="592" t="s">
        <v>335</v>
      </c>
      <c r="C105" s="728"/>
      <c r="D105" s="730"/>
      <c r="E105" s="728"/>
      <c r="F105" s="722"/>
      <c r="G105" s="732"/>
      <c r="H105" s="728"/>
      <c r="I105" s="724"/>
      <c r="J105" s="724"/>
      <c r="K105" s="726"/>
      <c r="L105" s="732"/>
      <c r="M105" s="363" t="s">
        <v>50</v>
      </c>
      <c r="N105" s="363" t="s">
        <v>136</v>
      </c>
      <c r="O105" s="558" t="s">
        <v>469</v>
      </c>
      <c r="P105" s="46">
        <v>42368</v>
      </c>
      <c r="Q105" s="654"/>
      <c r="R105" s="367" t="s">
        <v>55</v>
      </c>
      <c r="S105" s="46">
        <v>42381</v>
      </c>
      <c r="T105" s="634" t="s">
        <v>452</v>
      </c>
      <c r="U105" s="383">
        <f>DAYS360(G102,L102,0)+1</f>
        <v>38</v>
      </c>
      <c r="V105" s="375" t="str">
        <f t="shared" si="46"/>
        <v>Inoportuno</v>
      </c>
      <c r="W105" s="383">
        <f t="shared" si="53"/>
        <v>13</v>
      </c>
      <c r="X105" s="804" t="s">
        <v>336</v>
      </c>
    </row>
    <row r="106" spans="1:24" ht="193.5" hidden="1" customHeight="1" x14ac:dyDescent="0.2">
      <c r="A106" s="725">
        <v>65</v>
      </c>
      <c r="B106" s="727" t="s">
        <v>335</v>
      </c>
      <c r="C106" s="727" t="s">
        <v>466</v>
      </c>
      <c r="D106" s="729" t="s">
        <v>43</v>
      </c>
      <c r="E106" s="727" t="s">
        <v>0</v>
      </c>
      <c r="F106" s="721" t="s">
        <v>60</v>
      </c>
      <c r="G106" s="731">
        <v>41985</v>
      </c>
      <c r="H106" s="727" t="s">
        <v>277</v>
      </c>
      <c r="I106" s="723" t="s">
        <v>78</v>
      </c>
      <c r="J106" s="723" t="s">
        <v>134</v>
      </c>
      <c r="K106" s="725" t="s">
        <v>79</v>
      </c>
      <c r="L106" s="731">
        <v>42023</v>
      </c>
      <c r="M106" s="363" t="s">
        <v>104</v>
      </c>
      <c r="N106" s="363" t="s">
        <v>136</v>
      </c>
      <c r="O106" s="558" t="s">
        <v>294</v>
      </c>
      <c r="P106" s="46">
        <v>42368</v>
      </c>
      <c r="Q106" s="654"/>
      <c r="R106" s="367" t="s">
        <v>55</v>
      </c>
      <c r="S106" s="46">
        <v>42381</v>
      </c>
      <c r="T106" s="217" t="s">
        <v>452</v>
      </c>
      <c r="U106" s="551">
        <f>DAYS360(G103,L103,0)+1</f>
        <v>1</v>
      </c>
      <c r="V106" s="375" t="str">
        <f t="shared" si="46"/>
        <v>Oportuno</v>
      </c>
      <c r="W106" s="383">
        <f t="shared" si="39"/>
        <v>13</v>
      </c>
      <c r="X106" s="805" t="s">
        <v>336</v>
      </c>
    </row>
    <row r="107" spans="1:24" ht="157.5" hidden="1" customHeight="1" x14ac:dyDescent="0.2">
      <c r="A107" s="734"/>
      <c r="B107" s="743"/>
      <c r="C107" s="743"/>
      <c r="D107" s="735"/>
      <c r="E107" s="743"/>
      <c r="F107" s="741"/>
      <c r="G107" s="760"/>
      <c r="H107" s="743"/>
      <c r="I107" s="768"/>
      <c r="J107" s="768"/>
      <c r="K107" s="734"/>
      <c r="L107" s="760"/>
      <c r="M107" s="363" t="s">
        <v>104</v>
      </c>
      <c r="N107" s="363" t="s">
        <v>136</v>
      </c>
      <c r="O107" s="558" t="s">
        <v>295</v>
      </c>
      <c r="P107" s="46">
        <v>42368</v>
      </c>
      <c r="Q107" s="654"/>
      <c r="R107" s="367" t="s">
        <v>55</v>
      </c>
      <c r="S107" s="46">
        <v>42381</v>
      </c>
      <c r="T107" s="217" t="s">
        <v>452</v>
      </c>
      <c r="U107" s="383">
        <f t="shared" ref="U107" si="54">DAYS360(G107,L107,0)+1</f>
        <v>1</v>
      </c>
      <c r="V107" s="375" t="str">
        <f t="shared" si="46"/>
        <v>Oportuno</v>
      </c>
      <c r="W107" s="383">
        <f t="shared" ref="W107:W108" si="55">DAYS360(P107,S107,0)+1</f>
        <v>13</v>
      </c>
      <c r="X107" s="803" t="s">
        <v>336</v>
      </c>
    </row>
    <row r="108" spans="1:24" ht="102.75" hidden="1" customHeight="1" x14ac:dyDescent="0.2">
      <c r="A108" s="726"/>
      <c r="B108" s="728"/>
      <c r="C108" s="728"/>
      <c r="D108" s="730"/>
      <c r="E108" s="728"/>
      <c r="F108" s="722"/>
      <c r="G108" s="732"/>
      <c r="H108" s="728"/>
      <c r="I108" s="724"/>
      <c r="J108" s="724"/>
      <c r="K108" s="726"/>
      <c r="L108" s="732"/>
      <c r="M108" s="363" t="s">
        <v>104</v>
      </c>
      <c r="N108" s="363" t="s">
        <v>136</v>
      </c>
      <c r="O108" s="558" t="s">
        <v>296</v>
      </c>
      <c r="P108" s="46">
        <v>42368</v>
      </c>
      <c r="Q108" s="654"/>
      <c r="R108" s="367" t="s">
        <v>55</v>
      </c>
      <c r="S108" s="46">
        <v>42381</v>
      </c>
      <c r="T108" s="217" t="s">
        <v>452</v>
      </c>
      <c r="U108" s="383">
        <f>DAYS360(G106,L106,0)+1</f>
        <v>38</v>
      </c>
      <c r="V108" s="375" t="str">
        <f t="shared" si="46"/>
        <v>Inoportuno</v>
      </c>
      <c r="W108" s="383">
        <f t="shared" si="55"/>
        <v>13</v>
      </c>
      <c r="X108" s="804" t="s">
        <v>336</v>
      </c>
    </row>
    <row r="109" spans="1:24" ht="68.25" hidden="1" customHeight="1" x14ac:dyDescent="0.2">
      <c r="A109" s="725">
        <v>66</v>
      </c>
      <c r="B109" s="592" t="s">
        <v>335</v>
      </c>
      <c r="C109" s="720" t="s">
        <v>466</v>
      </c>
      <c r="D109" s="729" t="s">
        <v>43</v>
      </c>
      <c r="E109" s="727" t="s">
        <v>0</v>
      </c>
      <c r="F109" s="721" t="s">
        <v>60</v>
      </c>
      <c r="G109" s="731">
        <v>41985</v>
      </c>
      <c r="H109" s="744" t="s">
        <v>298</v>
      </c>
      <c r="I109" s="723" t="s">
        <v>78</v>
      </c>
      <c r="J109" s="723" t="s">
        <v>134</v>
      </c>
      <c r="K109" s="725" t="s">
        <v>79</v>
      </c>
      <c r="L109" s="731">
        <v>42023</v>
      </c>
      <c r="M109" s="363" t="s">
        <v>104</v>
      </c>
      <c r="N109" s="363" t="s">
        <v>136</v>
      </c>
      <c r="O109" s="587" t="s">
        <v>469</v>
      </c>
      <c r="P109" s="46">
        <v>42368</v>
      </c>
      <c r="Q109" s="654"/>
      <c r="R109" s="367" t="s">
        <v>55</v>
      </c>
      <c r="S109" s="46">
        <v>42381</v>
      </c>
      <c r="T109" s="217" t="s">
        <v>452</v>
      </c>
      <c r="U109" s="551">
        <f>DAYS360(G107,L107,0)+1</f>
        <v>1</v>
      </c>
      <c r="V109" s="375" t="str">
        <f t="shared" si="46"/>
        <v>Oportuno</v>
      </c>
      <c r="W109" s="383">
        <f t="shared" si="39"/>
        <v>13</v>
      </c>
      <c r="X109" s="805" t="s">
        <v>336</v>
      </c>
    </row>
    <row r="110" spans="1:24" ht="51.75" hidden="1" customHeight="1" x14ac:dyDescent="0.2">
      <c r="A110" s="734"/>
      <c r="B110" s="592" t="s">
        <v>335</v>
      </c>
      <c r="C110" s="743"/>
      <c r="D110" s="735"/>
      <c r="E110" s="743"/>
      <c r="F110" s="741"/>
      <c r="G110" s="760"/>
      <c r="H110" s="745"/>
      <c r="I110" s="768"/>
      <c r="J110" s="768"/>
      <c r="K110" s="734"/>
      <c r="L110" s="760"/>
      <c r="M110" s="363" t="s">
        <v>104</v>
      </c>
      <c r="N110" s="363" t="s">
        <v>136</v>
      </c>
      <c r="O110" s="558" t="s">
        <v>470</v>
      </c>
      <c r="P110" s="46">
        <v>42368</v>
      </c>
      <c r="Q110" s="654"/>
      <c r="R110" s="367" t="s">
        <v>55</v>
      </c>
      <c r="S110" s="46">
        <v>42381</v>
      </c>
      <c r="T110" s="217" t="s">
        <v>452</v>
      </c>
      <c r="U110" s="383">
        <f t="shared" ref="U110:U112" si="56">DAYS360(G110,L110,0)+1</f>
        <v>1</v>
      </c>
      <c r="V110" s="375" t="str">
        <f t="shared" si="46"/>
        <v>Oportuno</v>
      </c>
      <c r="W110" s="383">
        <f t="shared" ref="W110:W114" si="57">DAYS360(P110,S110,0)+1</f>
        <v>13</v>
      </c>
      <c r="X110" s="803" t="s">
        <v>336</v>
      </c>
    </row>
    <row r="111" spans="1:24" ht="105.75" hidden="1" customHeight="1" x14ac:dyDescent="0.2">
      <c r="A111" s="734"/>
      <c r="B111" s="592" t="s">
        <v>335</v>
      </c>
      <c r="C111" s="743"/>
      <c r="D111" s="735"/>
      <c r="E111" s="743"/>
      <c r="F111" s="741"/>
      <c r="G111" s="760"/>
      <c r="H111" s="745"/>
      <c r="I111" s="768"/>
      <c r="J111" s="768"/>
      <c r="K111" s="734"/>
      <c r="L111" s="760"/>
      <c r="M111" s="363" t="s">
        <v>50</v>
      </c>
      <c r="N111" s="363" t="s">
        <v>136</v>
      </c>
      <c r="O111" s="596" t="s">
        <v>665</v>
      </c>
      <c r="P111" s="46">
        <v>42368</v>
      </c>
      <c r="Q111" s="684" t="s">
        <v>1027</v>
      </c>
      <c r="R111" s="367" t="s">
        <v>55</v>
      </c>
      <c r="S111" s="46">
        <v>42859</v>
      </c>
      <c r="T111" s="367" t="s">
        <v>878</v>
      </c>
      <c r="U111" s="383">
        <f t="shared" si="56"/>
        <v>1</v>
      </c>
      <c r="V111" s="375" t="str">
        <f t="shared" si="46"/>
        <v>Oportuno</v>
      </c>
      <c r="W111" s="383">
        <f t="shared" si="57"/>
        <v>485</v>
      </c>
      <c r="X111" s="803" t="s">
        <v>336</v>
      </c>
    </row>
    <row r="112" spans="1:24" ht="50.25" hidden="1" customHeight="1" x14ac:dyDescent="0.2">
      <c r="A112" s="734"/>
      <c r="B112" s="592" t="s">
        <v>335</v>
      </c>
      <c r="C112" s="743"/>
      <c r="D112" s="735"/>
      <c r="E112" s="743"/>
      <c r="F112" s="741"/>
      <c r="G112" s="760"/>
      <c r="H112" s="745"/>
      <c r="I112" s="768"/>
      <c r="J112" s="768"/>
      <c r="K112" s="734"/>
      <c r="L112" s="760"/>
      <c r="M112" s="363" t="s">
        <v>50</v>
      </c>
      <c r="N112" s="363" t="s">
        <v>136</v>
      </c>
      <c r="O112" s="558" t="s">
        <v>297</v>
      </c>
      <c r="P112" s="46">
        <v>42368</v>
      </c>
      <c r="Q112" s="654"/>
      <c r="R112" s="367" t="s">
        <v>55</v>
      </c>
      <c r="S112" s="46">
        <v>42381</v>
      </c>
      <c r="T112" s="217" t="s">
        <v>452</v>
      </c>
      <c r="U112" s="383">
        <f t="shared" si="56"/>
        <v>1</v>
      </c>
      <c r="V112" s="375" t="str">
        <f t="shared" si="46"/>
        <v>Oportuno</v>
      </c>
      <c r="W112" s="383">
        <f t="shared" si="57"/>
        <v>13</v>
      </c>
      <c r="X112" s="803" t="s">
        <v>336</v>
      </c>
    </row>
    <row r="113" spans="1:24" ht="59.25" hidden="1" customHeight="1" x14ac:dyDescent="0.2">
      <c r="A113" s="734"/>
      <c r="B113" s="592" t="s">
        <v>335</v>
      </c>
      <c r="C113" s="743"/>
      <c r="D113" s="735"/>
      <c r="E113" s="743"/>
      <c r="F113" s="741"/>
      <c r="G113" s="760"/>
      <c r="H113" s="745"/>
      <c r="I113" s="768"/>
      <c r="J113" s="768"/>
      <c r="K113" s="734"/>
      <c r="L113" s="760"/>
      <c r="M113" s="363" t="s">
        <v>50</v>
      </c>
      <c r="N113" s="363" t="s">
        <v>136</v>
      </c>
      <c r="O113" s="558" t="s">
        <v>471</v>
      </c>
      <c r="P113" s="46">
        <v>42885</v>
      </c>
      <c r="Q113" s="654"/>
      <c r="R113" s="367" t="s">
        <v>55</v>
      </c>
      <c r="S113" s="46">
        <v>42747</v>
      </c>
      <c r="T113" s="367" t="s">
        <v>1021</v>
      </c>
      <c r="U113" s="383">
        <f>DAYS360(G109,L113,0)+1</f>
        <v>-41381</v>
      </c>
      <c r="V113" s="375" t="s">
        <v>858</v>
      </c>
      <c r="W113" s="383">
        <f t="shared" si="57"/>
        <v>-137</v>
      </c>
      <c r="X113" s="803" t="s">
        <v>336</v>
      </c>
    </row>
    <row r="114" spans="1:24" ht="171.75" hidden="1" customHeight="1" x14ac:dyDescent="0.2">
      <c r="A114" s="726"/>
      <c r="B114" s="592" t="s">
        <v>335</v>
      </c>
      <c r="C114" s="728"/>
      <c r="D114" s="730"/>
      <c r="E114" s="728"/>
      <c r="F114" s="722"/>
      <c r="G114" s="732"/>
      <c r="H114" s="746"/>
      <c r="I114" s="724"/>
      <c r="J114" s="724"/>
      <c r="K114" s="726"/>
      <c r="L114" s="732"/>
      <c r="M114" s="363" t="s">
        <v>50</v>
      </c>
      <c r="N114" s="363" t="s">
        <v>136</v>
      </c>
      <c r="O114" s="558" t="s">
        <v>889</v>
      </c>
      <c r="P114" s="46">
        <v>42794</v>
      </c>
      <c r="Q114" s="643" t="s">
        <v>1028</v>
      </c>
      <c r="R114" s="367" t="s">
        <v>55</v>
      </c>
      <c r="S114" s="46">
        <v>42859</v>
      </c>
      <c r="T114" s="367" t="s">
        <v>1029</v>
      </c>
      <c r="U114" s="383">
        <f>DAYS360(G114,L109,0)+1</f>
        <v>41420</v>
      </c>
      <c r="V114" s="375" t="str">
        <f t="shared" si="46"/>
        <v>Inoportuno</v>
      </c>
      <c r="W114" s="383">
        <f t="shared" si="57"/>
        <v>65</v>
      </c>
      <c r="X114" s="804" t="s">
        <v>336</v>
      </c>
    </row>
    <row r="115" spans="1:24" ht="74.25" hidden="1" customHeight="1" x14ac:dyDescent="0.2">
      <c r="A115" s="367">
        <v>67</v>
      </c>
      <c r="B115" s="371" t="s">
        <v>335</v>
      </c>
      <c r="C115" s="363" t="s">
        <v>466</v>
      </c>
      <c r="D115" s="361" t="s">
        <v>43</v>
      </c>
      <c r="E115" s="371" t="s">
        <v>0</v>
      </c>
      <c r="F115" s="364" t="s">
        <v>60</v>
      </c>
      <c r="G115" s="46">
        <v>41985</v>
      </c>
      <c r="H115" s="421" t="s">
        <v>278</v>
      </c>
      <c r="I115" s="373" t="s">
        <v>78</v>
      </c>
      <c r="J115" s="373" t="s">
        <v>134</v>
      </c>
      <c r="K115" s="159" t="s">
        <v>79</v>
      </c>
      <c r="L115" s="46">
        <v>42023</v>
      </c>
      <c r="M115" s="363" t="s">
        <v>50</v>
      </c>
      <c r="N115" s="363" t="s">
        <v>136</v>
      </c>
      <c r="O115" s="558" t="s">
        <v>472</v>
      </c>
      <c r="P115" s="46">
        <v>42368</v>
      </c>
      <c r="Q115" s="643" t="s">
        <v>1030</v>
      </c>
      <c r="R115" s="367" t="s">
        <v>55</v>
      </c>
      <c r="S115" s="46">
        <v>42859</v>
      </c>
      <c r="T115" s="367" t="s">
        <v>1031</v>
      </c>
      <c r="U115" s="383">
        <f t="shared" si="45"/>
        <v>38</v>
      </c>
      <c r="V115" s="375" t="str">
        <f t="shared" si="46"/>
        <v>Inoportuno</v>
      </c>
      <c r="W115" s="383">
        <f t="shared" si="39"/>
        <v>485</v>
      </c>
      <c r="X115" s="378" t="s">
        <v>336</v>
      </c>
    </row>
    <row r="116" spans="1:24" ht="303.75" hidden="1" customHeight="1" x14ac:dyDescent="0.2">
      <c r="A116" s="242">
        <f t="shared" si="22"/>
        <v>68</v>
      </c>
      <c r="B116" s="363" t="s">
        <v>2</v>
      </c>
      <c r="C116" s="363" t="s">
        <v>2</v>
      </c>
      <c r="D116" s="369" t="s">
        <v>43</v>
      </c>
      <c r="E116" s="371" t="s">
        <v>0</v>
      </c>
      <c r="F116" s="364" t="s">
        <v>58</v>
      </c>
      <c r="G116" s="46">
        <v>42004</v>
      </c>
      <c r="H116" s="421" t="s">
        <v>279</v>
      </c>
      <c r="I116" s="373" t="s">
        <v>78</v>
      </c>
      <c r="J116" s="373" t="s">
        <v>134</v>
      </c>
      <c r="K116" s="539" t="s">
        <v>79</v>
      </c>
      <c r="L116" s="46">
        <v>42243</v>
      </c>
      <c r="M116" s="363" t="s">
        <v>50</v>
      </c>
      <c r="N116" s="222" t="s">
        <v>352</v>
      </c>
      <c r="O116" s="558" t="s">
        <v>353</v>
      </c>
      <c r="P116" s="46">
        <v>42368</v>
      </c>
      <c r="Q116" s="669" t="s">
        <v>1066</v>
      </c>
      <c r="R116" s="367" t="s">
        <v>55</v>
      </c>
      <c r="S116" s="46">
        <v>42734</v>
      </c>
      <c r="T116" s="686" t="s">
        <v>1067</v>
      </c>
      <c r="U116" s="383">
        <f t="shared" ref="U116:U117" si="58">DAYS360(G116,L116,0)+1</f>
        <v>238</v>
      </c>
      <c r="V116" s="375" t="str">
        <f t="shared" ref="V116" si="59">IF(U116&gt;7,"Inoportuno",(IF(U116&lt;0,"No ha formulado PM","Oportuno")))</f>
        <v>Inoportuno</v>
      </c>
      <c r="W116" s="383">
        <f t="shared" ref="W116" si="60">DAYS360(P116,S116,0)+1</f>
        <v>361</v>
      </c>
      <c r="X116" s="378" t="s">
        <v>336</v>
      </c>
    </row>
    <row r="117" spans="1:24" ht="198" hidden="1" customHeight="1" x14ac:dyDescent="0.2">
      <c r="A117" s="733">
        <v>69</v>
      </c>
      <c r="B117" s="612" t="s">
        <v>37</v>
      </c>
      <c r="C117" s="720" t="s">
        <v>37</v>
      </c>
      <c r="D117" s="738" t="s">
        <v>43</v>
      </c>
      <c r="E117" s="720" t="s">
        <v>0</v>
      </c>
      <c r="F117" s="742" t="s">
        <v>107</v>
      </c>
      <c r="G117" s="757">
        <v>41997</v>
      </c>
      <c r="H117" s="720" t="s">
        <v>280</v>
      </c>
      <c r="I117" s="723" t="s">
        <v>78</v>
      </c>
      <c r="J117" s="723" t="s">
        <v>134</v>
      </c>
      <c r="K117" s="725" t="s">
        <v>79</v>
      </c>
      <c r="L117" s="731">
        <v>42011</v>
      </c>
      <c r="M117" s="363" t="s">
        <v>104</v>
      </c>
      <c r="N117" s="363" t="s">
        <v>288</v>
      </c>
      <c r="O117" s="558" t="s">
        <v>289</v>
      </c>
      <c r="P117" s="46">
        <v>42398</v>
      </c>
      <c r="Q117" s="669"/>
      <c r="R117" s="367" t="s">
        <v>55</v>
      </c>
      <c r="S117" s="46">
        <v>42495</v>
      </c>
      <c r="T117" s="586" t="s">
        <v>875</v>
      </c>
      <c r="U117" s="551">
        <f t="shared" si="58"/>
        <v>14</v>
      </c>
      <c r="V117" s="375" t="str">
        <f t="shared" ref="V117" si="61">IF(U117&gt;7,"Inoportuno",(IF(U117&lt;0,"No ha formulado PM","Oportuno")))</f>
        <v>Inoportuno</v>
      </c>
      <c r="W117" s="383">
        <f t="shared" ref="W117" si="62">DAYS360(P117,S117,0)+1</f>
        <v>97</v>
      </c>
      <c r="X117" s="806" t="s">
        <v>336</v>
      </c>
    </row>
    <row r="118" spans="1:24" ht="165.75" hidden="1" customHeight="1" x14ac:dyDescent="0.2">
      <c r="A118" s="726"/>
      <c r="B118" s="669" t="s">
        <v>37</v>
      </c>
      <c r="C118" s="728"/>
      <c r="D118" s="730"/>
      <c r="E118" s="728"/>
      <c r="F118" s="722"/>
      <c r="G118" s="732"/>
      <c r="H118" s="728"/>
      <c r="I118" s="724"/>
      <c r="J118" s="724"/>
      <c r="K118" s="726"/>
      <c r="L118" s="732"/>
      <c r="M118" s="363" t="s">
        <v>50</v>
      </c>
      <c r="N118" s="363" t="s">
        <v>288</v>
      </c>
      <c r="O118" s="558" t="s">
        <v>303</v>
      </c>
      <c r="P118" s="46">
        <v>42459</v>
      </c>
      <c r="Q118" s="669"/>
      <c r="R118" s="367" t="s">
        <v>55</v>
      </c>
      <c r="S118" s="46">
        <v>42495</v>
      </c>
      <c r="T118" s="586" t="s">
        <v>876</v>
      </c>
      <c r="U118" s="383">
        <f>DAYS360(G117,L117,0)+1</f>
        <v>14</v>
      </c>
      <c r="V118" s="375" t="str">
        <f t="shared" ref="V118:V138" si="63">IF(U118&gt;7,"Inoportuno",(IF(U118&lt;0,"No ha formulado PM","Oportuno")))</f>
        <v>Inoportuno</v>
      </c>
      <c r="W118" s="383">
        <f t="shared" ref="W118" si="64">DAYS360(P118,S118,0)+1</f>
        <v>36</v>
      </c>
      <c r="X118" s="806" t="s">
        <v>336</v>
      </c>
    </row>
    <row r="119" spans="1:24" ht="409.5" hidden="1" customHeight="1" x14ac:dyDescent="0.2">
      <c r="A119" s="367">
        <f>+A117+1</f>
        <v>70</v>
      </c>
      <c r="B119" s="363" t="s">
        <v>37</v>
      </c>
      <c r="C119" s="363" t="s">
        <v>37</v>
      </c>
      <c r="D119" s="369" t="s">
        <v>43</v>
      </c>
      <c r="E119" s="371" t="s">
        <v>0</v>
      </c>
      <c r="F119" s="364" t="s">
        <v>107</v>
      </c>
      <c r="G119" s="46">
        <v>41997</v>
      </c>
      <c r="H119" s="421" t="s">
        <v>281</v>
      </c>
      <c r="I119" s="373" t="s">
        <v>78</v>
      </c>
      <c r="J119" s="373" t="s">
        <v>133</v>
      </c>
      <c r="K119" s="539" t="s">
        <v>79</v>
      </c>
      <c r="L119" s="46">
        <v>42011</v>
      </c>
      <c r="M119" s="363" t="s">
        <v>50</v>
      </c>
      <c r="N119" s="363" t="s">
        <v>288</v>
      </c>
      <c r="O119" s="558" t="s">
        <v>304</v>
      </c>
      <c r="P119" s="46">
        <v>42277</v>
      </c>
      <c r="Q119" s="669"/>
      <c r="R119" s="367" t="s">
        <v>51</v>
      </c>
      <c r="S119" s="46"/>
      <c r="T119" s="649"/>
      <c r="U119" s="383">
        <f t="shared" ref="U119:U120" si="65">DAYS360(G119,L119,0)+1</f>
        <v>14</v>
      </c>
      <c r="V119" s="375" t="str">
        <f t="shared" si="63"/>
        <v>Inoportuno</v>
      </c>
      <c r="W119" s="383">
        <f t="shared" ref="W119" si="66">DAYS360(P119,S119,0)+1</f>
        <v>-41669</v>
      </c>
      <c r="X119" s="378" t="s">
        <v>336</v>
      </c>
    </row>
    <row r="120" spans="1:24" ht="246.75" customHeight="1" x14ac:dyDescent="0.2">
      <c r="A120" s="725">
        <v>71</v>
      </c>
      <c r="B120" s="727" t="s">
        <v>25</v>
      </c>
      <c r="C120" s="727" t="s">
        <v>191</v>
      </c>
      <c r="D120" s="729" t="s">
        <v>43</v>
      </c>
      <c r="E120" s="727" t="s">
        <v>0</v>
      </c>
      <c r="F120" s="721" t="s">
        <v>59</v>
      </c>
      <c r="G120" s="731">
        <v>42004</v>
      </c>
      <c r="H120" s="744" t="s">
        <v>505</v>
      </c>
      <c r="I120" s="723" t="s">
        <v>78</v>
      </c>
      <c r="J120" s="723" t="s">
        <v>134</v>
      </c>
      <c r="K120" s="725" t="s">
        <v>79</v>
      </c>
      <c r="L120" s="757">
        <v>42117</v>
      </c>
      <c r="M120" s="363" t="s">
        <v>50</v>
      </c>
      <c r="N120" s="226" t="s">
        <v>323</v>
      </c>
      <c r="O120" s="558" t="s">
        <v>325</v>
      </c>
      <c r="P120" s="229">
        <v>42520</v>
      </c>
      <c r="Q120" s="654" t="s">
        <v>1081</v>
      </c>
      <c r="R120" s="367" t="s">
        <v>55</v>
      </c>
      <c r="S120" s="46">
        <v>42898</v>
      </c>
      <c r="T120" s="367" t="s">
        <v>1005</v>
      </c>
      <c r="U120" s="551">
        <f t="shared" si="65"/>
        <v>114</v>
      </c>
      <c r="V120" s="802" t="str">
        <f t="shared" si="63"/>
        <v>Inoportuno</v>
      </c>
      <c r="W120" s="383">
        <f t="shared" ref="W120" si="67">DAYS360(P120,S120,0)+1</f>
        <v>373</v>
      </c>
      <c r="X120" s="805" t="s">
        <v>336</v>
      </c>
    </row>
    <row r="121" spans="1:24" ht="117" hidden="1" customHeight="1" x14ac:dyDescent="0.2">
      <c r="A121" s="734"/>
      <c r="B121" s="743"/>
      <c r="C121" s="743"/>
      <c r="D121" s="735"/>
      <c r="E121" s="743"/>
      <c r="F121" s="741"/>
      <c r="G121" s="760"/>
      <c r="H121" s="745"/>
      <c r="I121" s="768"/>
      <c r="J121" s="768"/>
      <c r="K121" s="734"/>
      <c r="L121" s="760"/>
      <c r="M121" s="363" t="s">
        <v>50</v>
      </c>
      <c r="N121" s="363" t="s">
        <v>473</v>
      </c>
      <c r="O121" s="558" t="s">
        <v>326</v>
      </c>
      <c r="P121" s="229">
        <v>42520</v>
      </c>
      <c r="Q121" s="654"/>
      <c r="R121" s="367" t="s">
        <v>51</v>
      </c>
      <c r="S121" s="46"/>
      <c r="T121" s="367"/>
      <c r="U121" s="383">
        <f t="shared" ref="U121:U122" si="68">DAYS360(G121,L121,0)+1</f>
        <v>1</v>
      </c>
      <c r="V121" s="800"/>
      <c r="W121" s="383">
        <f t="shared" ref="W121:W123" si="69">DAYS360(P121,S121,0)+1</f>
        <v>-41909</v>
      </c>
      <c r="X121" s="803" t="s">
        <v>336</v>
      </c>
    </row>
    <row r="122" spans="1:24" ht="170.25" hidden="1" customHeight="1" x14ac:dyDescent="0.2">
      <c r="A122" s="734"/>
      <c r="B122" s="743"/>
      <c r="C122" s="743"/>
      <c r="D122" s="735"/>
      <c r="E122" s="743"/>
      <c r="F122" s="741"/>
      <c r="G122" s="760"/>
      <c r="H122" s="745"/>
      <c r="I122" s="768"/>
      <c r="J122" s="768"/>
      <c r="K122" s="734"/>
      <c r="L122" s="760"/>
      <c r="M122" s="363" t="s">
        <v>50</v>
      </c>
      <c r="N122" s="363" t="s">
        <v>474</v>
      </c>
      <c r="O122" s="558" t="s">
        <v>327</v>
      </c>
      <c r="P122" s="229">
        <v>42520</v>
      </c>
      <c r="Q122" s="654"/>
      <c r="R122" s="367" t="s">
        <v>51</v>
      </c>
      <c r="S122" s="46"/>
      <c r="T122" s="367"/>
      <c r="U122" s="383">
        <f t="shared" si="68"/>
        <v>1</v>
      </c>
      <c r="V122" s="800"/>
      <c r="W122" s="383">
        <f t="shared" si="69"/>
        <v>-41909</v>
      </c>
      <c r="X122" s="803" t="s">
        <v>336</v>
      </c>
    </row>
    <row r="123" spans="1:24" ht="167.25" hidden="1" customHeight="1" x14ac:dyDescent="0.2">
      <c r="A123" s="726"/>
      <c r="B123" s="728"/>
      <c r="C123" s="728"/>
      <c r="D123" s="730"/>
      <c r="E123" s="728"/>
      <c r="F123" s="722"/>
      <c r="G123" s="732"/>
      <c r="H123" s="746"/>
      <c r="I123" s="724"/>
      <c r="J123" s="724"/>
      <c r="K123" s="726"/>
      <c r="L123" s="732"/>
      <c r="M123" s="363" t="s">
        <v>50</v>
      </c>
      <c r="N123" s="363" t="s">
        <v>324</v>
      </c>
      <c r="O123" s="558" t="s">
        <v>328</v>
      </c>
      <c r="P123" s="229">
        <v>42520</v>
      </c>
      <c r="Q123" s="654"/>
      <c r="R123" s="367" t="s">
        <v>51</v>
      </c>
      <c r="S123" s="46"/>
      <c r="T123" s="367"/>
      <c r="U123" s="383">
        <f>DAYS360(G120,L120,0)+1</f>
        <v>114</v>
      </c>
      <c r="V123" s="801"/>
      <c r="W123" s="383">
        <f t="shared" si="69"/>
        <v>-41909</v>
      </c>
      <c r="X123" s="804" t="s">
        <v>336</v>
      </c>
    </row>
    <row r="124" spans="1:24" ht="136.5" customHeight="1" x14ac:dyDescent="0.2">
      <c r="A124" s="725">
        <v>72</v>
      </c>
      <c r="B124" s="744" t="s">
        <v>25</v>
      </c>
      <c r="C124" s="744" t="s">
        <v>191</v>
      </c>
      <c r="D124" s="729" t="s">
        <v>43</v>
      </c>
      <c r="E124" s="727" t="s">
        <v>0</v>
      </c>
      <c r="F124" s="721" t="s">
        <v>59</v>
      </c>
      <c r="G124" s="731">
        <v>42004</v>
      </c>
      <c r="H124" s="744" t="s">
        <v>506</v>
      </c>
      <c r="I124" s="723" t="s">
        <v>78</v>
      </c>
      <c r="J124" s="723" t="s">
        <v>134</v>
      </c>
      <c r="K124" s="725" t="s">
        <v>79</v>
      </c>
      <c r="L124" s="46">
        <v>42117</v>
      </c>
      <c r="M124" s="363" t="s">
        <v>50</v>
      </c>
      <c r="N124" s="363" t="s">
        <v>322</v>
      </c>
      <c r="O124" s="558" t="s">
        <v>509</v>
      </c>
      <c r="P124" s="229">
        <v>42369</v>
      </c>
      <c r="Q124" s="654"/>
      <c r="R124" s="367" t="s">
        <v>55</v>
      </c>
      <c r="S124" s="46">
        <v>42451</v>
      </c>
      <c r="T124" s="363" t="s">
        <v>508</v>
      </c>
      <c r="U124" s="551">
        <f>DAYS360(G121,L121,0)+1</f>
        <v>1</v>
      </c>
      <c r="V124" s="800" t="s">
        <v>858</v>
      </c>
      <c r="W124" s="383">
        <f t="shared" ref="W124:W125" si="70">DAYS360(P124,S124,0)+1</f>
        <v>83</v>
      </c>
      <c r="X124" s="803" t="s">
        <v>336</v>
      </c>
    </row>
    <row r="125" spans="1:24" ht="135.75" hidden="1" customHeight="1" x14ac:dyDescent="0.2">
      <c r="A125" s="726"/>
      <c r="B125" s="746"/>
      <c r="C125" s="746"/>
      <c r="D125" s="730"/>
      <c r="E125" s="728"/>
      <c r="F125" s="722"/>
      <c r="G125" s="732"/>
      <c r="H125" s="746"/>
      <c r="I125" s="724"/>
      <c r="J125" s="724"/>
      <c r="K125" s="726"/>
      <c r="L125" s="46">
        <v>42117</v>
      </c>
      <c r="M125" s="363" t="s">
        <v>50</v>
      </c>
      <c r="N125" s="363" t="s">
        <v>322</v>
      </c>
      <c r="O125" s="558" t="s">
        <v>510</v>
      </c>
      <c r="P125" s="229">
        <v>42369</v>
      </c>
      <c r="Q125" s="654"/>
      <c r="R125" s="367" t="s">
        <v>55</v>
      </c>
      <c r="S125" s="46">
        <v>42451</v>
      </c>
      <c r="T125" s="363" t="s">
        <v>504</v>
      </c>
      <c r="U125" s="383">
        <f>DAYS360(G124,L124,0)+1</f>
        <v>114</v>
      </c>
      <c r="V125" s="801"/>
      <c r="W125" s="383">
        <f t="shared" si="70"/>
        <v>83</v>
      </c>
      <c r="X125" s="804" t="s">
        <v>336</v>
      </c>
    </row>
    <row r="126" spans="1:24" ht="174.75" hidden="1" customHeight="1" x14ac:dyDescent="0.2">
      <c r="A126" s="725">
        <v>73</v>
      </c>
      <c r="B126" s="727" t="s">
        <v>65</v>
      </c>
      <c r="C126" s="727" t="s">
        <v>184</v>
      </c>
      <c r="D126" s="765" t="s">
        <v>184</v>
      </c>
      <c r="E126" s="727" t="s">
        <v>0</v>
      </c>
      <c r="F126" s="721" t="s">
        <v>58</v>
      </c>
      <c r="G126" s="731">
        <v>42095</v>
      </c>
      <c r="H126" s="727" t="s">
        <v>305</v>
      </c>
      <c r="I126" s="723" t="s">
        <v>78</v>
      </c>
      <c r="J126" s="723" t="s">
        <v>134</v>
      </c>
      <c r="K126" s="725" t="s">
        <v>79</v>
      </c>
      <c r="L126" s="731">
        <v>42095</v>
      </c>
      <c r="M126" s="363" t="s">
        <v>50</v>
      </c>
      <c r="N126" s="221" t="s">
        <v>306</v>
      </c>
      <c r="O126" s="558" t="s">
        <v>475</v>
      </c>
      <c r="P126" s="46">
        <v>42338</v>
      </c>
      <c r="Q126" s="654"/>
      <c r="R126" s="367" t="s">
        <v>55</v>
      </c>
      <c r="S126" s="46">
        <v>42394</v>
      </c>
      <c r="T126" s="363" t="s">
        <v>581</v>
      </c>
      <c r="U126" s="551">
        <f>DAYS360(G125,L125,0)+1</f>
        <v>41514</v>
      </c>
      <c r="V126" s="800" t="s">
        <v>858</v>
      </c>
      <c r="W126" s="383">
        <f t="shared" ref="W126:W138" si="71">DAYS360(P126,S126,0)+1</f>
        <v>56</v>
      </c>
      <c r="X126" s="798" t="s">
        <v>336</v>
      </c>
    </row>
    <row r="127" spans="1:24" ht="82.5" hidden="1" customHeight="1" x14ac:dyDescent="0.2">
      <c r="A127" s="734"/>
      <c r="B127" s="743"/>
      <c r="C127" s="743"/>
      <c r="D127" s="766"/>
      <c r="E127" s="743"/>
      <c r="F127" s="741"/>
      <c r="G127" s="760"/>
      <c r="H127" s="743"/>
      <c r="I127" s="768"/>
      <c r="J127" s="768"/>
      <c r="K127" s="734"/>
      <c r="L127" s="760"/>
      <c r="M127" s="363" t="s">
        <v>50</v>
      </c>
      <c r="N127" s="221" t="s">
        <v>476</v>
      </c>
      <c r="O127" s="558" t="s">
        <v>477</v>
      </c>
      <c r="P127" s="46">
        <v>42308</v>
      </c>
      <c r="Q127" s="654"/>
      <c r="R127" s="367" t="s">
        <v>55</v>
      </c>
      <c r="S127" s="46">
        <v>42394</v>
      </c>
      <c r="T127" s="363" t="s">
        <v>580</v>
      </c>
      <c r="U127" s="383">
        <f t="shared" ref="U127" si="72">DAYS360(G127,L127,0)+1</f>
        <v>1</v>
      </c>
      <c r="V127" s="800"/>
      <c r="W127" s="383">
        <f t="shared" si="71"/>
        <v>86</v>
      </c>
      <c r="X127" s="798" t="s">
        <v>336</v>
      </c>
    </row>
    <row r="128" spans="1:24" ht="110.25" hidden="1" customHeight="1" x14ac:dyDescent="0.2">
      <c r="A128" s="726"/>
      <c r="B128" s="728"/>
      <c r="C128" s="728"/>
      <c r="D128" s="767"/>
      <c r="E128" s="728"/>
      <c r="F128" s="722"/>
      <c r="G128" s="732"/>
      <c r="H128" s="728"/>
      <c r="I128" s="724"/>
      <c r="J128" s="724"/>
      <c r="K128" s="726"/>
      <c r="L128" s="732"/>
      <c r="M128" s="363" t="s">
        <v>50</v>
      </c>
      <c r="N128" s="221" t="s">
        <v>59</v>
      </c>
      <c r="O128" s="558" t="s">
        <v>307</v>
      </c>
      <c r="P128" s="46">
        <v>42185</v>
      </c>
      <c r="Q128" s="654"/>
      <c r="R128" s="367" t="s">
        <v>55</v>
      </c>
      <c r="S128" s="46">
        <v>42467</v>
      </c>
      <c r="T128" s="363" t="s">
        <v>580</v>
      </c>
      <c r="U128" s="383">
        <f>DAYS360(G126,L126,0)+1</f>
        <v>1</v>
      </c>
      <c r="V128" s="801"/>
      <c r="W128" s="383">
        <f t="shared" si="71"/>
        <v>278</v>
      </c>
      <c r="X128" s="799" t="s">
        <v>336</v>
      </c>
    </row>
    <row r="129" spans="1:27" ht="100.5" hidden="1" customHeight="1" x14ac:dyDescent="0.2">
      <c r="A129" s="367">
        <f>+A126+1</f>
        <v>74</v>
      </c>
      <c r="B129" s="363" t="s">
        <v>65</v>
      </c>
      <c r="C129" s="363" t="s">
        <v>184</v>
      </c>
      <c r="D129" s="339" t="s">
        <v>184</v>
      </c>
      <c r="E129" s="371" t="s">
        <v>0</v>
      </c>
      <c r="F129" s="364" t="s">
        <v>58</v>
      </c>
      <c r="G129" s="46">
        <v>42095</v>
      </c>
      <c r="H129" s="421" t="s">
        <v>308</v>
      </c>
      <c r="I129" s="373" t="s">
        <v>78</v>
      </c>
      <c r="J129" s="373" t="s">
        <v>134</v>
      </c>
      <c r="K129" s="159" t="s">
        <v>79</v>
      </c>
      <c r="L129" s="46">
        <v>42095</v>
      </c>
      <c r="M129" s="363" t="s">
        <v>104</v>
      </c>
      <c r="N129" s="221" t="s">
        <v>59</v>
      </c>
      <c r="O129" s="558" t="s">
        <v>309</v>
      </c>
      <c r="P129" s="46">
        <v>42185</v>
      </c>
      <c r="Q129" s="654"/>
      <c r="R129" s="367" t="s">
        <v>55</v>
      </c>
      <c r="S129" s="46">
        <v>42467</v>
      </c>
      <c r="T129" s="363" t="s">
        <v>582</v>
      </c>
      <c r="U129" s="383">
        <f t="shared" ref="U129:U130" si="73">DAYS360(G129,L129,0)+1</f>
        <v>1</v>
      </c>
      <c r="V129" s="375" t="str">
        <f t="shared" ref="V129:V130" si="74">IF(U129&gt;7,"Inoportuno",(IF(U129&lt;0,"No ha formulado PM","Oportuno")))</f>
        <v>Oportuno</v>
      </c>
      <c r="W129" s="383">
        <f t="shared" si="71"/>
        <v>278</v>
      </c>
      <c r="X129" s="241" t="s">
        <v>336</v>
      </c>
    </row>
    <row r="130" spans="1:27" ht="114" hidden="1" customHeight="1" x14ac:dyDescent="0.2">
      <c r="A130" s="367">
        <f t="shared" ref="A130:A145" si="75">+A129+1</f>
        <v>75</v>
      </c>
      <c r="B130" s="363" t="s">
        <v>65</v>
      </c>
      <c r="C130" s="363" t="s">
        <v>184</v>
      </c>
      <c r="D130" s="339" t="s">
        <v>184</v>
      </c>
      <c r="E130" s="371" t="s">
        <v>0</v>
      </c>
      <c r="F130" s="364" t="s">
        <v>58</v>
      </c>
      <c r="G130" s="46">
        <v>42095</v>
      </c>
      <c r="H130" s="421" t="s">
        <v>311</v>
      </c>
      <c r="I130" s="373" t="s">
        <v>78</v>
      </c>
      <c r="J130" s="373" t="s">
        <v>134</v>
      </c>
      <c r="K130" s="159" t="s">
        <v>79</v>
      </c>
      <c r="L130" s="46">
        <v>42095</v>
      </c>
      <c r="M130" s="363" t="s">
        <v>50</v>
      </c>
      <c r="N130" s="221" t="s">
        <v>59</v>
      </c>
      <c r="O130" s="558" t="s">
        <v>310</v>
      </c>
      <c r="P130" s="46">
        <v>42185</v>
      </c>
      <c r="Q130" s="654"/>
      <c r="R130" s="367" t="s">
        <v>55</v>
      </c>
      <c r="S130" s="46">
        <v>42467</v>
      </c>
      <c r="T130" s="363" t="s">
        <v>582</v>
      </c>
      <c r="U130" s="383">
        <f t="shared" si="73"/>
        <v>1</v>
      </c>
      <c r="V130" s="375" t="str">
        <f t="shared" si="74"/>
        <v>Oportuno</v>
      </c>
      <c r="W130" s="383">
        <f t="shared" si="71"/>
        <v>278</v>
      </c>
      <c r="X130" s="241" t="s">
        <v>336</v>
      </c>
    </row>
    <row r="131" spans="1:27" ht="409.5" hidden="1" customHeight="1" x14ac:dyDescent="0.2">
      <c r="A131" s="367">
        <f t="shared" si="75"/>
        <v>76</v>
      </c>
      <c r="B131" s="363" t="s">
        <v>49</v>
      </c>
      <c r="C131" s="363" t="s">
        <v>314</v>
      </c>
      <c r="D131" s="339" t="s">
        <v>43</v>
      </c>
      <c r="E131" s="371" t="s">
        <v>0</v>
      </c>
      <c r="F131" s="364" t="s">
        <v>59</v>
      </c>
      <c r="G131" s="46">
        <v>42116</v>
      </c>
      <c r="H131" s="562" t="s">
        <v>315</v>
      </c>
      <c r="I131" s="373" t="s">
        <v>78</v>
      </c>
      <c r="J131" s="373" t="s">
        <v>134</v>
      </c>
      <c r="K131" s="159" t="s">
        <v>79</v>
      </c>
      <c r="L131" s="46">
        <v>42228</v>
      </c>
      <c r="M131" s="363" t="s">
        <v>50</v>
      </c>
      <c r="N131" s="283">
        <v>42369</v>
      </c>
      <c r="O131" s="558" t="s">
        <v>785</v>
      </c>
      <c r="P131" s="46">
        <v>42369</v>
      </c>
      <c r="Q131" s="654"/>
      <c r="R131" s="367" t="s">
        <v>55</v>
      </c>
      <c r="S131" s="46">
        <v>42582</v>
      </c>
      <c r="T131" s="484" t="s">
        <v>786</v>
      </c>
      <c r="U131" s="383">
        <f t="shared" ref="U131:U133" si="76">DAYS360(G131,L131,0)+1</f>
        <v>111</v>
      </c>
      <c r="V131" s="375" t="str">
        <f t="shared" ref="V131:V133" si="77">IF(U131&gt;7,"Inoportuno",(IF(U131&lt;0,"No ha formulado PM","Oportuno")))</f>
        <v>Inoportuno</v>
      </c>
      <c r="W131" s="383">
        <f t="shared" ref="W131:W133" si="78">DAYS360(P131,S131,0)+1</f>
        <v>211</v>
      </c>
      <c r="X131" s="241" t="s">
        <v>336</v>
      </c>
    </row>
    <row r="132" spans="1:27" ht="238.5" hidden="1" customHeight="1" x14ac:dyDescent="0.2">
      <c r="A132" s="367">
        <f t="shared" si="75"/>
        <v>77</v>
      </c>
      <c r="B132" s="363" t="s">
        <v>49</v>
      </c>
      <c r="C132" s="363" t="s">
        <v>314</v>
      </c>
      <c r="D132" s="339" t="s">
        <v>43</v>
      </c>
      <c r="E132" s="371" t="s">
        <v>0</v>
      </c>
      <c r="F132" s="364" t="s">
        <v>59</v>
      </c>
      <c r="G132" s="46">
        <v>42116</v>
      </c>
      <c r="H132" s="562" t="s">
        <v>316</v>
      </c>
      <c r="I132" s="373" t="s">
        <v>78</v>
      </c>
      <c r="J132" s="373" t="s">
        <v>134</v>
      </c>
      <c r="K132" s="159" t="s">
        <v>79</v>
      </c>
      <c r="L132" s="46">
        <v>42228</v>
      </c>
      <c r="M132" s="363" t="s">
        <v>50</v>
      </c>
      <c r="N132" s="222" t="s">
        <v>347</v>
      </c>
      <c r="O132" s="558" t="s">
        <v>346</v>
      </c>
      <c r="P132" s="46">
        <v>42277</v>
      </c>
      <c r="Q132" s="654"/>
      <c r="R132" s="367" t="s">
        <v>55</v>
      </c>
      <c r="S132" s="46">
        <v>42947</v>
      </c>
      <c r="T132" s="484" t="s">
        <v>848</v>
      </c>
      <c r="U132" s="383">
        <f t="shared" si="76"/>
        <v>111</v>
      </c>
      <c r="V132" s="375" t="str">
        <f t="shared" si="77"/>
        <v>Inoportuno</v>
      </c>
      <c r="W132" s="383">
        <f t="shared" si="78"/>
        <v>661</v>
      </c>
      <c r="X132" s="241" t="s">
        <v>336</v>
      </c>
    </row>
    <row r="133" spans="1:27" ht="281.25" hidden="1" customHeight="1" x14ac:dyDescent="0.2">
      <c r="A133" s="367">
        <f t="shared" si="75"/>
        <v>78</v>
      </c>
      <c r="B133" s="363" t="s">
        <v>49</v>
      </c>
      <c r="C133" s="363" t="s">
        <v>314</v>
      </c>
      <c r="D133" s="339" t="s">
        <v>43</v>
      </c>
      <c r="E133" s="371" t="s">
        <v>0</v>
      </c>
      <c r="F133" s="364" t="s">
        <v>59</v>
      </c>
      <c r="G133" s="46">
        <v>42116</v>
      </c>
      <c r="H133" s="567" t="s">
        <v>317</v>
      </c>
      <c r="I133" s="373" t="s">
        <v>78</v>
      </c>
      <c r="J133" s="373" t="s">
        <v>134</v>
      </c>
      <c r="K133" s="159" t="s">
        <v>79</v>
      </c>
      <c r="L133" s="46">
        <v>42228</v>
      </c>
      <c r="M133" s="363" t="s">
        <v>50</v>
      </c>
      <c r="N133" s="222" t="s">
        <v>351</v>
      </c>
      <c r="O133" s="558" t="s">
        <v>348</v>
      </c>
      <c r="P133" s="46">
        <v>42460</v>
      </c>
      <c r="Q133" s="654" t="s">
        <v>1013</v>
      </c>
      <c r="R133" s="367" t="s">
        <v>55</v>
      </c>
      <c r="S133" s="46">
        <v>42947</v>
      </c>
      <c r="T133" s="486" t="s">
        <v>1014</v>
      </c>
      <c r="U133" s="383">
        <f t="shared" si="76"/>
        <v>111</v>
      </c>
      <c r="V133" s="375" t="str">
        <f t="shared" si="77"/>
        <v>Inoportuno</v>
      </c>
      <c r="W133" s="383">
        <f t="shared" si="78"/>
        <v>481</v>
      </c>
      <c r="X133" s="241" t="s">
        <v>336</v>
      </c>
    </row>
    <row r="134" spans="1:27" ht="81.75" hidden="1" customHeight="1" x14ac:dyDescent="0.2">
      <c r="A134" s="367">
        <f t="shared" si="75"/>
        <v>79</v>
      </c>
      <c r="B134" s="371" t="s">
        <v>333</v>
      </c>
      <c r="C134" s="363" t="s">
        <v>397</v>
      </c>
      <c r="D134" s="339" t="s">
        <v>43</v>
      </c>
      <c r="E134" s="371" t="s">
        <v>0</v>
      </c>
      <c r="F134" s="364" t="s">
        <v>52</v>
      </c>
      <c r="G134" s="46">
        <v>42130</v>
      </c>
      <c r="H134" s="562" t="s">
        <v>318</v>
      </c>
      <c r="I134" s="373" t="s">
        <v>78</v>
      </c>
      <c r="J134" s="373" t="s">
        <v>134</v>
      </c>
      <c r="K134" s="159" t="s">
        <v>79</v>
      </c>
      <c r="L134" s="46">
        <v>42508</v>
      </c>
      <c r="M134" s="363" t="s">
        <v>104</v>
      </c>
      <c r="N134" s="363" t="s">
        <v>136</v>
      </c>
      <c r="O134" s="558" t="s">
        <v>562</v>
      </c>
      <c r="P134" s="46">
        <v>42531</v>
      </c>
      <c r="Q134" s="654"/>
      <c r="R134" s="367" t="s">
        <v>55</v>
      </c>
      <c r="S134" s="46">
        <v>42706</v>
      </c>
      <c r="T134" s="367" t="s">
        <v>849</v>
      </c>
      <c r="U134" s="383">
        <f t="shared" ref="U134:U143" si="79">DAYS360(G134,L134,0)+1</f>
        <v>373</v>
      </c>
      <c r="V134" s="375" t="str">
        <f t="shared" si="63"/>
        <v>Inoportuno</v>
      </c>
      <c r="W134" s="383">
        <f t="shared" si="71"/>
        <v>173</v>
      </c>
      <c r="X134" s="241" t="s">
        <v>336</v>
      </c>
    </row>
    <row r="135" spans="1:27" ht="120.75" hidden="1" customHeight="1" x14ac:dyDescent="0.2">
      <c r="A135" s="367">
        <f t="shared" si="75"/>
        <v>80</v>
      </c>
      <c r="B135" s="371" t="s">
        <v>333</v>
      </c>
      <c r="C135" s="363" t="s">
        <v>397</v>
      </c>
      <c r="D135" s="339" t="s">
        <v>43</v>
      </c>
      <c r="E135" s="371" t="s">
        <v>0</v>
      </c>
      <c r="F135" s="364" t="s">
        <v>52</v>
      </c>
      <c r="G135" s="46">
        <v>42130</v>
      </c>
      <c r="H135" s="554" t="s">
        <v>382</v>
      </c>
      <c r="I135" s="373" t="s">
        <v>78</v>
      </c>
      <c r="J135" s="459" t="s">
        <v>134</v>
      </c>
      <c r="K135" s="159" t="s">
        <v>79</v>
      </c>
      <c r="L135" s="46">
        <v>42508</v>
      </c>
      <c r="M135" s="363" t="s">
        <v>104</v>
      </c>
      <c r="N135" s="305" t="s">
        <v>563</v>
      </c>
      <c r="O135" s="558" t="s">
        <v>564</v>
      </c>
      <c r="P135" s="46">
        <v>42531</v>
      </c>
      <c r="Q135" s="654"/>
      <c r="R135" s="458" t="s">
        <v>55</v>
      </c>
      <c r="S135" s="461">
        <v>42706</v>
      </c>
      <c r="T135" s="367" t="s">
        <v>850</v>
      </c>
      <c r="U135" s="383">
        <f t="shared" si="79"/>
        <v>373</v>
      </c>
      <c r="V135" s="375" t="str">
        <f t="shared" si="63"/>
        <v>Inoportuno</v>
      </c>
      <c r="W135" s="383">
        <f t="shared" si="71"/>
        <v>173</v>
      </c>
      <c r="X135" s="241" t="s">
        <v>336</v>
      </c>
    </row>
    <row r="136" spans="1:27" ht="96" hidden="1" customHeight="1" x14ac:dyDescent="0.2">
      <c r="A136" s="367">
        <f t="shared" si="75"/>
        <v>81</v>
      </c>
      <c r="B136" s="371" t="s">
        <v>333</v>
      </c>
      <c r="C136" s="363" t="s">
        <v>397</v>
      </c>
      <c r="D136" s="339" t="s">
        <v>43</v>
      </c>
      <c r="E136" s="371" t="s">
        <v>0</v>
      </c>
      <c r="F136" s="364" t="s">
        <v>52</v>
      </c>
      <c r="G136" s="46">
        <v>42130</v>
      </c>
      <c r="H136" s="548" t="s">
        <v>319</v>
      </c>
      <c r="I136" s="373" t="s">
        <v>78</v>
      </c>
      <c r="J136" s="373" t="s">
        <v>134</v>
      </c>
      <c r="K136" s="159" t="s">
        <v>79</v>
      </c>
      <c r="L136" s="46">
        <v>42130</v>
      </c>
      <c r="M136" s="363" t="s">
        <v>104</v>
      </c>
      <c r="N136" s="363" t="s">
        <v>511</v>
      </c>
      <c r="O136" s="558" t="s">
        <v>512</v>
      </c>
      <c r="P136" s="46">
        <v>42130</v>
      </c>
      <c r="Q136" s="654"/>
      <c r="R136" s="367" t="s">
        <v>55</v>
      </c>
      <c r="S136" s="46">
        <v>41765</v>
      </c>
      <c r="T136" s="222" t="s">
        <v>512</v>
      </c>
      <c r="U136" s="383">
        <f t="shared" si="79"/>
        <v>1</v>
      </c>
      <c r="V136" s="375" t="str">
        <f t="shared" si="63"/>
        <v>Oportuno</v>
      </c>
      <c r="W136" s="383">
        <f t="shared" si="71"/>
        <v>-359</v>
      </c>
      <c r="X136" s="241" t="s">
        <v>336</v>
      </c>
    </row>
    <row r="137" spans="1:27" ht="72" hidden="1" customHeight="1" x14ac:dyDescent="0.2">
      <c r="A137" s="367">
        <f t="shared" si="75"/>
        <v>82</v>
      </c>
      <c r="B137" s="371" t="s">
        <v>333</v>
      </c>
      <c r="C137" s="363" t="s">
        <v>397</v>
      </c>
      <c r="D137" s="339" t="s">
        <v>43</v>
      </c>
      <c r="E137" s="371" t="s">
        <v>0</v>
      </c>
      <c r="F137" s="364" t="s">
        <v>52</v>
      </c>
      <c r="G137" s="46">
        <v>42130</v>
      </c>
      <c r="H137" s="548" t="s">
        <v>320</v>
      </c>
      <c r="I137" s="373" t="s">
        <v>78</v>
      </c>
      <c r="J137" s="373" t="s">
        <v>134</v>
      </c>
      <c r="K137" s="159" t="s">
        <v>79</v>
      </c>
      <c r="L137" s="46">
        <v>42130</v>
      </c>
      <c r="M137" s="363" t="s">
        <v>104</v>
      </c>
      <c r="N137" s="363" t="s">
        <v>511</v>
      </c>
      <c r="O137" s="558" t="s">
        <v>512</v>
      </c>
      <c r="P137" s="46">
        <v>42130</v>
      </c>
      <c r="Q137" s="654"/>
      <c r="R137" s="367" t="s">
        <v>55</v>
      </c>
      <c r="S137" s="46">
        <v>41765</v>
      </c>
      <c r="T137" s="222" t="s">
        <v>512</v>
      </c>
      <c r="U137" s="383">
        <f t="shared" si="79"/>
        <v>1</v>
      </c>
      <c r="V137" s="375" t="str">
        <f t="shared" si="63"/>
        <v>Oportuno</v>
      </c>
      <c r="W137" s="383">
        <f t="shared" si="71"/>
        <v>-359</v>
      </c>
      <c r="X137" s="241" t="s">
        <v>336</v>
      </c>
    </row>
    <row r="138" spans="1:27" ht="121.5" hidden="1" customHeight="1" x14ac:dyDescent="0.2">
      <c r="A138" s="367">
        <f t="shared" si="75"/>
        <v>83</v>
      </c>
      <c r="B138" s="371" t="s">
        <v>333</v>
      </c>
      <c r="C138" s="363" t="s">
        <v>397</v>
      </c>
      <c r="D138" s="339" t="s">
        <v>43</v>
      </c>
      <c r="E138" s="371" t="s">
        <v>0</v>
      </c>
      <c r="F138" s="364" t="s">
        <v>52</v>
      </c>
      <c r="G138" s="46">
        <v>42130</v>
      </c>
      <c r="H138" s="554" t="s">
        <v>383</v>
      </c>
      <c r="I138" s="373" t="s">
        <v>78</v>
      </c>
      <c r="J138" s="373" t="s">
        <v>134</v>
      </c>
      <c r="K138" s="159" t="s">
        <v>79</v>
      </c>
      <c r="L138" s="46">
        <v>42508</v>
      </c>
      <c r="M138" s="363" t="s">
        <v>104</v>
      </c>
      <c r="N138" s="363" t="s">
        <v>136</v>
      </c>
      <c r="O138" s="558" t="s">
        <v>565</v>
      </c>
      <c r="P138" s="46">
        <v>42531</v>
      </c>
      <c r="Q138" s="654"/>
      <c r="R138" s="367" t="s">
        <v>55</v>
      </c>
      <c r="S138" s="46">
        <v>42706</v>
      </c>
      <c r="T138" s="367" t="s">
        <v>851</v>
      </c>
      <c r="U138" s="383">
        <f t="shared" si="79"/>
        <v>373</v>
      </c>
      <c r="V138" s="375" t="str">
        <f t="shared" si="63"/>
        <v>Inoportuno</v>
      </c>
      <c r="W138" s="383">
        <f t="shared" si="71"/>
        <v>173</v>
      </c>
      <c r="X138" s="241" t="s">
        <v>336</v>
      </c>
    </row>
    <row r="139" spans="1:27" ht="126.75" hidden="1" customHeight="1" x14ac:dyDescent="0.2">
      <c r="A139" s="242">
        <f t="shared" si="75"/>
        <v>84</v>
      </c>
      <c r="B139" s="363" t="s">
        <v>2</v>
      </c>
      <c r="C139" s="363" t="s">
        <v>2</v>
      </c>
      <c r="D139" s="369" t="s">
        <v>43</v>
      </c>
      <c r="E139" s="371" t="s">
        <v>0</v>
      </c>
      <c r="F139" s="421" t="s">
        <v>58</v>
      </c>
      <c r="G139" s="46">
        <v>42234</v>
      </c>
      <c r="H139" s="421" t="s">
        <v>354</v>
      </c>
      <c r="I139" s="373" t="s">
        <v>78</v>
      </c>
      <c r="J139" s="373" t="s">
        <v>134</v>
      </c>
      <c r="K139" s="539" t="s">
        <v>79</v>
      </c>
      <c r="L139" s="46">
        <v>42243</v>
      </c>
      <c r="M139" s="363" t="s">
        <v>50</v>
      </c>
      <c r="N139" s="222" t="s">
        <v>352</v>
      </c>
      <c r="O139" s="558" t="s">
        <v>356</v>
      </c>
      <c r="P139" s="228">
        <v>42248</v>
      </c>
      <c r="Q139" s="677" t="s">
        <v>1068</v>
      </c>
      <c r="R139" s="367" t="s">
        <v>55</v>
      </c>
      <c r="S139" s="46">
        <v>42734</v>
      </c>
      <c r="T139" s="677" t="s">
        <v>1069</v>
      </c>
      <c r="U139" s="551">
        <f t="shared" si="79"/>
        <v>10</v>
      </c>
      <c r="V139" s="375" t="s">
        <v>859</v>
      </c>
      <c r="W139" s="383">
        <f t="shared" ref="W139" si="80">DAYS360(P139,S139,0)+1</f>
        <v>480</v>
      </c>
      <c r="X139" s="378" t="s">
        <v>336</v>
      </c>
    </row>
    <row r="140" spans="1:27" ht="117.75" hidden="1" customHeight="1" x14ac:dyDescent="0.2">
      <c r="A140" s="242">
        <f t="shared" si="75"/>
        <v>85</v>
      </c>
      <c r="B140" s="363" t="s">
        <v>2</v>
      </c>
      <c r="C140" s="363" t="s">
        <v>2</v>
      </c>
      <c r="D140" s="369" t="s">
        <v>43</v>
      </c>
      <c r="E140" s="371" t="s">
        <v>0</v>
      </c>
      <c r="F140" s="421" t="s">
        <v>58</v>
      </c>
      <c r="G140" s="46">
        <v>42234</v>
      </c>
      <c r="H140" s="421" t="s">
        <v>355</v>
      </c>
      <c r="I140" s="373" t="s">
        <v>78</v>
      </c>
      <c r="J140" s="373" t="s">
        <v>134</v>
      </c>
      <c r="K140" s="539" t="s">
        <v>79</v>
      </c>
      <c r="L140" s="46">
        <v>42243</v>
      </c>
      <c r="M140" s="363" t="s">
        <v>50</v>
      </c>
      <c r="N140" s="222" t="s">
        <v>352</v>
      </c>
      <c r="O140" s="558" t="s">
        <v>357</v>
      </c>
      <c r="P140" s="228">
        <v>42369</v>
      </c>
      <c r="Q140" s="654" t="s">
        <v>1070</v>
      </c>
      <c r="R140" s="367" t="s">
        <v>55</v>
      </c>
      <c r="S140" s="46">
        <v>42734</v>
      </c>
      <c r="T140" s="579" t="s">
        <v>1069</v>
      </c>
      <c r="U140" s="551">
        <f t="shared" si="79"/>
        <v>10</v>
      </c>
      <c r="V140" s="375" t="s">
        <v>859</v>
      </c>
      <c r="W140" s="383">
        <f t="shared" ref="W140:W141" si="81">DAYS360(P140,S140,0)+1</f>
        <v>361</v>
      </c>
      <c r="X140" s="378" t="s">
        <v>336</v>
      </c>
    </row>
    <row r="141" spans="1:27" ht="216.75" hidden="1" customHeight="1" x14ac:dyDescent="0.2">
      <c r="A141" s="764">
        <v>86</v>
      </c>
      <c r="B141" s="594" t="s">
        <v>2</v>
      </c>
      <c r="C141" s="720" t="s">
        <v>2</v>
      </c>
      <c r="D141" s="738" t="s">
        <v>43</v>
      </c>
      <c r="E141" s="720" t="s">
        <v>0</v>
      </c>
      <c r="F141" s="720" t="s">
        <v>58</v>
      </c>
      <c r="G141" s="757">
        <v>42234</v>
      </c>
      <c r="H141" s="720" t="s">
        <v>358</v>
      </c>
      <c r="I141" s="755" t="s">
        <v>78</v>
      </c>
      <c r="J141" s="755" t="s">
        <v>134</v>
      </c>
      <c r="K141" s="725" t="s">
        <v>79</v>
      </c>
      <c r="L141" s="731">
        <v>42243</v>
      </c>
      <c r="M141" s="363" t="s">
        <v>104</v>
      </c>
      <c r="N141" s="222" t="s">
        <v>352</v>
      </c>
      <c r="O141" s="558" t="s">
        <v>359</v>
      </c>
      <c r="P141" s="228">
        <v>42369</v>
      </c>
      <c r="Q141" s="654" t="s">
        <v>1103</v>
      </c>
      <c r="R141" s="367" t="s">
        <v>55</v>
      </c>
      <c r="S141" s="46">
        <v>42944</v>
      </c>
      <c r="T141" s="367" t="s">
        <v>1051</v>
      </c>
      <c r="U141" s="551">
        <f t="shared" si="79"/>
        <v>10</v>
      </c>
      <c r="V141" s="571" t="str">
        <f t="shared" ref="V141:V143" si="82">IF(U141&gt;15,"Inoportuno",(IF(U141&lt;0,"No ha formulado PM","Oportuno")))</f>
        <v>Oportuno</v>
      </c>
      <c r="W141" s="383">
        <f t="shared" si="81"/>
        <v>569</v>
      </c>
      <c r="X141" s="378" t="s">
        <v>336</v>
      </c>
    </row>
    <row r="142" spans="1:27" ht="84.75" hidden="1" customHeight="1" x14ac:dyDescent="0.2">
      <c r="A142" s="737"/>
      <c r="B142" s="594" t="s">
        <v>2</v>
      </c>
      <c r="C142" s="728"/>
      <c r="D142" s="730"/>
      <c r="E142" s="728"/>
      <c r="F142" s="728"/>
      <c r="G142" s="732"/>
      <c r="H142" s="728"/>
      <c r="I142" s="724"/>
      <c r="J142" s="724"/>
      <c r="K142" s="726"/>
      <c r="L142" s="732"/>
      <c r="M142" s="363" t="s">
        <v>50</v>
      </c>
      <c r="N142" s="222" t="s">
        <v>352</v>
      </c>
      <c r="O142" s="558" t="s">
        <v>360</v>
      </c>
      <c r="P142" s="228">
        <v>42369</v>
      </c>
      <c r="Q142" s="654"/>
      <c r="R142" s="367" t="s">
        <v>51</v>
      </c>
      <c r="S142" s="46"/>
      <c r="T142" s="367"/>
      <c r="U142" s="551">
        <f t="shared" si="79"/>
        <v>1</v>
      </c>
      <c r="V142" s="570" t="s">
        <v>859</v>
      </c>
      <c r="W142" s="383">
        <f t="shared" ref="W142" si="83">DAYS360(P142,S142,0)+1</f>
        <v>-41759</v>
      </c>
      <c r="X142" s="378" t="s">
        <v>336</v>
      </c>
    </row>
    <row r="143" spans="1:27" s="245" customFormat="1" ht="64.5" hidden="1" customHeight="1" x14ac:dyDescent="0.2">
      <c r="A143" s="367">
        <f>+A141+1</f>
        <v>87</v>
      </c>
      <c r="B143" s="379" t="s">
        <v>62</v>
      </c>
      <c r="C143" s="379" t="s">
        <v>478</v>
      </c>
      <c r="D143" s="339" t="s">
        <v>43</v>
      </c>
      <c r="E143" s="18" t="s">
        <v>0</v>
      </c>
      <c r="F143" s="421" t="s">
        <v>58</v>
      </c>
      <c r="G143" s="229">
        <v>42277</v>
      </c>
      <c r="H143" s="642" t="s">
        <v>364</v>
      </c>
      <c r="I143" s="379" t="s">
        <v>78</v>
      </c>
      <c r="J143" s="200" t="s">
        <v>134</v>
      </c>
      <c r="K143" s="243" t="s">
        <v>79</v>
      </c>
      <c r="L143" s="229">
        <v>42291</v>
      </c>
      <c r="M143" s="379" t="s">
        <v>104</v>
      </c>
      <c r="N143" s="379" t="s">
        <v>369</v>
      </c>
      <c r="O143" s="558" t="s">
        <v>479</v>
      </c>
      <c r="P143" s="229">
        <v>42460</v>
      </c>
      <c r="Q143" s="654" t="s">
        <v>972</v>
      </c>
      <c r="R143" s="242" t="s">
        <v>55</v>
      </c>
      <c r="S143" s="229">
        <v>42878</v>
      </c>
      <c r="T143" s="242" t="s">
        <v>973</v>
      </c>
      <c r="U143" s="551">
        <f t="shared" si="79"/>
        <v>15</v>
      </c>
      <c r="V143" s="244" t="str">
        <f t="shared" si="82"/>
        <v>Oportuno</v>
      </c>
      <c r="W143" s="405">
        <f t="shared" ref="W143:W144" si="84">DAYS360(P143,S143,0)+1</f>
        <v>414</v>
      </c>
      <c r="X143" s="378" t="s">
        <v>336</v>
      </c>
      <c r="Y143" s="152"/>
      <c r="Z143" s="422"/>
      <c r="AA143" s="422"/>
    </row>
    <row r="144" spans="1:27" ht="66.75" hidden="1" customHeight="1" x14ac:dyDescent="0.2">
      <c r="A144" s="462">
        <f t="shared" si="75"/>
        <v>88</v>
      </c>
      <c r="B144" s="363" t="s">
        <v>267</v>
      </c>
      <c r="C144" s="363" t="s">
        <v>370</v>
      </c>
      <c r="D144" s="361" t="s">
        <v>46</v>
      </c>
      <c r="E144" s="371" t="s">
        <v>0</v>
      </c>
      <c r="F144" s="364" t="s">
        <v>56</v>
      </c>
      <c r="G144" s="46">
        <v>42323</v>
      </c>
      <c r="H144" s="556" t="s">
        <v>371</v>
      </c>
      <c r="I144" s="364" t="s">
        <v>78</v>
      </c>
      <c r="J144" s="365" t="s">
        <v>133</v>
      </c>
      <c r="K144" s="159" t="s">
        <v>79</v>
      </c>
      <c r="L144" s="46">
        <v>42933</v>
      </c>
      <c r="M144" s="363" t="s">
        <v>104</v>
      </c>
      <c r="N144" s="264" t="s">
        <v>373</v>
      </c>
      <c r="O144" s="702" t="s">
        <v>1098</v>
      </c>
      <c r="P144" s="263">
        <v>43008</v>
      </c>
      <c r="Q144" s="677" t="s">
        <v>1058</v>
      </c>
      <c r="R144" s="367" t="s">
        <v>51</v>
      </c>
      <c r="S144" s="46"/>
      <c r="T144" s="367"/>
      <c r="U144" s="383">
        <f t="shared" ref="U144" si="85">DAYS360(G144,L144,0)+1</f>
        <v>603</v>
      </c>
      <c r="V144" s="375" t="str">
        <f t="shared" ref="V144" si="86">IF(U144&gt;15,"Inoportuno",(IF(U144&lt;0,"No ha formulado PM","Oportuno")))</f>
        <v>Inoportuno</v>
      </c>
      <c r="W144" s="405">
        <f t="shared" si="84"/>
        <v>-42389</v>
      </c>
      <c r="X144" s="374"/>
    </row>
    <row r="145" spans="1:24" ht="146.25" hidden="1" customHeight="1" x14ac:dyDescent="0.2">
      <c r="A145" s="367">
        <f t="shared" si="75"/>
        <v>89</v>
      </c>
      <c r="B145" s="363" t="s">
        <v>267</v>
      </c>
      <c r="C145" s="363" t="s">
        <v>370</v>
      </c>
      <c r="D145" s="361" t="s">
        <v>46</v>
      </c>
      <c r="E145" s="371" t="s">
        <v>0</v>
      </c>
      <c r="F145" s="364" t="s">
        <v>56</v>
      </c>
      <c r="G145" s="46">
        <v>42323</v>
      </c>
      <c r="H145" s="556" t="s">
        <v>372</v>
      </c>
      <c r="I145" s="364" t="s">
        <v>78</v>
      </c>
      <c r="J145" s="365" t="s">
        <v>133</v>
      </c>
      <c r="K145" s="159" t="s">
        <v>79</v>
      </c>
      <c r="L145" s="46">
        <v>42933</v>
      </c>
      <c r="M145" s="363" t="s">
        <v>50</v>
      </c>
      <c r="N145" s="264" t="s">
        <v>150</v>
      </c>
      <c r="O145" s="558" t="s">
        <v>1099</v>
      </c>
      <c r="P145" s="46">
        <v>43100</v>
      </c>
      <c r="Q145" s="654" t="s">
        <v>1097</v>
      </c>
      <c r="R145" s="367" t="s">
        <v>51</v>
      </c>
      <c r="S145" s="46"/>
      <c r="T145" s="367"/>
      <c r="U145" s="383">
        <f t="shared" ref="U145:U179" si="87">DAYS360(G145,L145,0)+1</f>
        <v>603</v>
      </c>
      <c r="V145" s="375" t="str">
        <f t="shared" ref="V145:V179" si="88">IF(U145&gt;15,"Inoportuno",(IF(U145&lt;0,"No ha formulado PM","Oportuno")))</f>
        <v>Inoportuno</v>
      </c>
      <c r="W145" s="383">
        <f t="shared" ref="W145:W153" si="89">DAYS360(P145,S145,0)+1</f>
        <v>-42479</v>
      </c>
      <c r="X145" s="374"/>
    </row>
    <row r="146" spans="1:24" ht="189" hidden="1" customHeight="1" x14ac:dyDescent="0.2">
      <c r="A146" s="725">
        <v>90</v>
      </c>
      <c r="B146" s="592" t="s">
        <v>61</v>
      </c>
      <c r="C146" s="727" t="s">
        <v>374</v>
      </c>
      <c r="D146" s="729" t="s">
        <v>43</v>
      </c>
      <c r="E146" s="727" t="s">
        <v>0</v>
      </c>
      <c r="F146" s="721" t="s">
        <v>60</v>
      </c>
      <c r="G146" s="731">
        <v>42341</v>
      </c>
      <c r="H146" s="758" t="s">
        <v>480</v>
      </c>
      <c r="I146" s="721" t="s">
        <v>78</v>
      </c>
      <c r="J146" s="723" t="s">
        <v>133</v>
      </c>
      <c r="K146" s="725" t="s">
        <v>79</v>
      </c>
      <c r="L146" s="731">
        <v>42348</v>
      </c>
      <c r="M146" s="363" t="s">
        <v>104</v>
      </c>
      <c r="N146" s="264" t="s">
        <v>410</v>
      </c>
      <c r="O146" s="558" t="s">
        <v>481</v>
      </c>
      <c r="P146" s="46">
        <v>42475</v>
      </c>
      <c r="Q146" s="654"/>
      <c r="R146" s="367" t="s">
        <v>51</v>
      </c>
      <c r="S146" s="46"/>
      <c r="T146" s="367"/>
      <c r="U146" s="551">
        <f t="shared" si="87"/>
        <v>8</v>
      </c>
      <c r="V146" s="375" t="str">
        <f t="shared" ref="V146:V153" si="90">IF(U146&gt;7,"Inoportuno",(IF(U146&lt;0,"No ha formulado PM","Oportuno")))</f>
        <v>Inoportuno</v>
      </c>
      <c r="W146" s="383">
        <f t="shared" si="89"/>
        <v>-41864</v>
      </c>
      <c r="X146" s="374"/>
    </row>
    <row r="147" spans="1:24" ht="189" hidden="1" customHeight="1" x14ac:dyDescent="0.2">
      <c r="A147" s="726"/>
      <c r="B147" s="592" t="s">
        <v>61</v>
      </c>
      <c r="C147" s="728"/>
      <c r="D147" s="730"/>
      <c r="E147" s="728"/>
      <c r="F147" s="722"/>
      <c r="G147" s="732"/>
      <c r="H147" s="759"/>
      <c r="I147" s="722"/>
      <c r="J147" s="724"/>
      <c r="K147" s="726"/>
      <c r="L147" s="732"/>
      <c r="M147" s="363" t="s">
        <v>50</v>
      </c>
      <c r="N147" s="264" t="s">
        <v>410</v>
      </c>
      <c r="O147" s="558" t="s">
        <v>412</v>
      </c>
      <c r="P147" s="46">
        <v>42109</v>
      </c>
      <c r="Q147" s="654"/>
      <c r="R147" s="367" t="s">
        <v>51</v>
      </c>
      <c r="S147" s="46"/>
      <c r="T147" s="367"/>
      <c r="U147" s="383">
        <f>DAYS360(G146,L146,0)+1</f>
        <v>8</v>
      </c>
      <c r="V147" s="375" t="str">
        <f t="shared" si="90"/>
        <v>Inoportuno</v>
      </c>
      <c r="W147" s="383">
        <f t="shared" si="89"/>
        <v>-41504</v>
      </c>
      <c r="X147" s="374"/>
    </row>
    <row r="148" spans="1:24" ht="99" hidden="1" customHeight="1" x14ac:dyDescent="0.2">
      <c r="A148" s="725">
        <v>91</v>
      </c>
      <c r="B148" s="592" t="s">
        <v>61</v>
      </c>
      <c r="C148" s="727" t="s">
        <v>374</v>
      </c>
      <c r="D148" s="729" t="s">
        <v>43</v>
      </c>
      <c r="E148" s="727" t="s">
        <v>0</v>
      </c>
      <c r="F148" s="721" t="s">
        <v>60</v>
      </c>
      <c r="G148" s="731">
        <v>42341</v>
      </c>
      <c r="H148" s="758" t="s">
        <v>375</v>
      </c>
      <c r="I148" s="721" t="s">
        <v>78</v>
      </c>
      <c r="J148" s="723" t="s">
        <v>133</v>
      </c>
      <c r="K148" s="725" t="s">
        <v>79</v>
      </c>
      <c r="L148" s="731">
        <v>42348</v>
      </c>
      <c r="M148" s="363" t="s">
        <v>104</v>
      </c>
      <c r="N148" s="264" t="s">
        <v>410</v>
      </c>
      <c r="O148" s="558" t="s">
        <v>455</v>
      </c>
      <c r="P148" s="46">
        <v>42460</v>
      </c>
      <c r="Q148" s="654"/>
      <c r="R148" s="367" t="s">
        <v>51</v>
      </c>
      <c r="S148" s="46"/>
      <c r="T148" s="367"/>
      <c r="U148" s="551">
        <f>DAYS360(G147,L147,0)+1</f>
        <v>1</v>
      </c>
      <c r="V148" s="375" t="str">
        <f t="shared" si="90"/>
        <v>Oportuno</v>
      </c>
      <c r="W148" s="383">
        <f t="shared" si="89"/>
        <v>-41849</v>
      </c>
      <c r="X148" s="374"/>
    </row>
    <row r="149" spans="1:24" ht="94.5" hidden="1" customHeight="1" x14ac:dyDescent="0.2">
      <c r="A149" s="734"/>
      <c r="B149" s="592" t="s">
        <v>61</v>
      </c>
      <c r="C149" s="743"/>
      <c r="D149" s="735"/>
      <c r="E149" s="743"/>
      <c r="F149" s="741"/>
      <c r="G149" s="760"/>
      <c r="H149" s="761"/>
      <c r="I149" s="741"/>
      <c r="J149" s="768"/>
      <c r="K149" s="734"/>
      <c r="L149" s="760"/>
      <c r="M149" s="363" t="s">
        <v>104</v>
      </c>
      <c r="N149" s="264" t="s">
        <v>410</v>
      </c>
      <c r="O149" s="558" t="s">
        <v>482</v>
      </c>
      <c r="P149" s="46">
        <v>42460</v>
      </c>
      <c r="Q149" s="654"/>
      <c r="R149" s="367" t="s">
        <v>51</v>
      </c>
      <c r="S149" s="46"/>
      <c r="T149" s="367"/>
      <c r="U149" s="383">
        <f t="shared" si="87"/>
        <v>1</v>
      </c>
      <c r="V149" s="375" t="str">
        <f t="shared" si="90"/>
        <v>Oportuno</v>
      </c>
      <c r="W149" s="383">
        <f t="shared" si="89"/>
        <v>-41849</v>
      </c>
      <c r="X149" s="374"/>
    </row>
    <row r="150" spans="1:24" ht="87.75" hidden="1" customHeight="1" x14ac:dyDescent="0.2">
      <c r="A150" s="734"/>
      <c r="B150" s="592" t="s">
        <v>61</v>
      </c>
      <c r="C150" s="743"/>
      <c r="D150" s="735"/>
      <c r="E150" s="743"/>
      <c r="F150" s="741"/>
      <c r="G150" s="760"/>
      <c r="H150" s="761"/>
      <c r="I150" s="741"/>
      <c r="J150" s="768"/>
      <c r="K150" s="734"/>
      <c r="L150" s="760"/>
      <c r="M150" s="363" t="s">
        <v>50</v>
      </c>
      <c r="N150" s="264" t="s">
        <v>410</v>
      </c>
      <c r="O150" s="558" t="s">
        <v>483</v>
      </c>
      <c r="P150" s="46">
        <v>42460</v>
      </c>
      <c r="Q150" s="654"/>
      <c r="R150" s="367" t="s">
        <v>51</v>
      </c>
      <c r="S150" s="46"/>
      <c r="T150" s="367"/>
      <c r="U150" s="383">
        <f t="shared" si="87"/>
        <v>1</v>
      </c>
      <c r="V150" s="375" t="str">
        <f t="shared" si="90"/>
        <v>Oportuno</v>
      </c>
      <c r="W150" s="383">
        <f t="shared" si="89"/>
        <v>-41849</v>
      </c>
      <c r="X150" s="374"/>
    </row>
    <row r="151" spans="1:24" ht="87.75" hidden="1" customHeight="1" x14ac:dyDescent="0.2">
      <c r="A151" s="734"/>
      <c r="B151" s="592" t="s">
        <v>61</v>
      </c>
      <c r="C151" s="743"/>
      <c r="D151" s="735"/>
      <c r="E151" s="743"/>
      <c r="F151" s="741"/>
      <c r="G151" s="760"/>
      <c r="H151" s="761"/>
      <c r="I151" s="741"/>
      <c r="J151" s="768"/>
      <c r="K151" s="734"/>
      <c r="L151" s="760"/>
      <c r="M151" s="363" t="s">
        <v>50</v>
      </c>
      <c r="N151" s="264" t="s">
        <v>410</v>
      </c>
      <c r="O151" s="558" t="s">
        <v>411</v>
      </c>
      <c r="P151" s="46">
        <v>42460</v>
      </c>
      <c r="Q151" s="654" t="s">
        <v>731</v>
      </c>
      <c r="R151" s="367" t="s">
        <v>51</v>
      </c>
      <c r="S151" s="46"/>
      <c r="T151" s="367"/>
      <c r="U151" s="383">
        <f t="shared" si="87"/>
        <v>1</v>
      </c>
      <c r="V151" s="375" t="str">
        <f t="shared" si="90"/>
        <v>Oportuno</v>
      </c>
      <c r="W151" s="383">
        <f t="shared" si="89"/>
        <v>-41849</v>
      </c>
      <c r="X151" s="374"/>
    </row>
    <row r="152" spans="1:24" ht="87.75" hidden="1" customHeight="1" x14ac:dyDescent="0.2">
      <c r="A152" s="734"/>
      <c r="B152" s="592" t="s">
        <v>61</v>
      </c>
      <c r="C152" s="743"/>
      <c r="D152" s="730"/>
      <c r="E152" s="728"/>
      <c r="F152" s="722"/>
      <c r="G152" s="732"/>
      <c r="H152" s="759"/>
      <c r="I152" s="722"/>
      <c r="J152" s="768"/>
      <c r="K152" s="734"/>
      <c r="L152" s="760"/>
      <c r="M152" s="363" t="s">
        <v>50</v>
      </c>
      <c r="N152" s="264" t="s">
        <v>410</v>
      </c>
      <c r="O152" s="558" t="s">
        <v>440</v>
      </c>
      <c r="P152" s="46">
        <v>42400</v>
      </c>
      <c r="Q152" s="654" t="s">
        <v>860</v>
      </c>
      <c r="R152" s="367" t="s">
        <v>51</v>
      </c>
      <c r="S152" s="46"/>
      <c r="T152" s="367"/>
      <c r="U152" s="383">
        <f t="shared" si="87"/>
        <v>1</v>
      </c>
      <c r="V152" s="375" t="str">
        <f t="shared" si="90"/>
        <v>Oportuno</v>
      </c>
      <c r="W152" s="383">
        <f t="shared" si="89"/>
        <v>-41789</v>
      </c>
      <c r="X152" s="374"/>
    </row>
    <row r="153" spans="1:24" ht="87.75" hidden="1" customHeight="1" x14ac:dyDescent="0.2">
      <c r="A153" s="726"/>
      <c r="B153" s="669" t="s">
        <v>61</v>
      </c>
      <c r="C153" s="728"/>
      <c r="D153" s="730"/>
      <c r="E153" s="728"/>
      <c r="F153" s="722"/>
      <c r="G153" s="732"/>
      <c r="H153" s="759"/>
      <c r="I153" s="722"/>
      <c r="J153" s="724"/>
      <c r="K153" s="726"/>
      <c r="L153" s="732"/>
      <c r="M153" s="363" t="s">
        <v>50</v>
      </c>
      <c r="N153" s="264" t="s">
        <v>410</v>
      </c>
      <c r="O153" s="558" t="s">
        <v>484</v>
      </c>
      <c r="P153" s="46">
        <v>42460</v>
      </c>
      <c r="Q153" s="654" t="s">
        <v>732</v>
      </c>
      <c r="R153" s="367" t="s">
        <v>55</v>
      </c>
      <c r="S153" s="46"/>
      <c r="T153" s="367" t="s">
        <v>861</v>
      </c>
      <c r="U153" s="383">
        <f>DAYS360(G148,L148,0)+1</f>
        <v>8</v>
      </c>
      <c r="V153" s="375" t="str">
        <f t="shared" si="90"/>
        <v>Inoportuno</v>
      </c>
      <c r="W153" s="383">
        <f t="shared" si="89"/>
        <v>-41849</v>
      </c>
      <c r="X153" s="374"/>
    </row>
    <row r="154" spans="1:24" ht="87.75" hidden="1" customHeight="1" x14ac:dyDescent="0.2">
      <c r="A154" s="367">
        <f>+A148+1</f>
        <v>92</v>
      </c>
      <c r="B154" s="363" t="s">
        <v>10</v>
      </c>
      <c r="C154" s="363" t="s">
        <v>394</v>
      </c>
      <c r="D154" s="661" t="s">
        <v>43</v>
      </c>
      <c r="E154" s="664" t="s">
        <v>0</v>
      </c>
      <c r="F154" s="663" t="s">
        <v>56</v>
      </c>
      <c r="G154" s="660">
        <v>42349</v>
      </c>
      <c r="H154" s="662" t="s">
        <v>393</v>
      </c>
      <c r="I154" s="663" t="s">
        <v>78</v>
      </c>
      <c r="J154" s="365" t="s">
        <v>133</v>
      </c>
      <c r="K154" s="159" t="s">
        <v>79</v>
      </c>
      <c r="L154" s="660">
        <v>42443</v>
      </c>
      <c r="M154" s="363" t="s">
        <v>50</v>
      </c>
      <c r="N154" s="264" t="s">
        <v>681</v>
      </c>
      <c r="O154" s="558" t="s">
        <v>680</v>
      </c>
      <c r="P154" s="46">
        <v>42673</v>
      </c>
      <c r="Q154" s="654" t="s">
        <v>896</v>
      </c>
      <c r="R154" s="367" t="s">
        <v>51</v>
      </c>
      <c r="S154" s="46"/>
      <c r="T154" s="367"/>
      <c r="U154" s="383">
        <f t="shared" ref="U154" si="91">DAYS360(G154,L154,0)+1</f>
        <v>94</v>
      </c>
      <c r="V154" s="375" t="str">
        <f t="shared" ref="V154" si="92">IF(U154&gt;15,"Inoportuno",(IF(U154&lt;0,"No ha formulado PM","Oportuno")))</f>
        <v>Inoportuno</v>
      </c>
      <c r="W154" s="383">
        <f t="shared" ref="W154" si="93">DAYS360(P154,S154,0)+1</f>
        <v>-42059</v>
      </c>
      <c r="X154" s="374"/>
    </row>
    <row r="155" spans="1:24" ht="87.75" hidden="1" customHeight="1" x14ac:dyDescent="0.2">
      <c r="A155" s="367">
        <f t="shared" ref="A155:A180" si="94">+A154+1</f>
        <v>93</v>
      </c>
      <c r="B155" s="363" t="s">
        <v>10</v>
      </c>
      <c r="C155" s="363" t="s">
        <v>394</v>
      </c>
      <c r="D155" s="361" t="s">
        <v>43</v>
      </c>
      <c r="E155" s="371" t="s">
        <v>0</v>
      </c>
      <c r="F155" s="364" t="s">
        <v>56</v>
      </c>
      <c r="G155" s="46">
        <v>42349</v>
      </c>
      <c r="H155" s="556" t="s">
        <v>398</v>
      </c>
      <c r="I155" s="364" t="s">
        <v>78</v>
      </c>
      <c r="J155" s="365" t="s">
        <v>133</v>
      </c>
      <c r="K155" s="159" t="s">
        <v>79</v>
      </c>
      <c r="L155" s="46">
        <v>42443</v>
      </c>
      <c r="M155" s="363" t="s">
        <v>50</v>
      </c>
      <c r="N155" s="536" t="s">
        <v>681</v>
      </c>
      <c r="O155" s="558" t="s">
        <v>682</v>
      </c>
      <c r="P155" s="46">
        <v>42673</v>
      </c>
      <c r="Q155" s="654" t="s">
        <v>897</v>
      </c>
      <c r="R155" s="367" t="s">
        <v>51</v>
      </c>
      <c r="S155" s="46"/>
      <c r="T155" s="367"/>
      <c r="U155" s="383">
        <f t="shared" ref="U155:U158" si="95">DAYS360(G155,L155,0)+1</f>
        <v>94</v>
      </c>
      <c r="V155" s="375" t="str">
        <f t="shared" ref="V155:V167" si="96">IF(U155&gt;15,"Inoportuno",(IF(U155&lt;0,"No ha formulado PM","Oportuno")))</f>
        <v>Inoportuno</v>
      </c>
      <c r="W155" s="383">
        <f t="shared" ref="W155:W167" si="97">DAYS360(P155,S155,0)+1</f>
        <v>-42059</v>
      </c>
      <c r="X155" s="374"/>
    </row>
    <row r="156" spans="1:24" ht="87.75" hidden="1" customHeight="1" x14ac:dyDescent="0.2">
      <c r="A156" s="367">
        <f t="shared" si="94"/>
        <v>94</v>
      </c>
      <c r="B156" s="363" t="s">
        <v>10</v>
      </c>
      <c r="C156" s="363" t="s">
        <v>394</v>
      </c>
      <c r="D156" s="361" t="s">
        <v>43</v>
      </c>
      <c r="E156" s="371" t="s">
        <v>0</v>
      </c>
      <c r="F156" s="364" t="s">
        <v>56</v>
      </c>
      <c r="G156" s="46">
        <v>42349</v>
      </c>
      <c r="H156" s="556" t="s">
        <v>399</v>
      </c>
      <c r="I156" s="364" t="s">
        <v>78</v>
      </c>
      <c r="J156" s="365" t="s">
        <v>133</v>
      </c>
      <c r="K156" s="159" t="s">
        <v>79</v>
      </c>
      <c r="L156" s="46">
        <v>42443</v>
      </c>
      <c r="M156" s="363" t="s">
        <v>50</v>
      </c>
      <c r="N156" s="536" t="s">
        <v>695</v>
      </c>
      <c r="O156" s="558" t="s">
        <v>683</v>
      </c>
      <c r="P156" s="46">
        <v>42673</v>
      </c>
      <c r="Q156" s="654" t="s">
        <v>898</v>
      </c>
      <c r="R156" s="367" t="s">
        <v>51</v>
      </c>
      <c r="S156" s="46"/>
      <c r="T156" s="367"/>
      <c r="U156" s="383">
        <f t="shared" si="95"/>
        <v>94</v>
      </c>
      <c r="V156" s="375" t="str">
        <f t="shared" si="96"/>
        <v>Inoportuno</v>
      </c>
      <c r="W156" s="383">
        <f t="shared" si="97"/>
        <v>-42059</v>
      </c>
      <c r="X156" s="374"/>
    </row>
    <row r="157" spans="1:24" ht="87.75" hidden="1" customHeight="1" x14ac:dyDescent="0.2">
      <c r="A157" s="367">
        <f t="shared" si="94"/>
        <v>95</v>
      </c>
      <c r="B157" s="363" t="s">
        <v>10</v>
      </c>
      <c r="C157" s="363" t="s">
        <v>394</v>
      </c>
      <c r="D157" s="361" t="s">
        <v>43</v>
      </c>
      <c r="E157" s="371" t="s">
        <v>0</v>
      </c>
      <c r="F157" s="364" t="s">
        <v>56</v>
      </c>
      <c r="G157" s="46">
        <v>42349</v>
      </c>
      <c r="H157" s="556" t="s">
        <v>400</v>
      </c>
      <c r="I157" s="364" t="s">
        <v>78</v>
      </c>
      <c r="J157" s="365" t="s">
        <v>134</v>
      </c>
      <c r="K157" s="159" t="s">
        <v>79</v>
      </c>
      <c r="L157" s="46">
        <v>42443</v>
      </c>
      <c r="M157" s="363" t="s">
        <v>50</v>
      </c>
      <c r="N157" s="264" t="s">
        <v>681</v>
      </c>
      <c r="O157" s="558" t="s">
        <v>684</v>
      </c>
      <c r="P157" s="46">
        <v>42673</v>
      </c>
      <c r="Q157" s="654" t="s">
        <v>867</v>
      </c>
      <c r="R157" s="367" t="s">
        <v>55</v>
      </c>
      <c r="S157" s="580" t="s">
        <v>865</v>
      </c>
      <c r="T157" s="367" t="s">
        <v>866</v>
      </c>
      <c r="U157" s="383">
        <f t="shared" si="95"/>
        <v>94</v>
      </c>
      <c r="V157" s="375" t="str">
        <f t="shared" si="96"/>
        <v>Inoportuno</v>
      </c>
      <c r="W157" s="551" t="e">
        <f t="shared" si="97"/>
        <v>#VALUE!</v>
      </c>
      <c r="X157" s="374"/>
    </row>
    <row r="158" spans="1:24" ht="87.75" hidden="1" customHeight="1" x14ac:dyDescent="0.2">
      <c r="A158" s="725">
        <f t="shared" si="94"/>
        <v>96</v>
      </c>
      <c r="B158" s="727" t="s">
        <v>10</v>
      </c>
      <c r="C158" s="727" t="s">
        <v>394</v>
      </c>
      <c r="D158" s="729" t="s">
        <v>43</v>
      </c>
      <c r="E158" s="727" t="s">
        <v>0</v>
      </c>
      <c r="F158" s="721" t="s">
        <v>56</v>
      </c>
      <c r="G158" s="731">
        <v>42349</v>
      </c>
      <c r="H158" s="758" t="s">
        <v>402</v>
      </c>
      <c r="I158" s="721" t="s">
        <v>78</v>
      </c>
      <c r="J158" s="723" t="s">
        <v>134</v>
      </c>
      <c r="K158" s="725" t="s">
        <v>79</v>
      </c>
      <c r="L158" s="731">
        <v>42443</v>
      </c>
      <c r="M158" s="442" t="s">
        <v>104</v>
      </c>
      <c r="N158" s="264" t="s">
        <v>681</v>
      </c>
      <c r="O158" s="558" t="s">
        <v>686</v>
      </c>
      <c r="P158" s="46">
        <v>42500</v>
      </c>
      <c r="Q158" s="581" t="s">
        <v>868</v>
      </c>
      <c r="R158" s="443" t="s">
        <v>55</v>
      </c>
      <c r="S158" s="580" t="s">
        <v>865</v>
      </c>
      <c r="T158" s="443" t="s">
        <v>866</v>
      </c>
      <c r="U158" s="551">
        <f t="shared" si="95"/>
        <v>94</v>
      </c>
      <c r="V158" s="445" t="s">
        <v>858</v>
      </c>
      <c r="W158" s="551" t="e">
        <f t="shared" si="97"/>
        <v>#VALUE!</v>
      </c>
      <c r="X158" s="446"/>
    </row>
    <row r="159" spans="1:24" ht="87.75" hidden="1" customHeight="1" x14ac:dyDescent="0.2">
      <c r="A159" s="726"/>
      <c r="B159" s="728"/>
      <c r="C159" s="728"/>
      <c r="D159" s="730"/>
      <c r="E159" s="728"/>
      <c r="F159" s="722"/>
      <c r="G159" s="732"/>
      <c r="H159" s="759"/>
      <c r="I159" s="722"/>
      <c r="J159" s="724"/>
      <c r="K159" s="726"/>
      <c r="L159" s="732"/>
      <c r="M159" s="363" t="s">
        <v>50</v>
      </c>
      <c r="N159" s="536" t="s">
        <v>681</v>
      </c>
      <c r="O159" s="558" t="s">
        <v>685</v>
      </c>
      <c r="P159" s="46">
        <v>42500</v>
      </c>
      <c r="Q159" s="654" t="s">
        <v>899</v>
      </c>
      <c r="R159" s="367" t="s">
        <v>55</v>
      </c>
      <c r="S159" s="46">
        <v>42817</v>
      </c>
      <c r="T159" s="599" t="s">
        <v>900</v>
      </c>
      <c r="U159" s="383">
        <f t="shared" ref="U159:U167" si="98">DAYS360(G158,L158,0)+1</f>
        <v>94</v>
      </c>
      <c r="V159" s="375" t="str">
        <f t="shared" si="96"/>
        <v>Inoportuno</v>
      </c>
      <c r="W159" s="383">
        <f t="shared" si="97"/>
        <v>314</v>
      </c>
      <c r="X159" s="374"/>
    </row>
    <row r="160" spans="1:24" ht="87.75" hidden="1" customHeight="1" x14ac:dyDescent="0.2">
      <c r="A160" s="725">
        <f>+A158+1</f>
        <v>97</v>
      </c>
      <c r="B160" s="727" t="s">
        <v>10</v>
      </c>
      <c r="C160" s="727" t="s">
        <v>394</v>
      </c>
      <c r="D160" s="729" t="s">
        <v>43</v>
      </c>
      <c r="E160" s="727" t="s">
        <v>0</v>
      </c>
      <c r="F160" s="721" t="s">
        <v>56</v>
      </c>
      <c r="G160" s="731">
        <v>42349</v>
      </c>
      <c r="H160" s="758" t="s">
        <v>403</v>
      </c>
      <c r="I160" s="721" t="s">
        <v>78</v>
      </c>
      <c r="J160" s="723" t="s">
        <v>134</v>
      </c>
      <c r="K160" s="725" t="s">
        <v>79</v>
      </c>
      <c r="L160" s="731">
        <v>42443</v>
      </c>
      <c r="M160" s="442" t="s">
        <v>104</v>
      </c>
      <c r="N160" s="264" t="s">
        <v>696</v>
      </c>
      <c r="O160" s="558" t="s">
        <v>687</v>
      </c>
      <c r="P160" s="46">
        <v>42658</v>
      </c>
      <c r="Q160" s="464" t="s">
        <v>869</v>
      </c>
      <c r="R160" s="443" t="s">
        <v>55</v>
      </c>
      <c r="S160" s="580" t="s">
        <v>865</v>
      </c>
      <c r="T160" s="443" t="s">
        <v>866</v>
      </c>
      <c r="U160" s="551">
        <f t="shared" si="98"/>
        <v>1</v>
      </c>
      <c r="V160" s="445" t="str">
        <f t="shared" si="96"/>
        <v>Oportuno</v>
      </c>
      <c r="W160" s="444" t="e">
        <f t="shared" si="97"/>
        <v>#VALUE!</v>
      </c>
      <c r="X160" s="446"/>
    </row>
    <row r="161" spans="1:24" ht="87.75" hidden="1" customHeight="1" x14ac:dyDescent="0.2">
      <c r="A161" s="726"/>
      <c r="B161" s="728"/>
      <c r="C161" s="728"/>
      <c r="D161" s="730"/>
      <c r="E161" s="728"/>
      <c r="F161" s="722"/>
      <c r="G161" s="732"/>
      <c r="H161" s="759"/>
      <c r="I161" s="722"/>
      <c r="J161" s="724"/>
      <c r="K161" s="726"/>
      <c r="L161" s="732"/>
      <c r="M161" s="363" t="s">
        <v>54</v>
      </c>
      <c r="N161" s="536" t="s">
        <v>696</v>
      </c>
      <c r="O161" s="558" t="s">
        <v>688</v>
      </c>
      <c r="P161" s="506">
        <v>42658</v>
      </c>
      <c r="Q161" s="601" t="s">
        <v>901</v>
      </c>
      <c r="R161" s="600" t="s">
        <v>55</v>
      </c>
      <c r="S161" s="46">
        <v>42817</v>
      </c>
      <c r="T161" s="599" t="s">
        <v>902</v>
      </c>
      <c r="U161" s="383">
        <f t="shared" si="98"/>
        <v>94</v>
      </c>
      <c r="V161" s="375" t="str">
        <f t="shared" si="96"/>
        <v>Inoportuno</v>
      </c>
      <c r="W161" s="383">
        <f t="shared" si="97"/>
        <v>159</v>
      </c>
      <c r="X161" s="374"/>
    </row>
    <row r="162" spans="1:24" ht="87.75" hidden="1" customHeight="1" x14ac:dyDescent="0.2">
      <c r="A162" s="725">
        <f>+A160+1</f>
        <v>98</v>
      </c>
      <c r="B162" s="727" t="s">
        <v>10</v>
      </c>
      <c r="C162" s="727" t="s">
        <v>394</v>
      </c>
      <c r="D162" s="729" t="s">
        <v>43</v>
      </c>
      <c r="E162" s="727" t="s">
        <v>0</v>
      </c>
      <c r="F162" s="721" t="s">
        <v>56</v>
      </c>
      <c r="G162" s="731">
        <v>42349</v>
      </c>
      <c r="H162" s="758" t="s">
        <v>404</v>
      </c>
      <c r="I162" s="721" t="s">
        <v>78</v>
      </c>
      <c r="J162" s="723" t="s">
        <v>134</v>
      </c>
      <c r="K162" s="725" t="s">
        <v>79</v>
      </c>
      <c r="L162" s="731">
        <v>42443</v>
      </c>
      <c r="M162" s="442" t="s">
        <v>50</v>
      </c>
      <c r="N162" s="264" t="s">
        <v>681</v>
      </c>
      <c r="O162" s="558" t="s">
        <v>689</v>
      </c>
      <c r="P162" s="46">
        <v>42658</v>
      </c>
      <c r="Q162" s="582" t="s">
        <v>870</v>
      </c>
      <c r="R162" s="443" t="s">
        <v>55</v>
      </c>
      <c r="S162" s="580" t="s">
        <v>865</v>
      </c>
      <c r="T162" s="443" t="s">
        <v>872</v>
      </c>
      <c r="U162" s="551">
        <f t="shared" si="98"/>
        <v>1</v>
      </c>
      <c r="V162" s="445" t="s">
        <v>859</v>
      </c>
      <c r="W162" s="444" t="e">
        <f t="shared" si="97"/>
        <v>#VALUE!</v>
      </c>
      <c r="X162" s="446"/>
    </row>
    <row r="163" spans="1:24" ht="87.75" hidden="1" customHeight="1" x14ac:dyDescent="0.2">
      <c r="A163" s="726"/>
      <c r="B163" s="728"/>
      <c r="C163" s="728"/>
      <c r="D163" s="730"/>
      <c r="E163" s="728"/>
      <c r="F163" s="722"/>
      <c r="G163" s="732"/>
      <c r="H163" s="759"/>
      <c r="I163" s="722"/>
      <c r="J163" s="724"/>
      <c r="K163" s="726"/>
      <c r="L163" s="732"/>
      <c r="M163" s="363" t="s">
        <v>54</v>
      </c>
      <c r="N163" s="536" t="s">
        <v>681</v>
      </c>
      <c r="O163" s="558" t="s">
        <v>690</v>
      </c>
      <c r="P163" s="506">
        <v>42658</v>
      </c>
      <c r="Q163" s="601" t="s">
        <v>903</v>
      </c>
      <c r="R163" s="600" t="s">
        <v>55</v>
      </c>
      <c r="S163" s="46">
        <v>42817</v>
      </c>
      <c r="T163" s="599" t="s">
        <v>900</v>
      </c>
      <c r="U163" s="383">
        <f t="shared" si="98"/>
        <v>94</v>
      </c>
      <c r="V163" s="375" t="str">
        <f t="shared" si="96"/>
        <v>Inoportuno</v>
      </c>
      <c r="W163" s="383">
        <f t="shared" si="97"/>
        <v>159</v>
      </c>
      <c r="X163" s="374"/>
    </row>
    <row r="164" spans="1:24" ht="87.75" hidden="1" customHeight="1" x14ac:dyDescent="0.2">
      <c r="A164" s="725">
        <f>+A162+1</f>
        <v>99</v>
      </c>
      <c r="B164" s="727" t="s">
        <v>10</v>
      </c>
      <c r="C164" s="727" t="s">
        <v>394</v>
      </c>
      <c r="D164" s="729" t="s">
        <v>43</v>
      </c>
      <c r="E164" s="727" t="s">
        <v>0</v>
      </c>
      <c r="F164" s="721" t="s">
        <v>56</v>
      </c>
      <c r="G164" s="731">
        <v>42349</v>
      </c>
      <c r="H164" s="758" t="s">
        <v>405</v>
      </c>
      <c r="I164" s="721" t="s">
        <v>78</v>
      </c>
      <c r="J164" s="723" t="s">
        <v>134</v>
      </c>
      <c r="K164" s="725" t="s">
        <v>79</v>
      </c>
      <c r="L164" s="731">
        <v>42443</v>
      </c>
      <c r="M164" s="442" t="s">
        <v>104</v>
      </c>
      <c r="N164" s="264" t="s">
        <v>696</v>
      </c>
      <c r="O164" s="558" t="s">
        <v>691</v>
      </c>
      <c r="P164" s="46">
        <v>42500</v>
      </c>
      <c r="Q164" s="654" t="s">
        <v>871</v>
      </c>
      <c r="R164" s="443" t="s">
        <v>55</v>
      </c>
      <c r="S164" s="580" t="s">
        <v>865</v>
      </c>
      <c r="T164" s="576" t="s">
        <v>864</v>
      </c>
      <c r="U164" s="551">
        <f t="shared" si="98"/>
        <v>1</v>
      </c>
      <c r="V164" s="552" t="str">
        <f t="shared" si="96"/>
        <v>Oportuno</v>
      </c>
      <c r="W164" s="444" t="e">
        <f t="shared" si="97"/>
        <v>#VALUE!</v>
      </c>
      <c r="X164" s="446"/>
    </row>
    <row r="165" spans="1:24" ht="87.75" hidden="1" customHeight="1" x14ac:dyDescent="0.2">
      <c r="A165" s="726"/>
      <c r="B165" s="728"/>
      <c r="C165" s="728"/>
      <c r="D165" s="730"/>
      <c r="E165" s="728"/>
      <c r="F165" s="722"/>
      <c r="G165" s="732"/>
      <c r="H165" s="759"/>
      <c r="I165" s="722"/>
      <c r="J165" s="724"/>
      <c r="K165" s="726"/>
      <c r="L165" s="732"/>
      <c r="M165" s="363" t="s">
        <v>54</v>
      </c>
      <c r="N165" s="536" t="s">
        <v>696</v>
      </c>
      <c r="O165" s="558" t="s">
        <v>692</v>
      </c>
      <c r="P165" s="46">
        <v>42500</v>
      </c>
      <c r="Q165" s="643" t="s">
        <v>905</v>
      </c>
      <c r="R165" s="367" t="s">
        <v>55</v>
      </c>
      <c r="S165" s="46">
        <v>42550</v>
      </c>
      <c r="T165" s="599" t="s">
        <v>900</v>
      </c>
      <c r="U165" s="383">
        <f t="shared" si="98"/>
        <v>94</v>
      </c>
      <c r="V165" s="375" t="str">
        <f t="shared" si="96"/>
        <v>Inoportuno</v>
      </c>
      <c r="W165" s="383">
        <f t="shared" si="97"/>
        <v>50</v>
      </c>
      <c r="X165" s="374"/>
    </row>
    <row r="166" spans="1:24" ht="87.75" hidden="1" customHeight="1" x14ac:dyDescent="0.2">
      <c r="A166" s="725">
        <f>+A164+1</f>
        <v>100</v>
      </c>
      <c r="B166" s="727" t="s">
        <v>10</v>
      </c>
      <c r="C166" s="727" t="s">
        <v>394</v>
      </c>
      <c r="D166" s="729" t="s">
        <v>43</v>
      </c>
      <c r="E166" s="727" t="s">
        <v>0</v>
      </c>
      <c r="F166" s="721" t="s">
        <v>56</v>
      </c>
      <c r="G166" s="731">
        <v>42349</v>
      </c>
      <c r="H166" s="758" t="s">
        <v>406</v>
      </c>
      <c r="I166" s="721" t="s">
        <v>78</v>
      </c>
      <c r="J166" s="723" t="s">
        <v>134</v>
      </c>
      <c r="K166" s="725" t="s">
        <v>79</v>
      </c>
      <c r="L166" s="731">
        <v>42443</v>
      </c>
      <c r="M166" s="442" t="s">
        <v>104</v>
      </c>
      <c r="N166" s="264" t="s">
        <v>696</v>
      </c>
      <c r="O166" s="558" t="s">
        <v>693</v>
      </c>
      <c r="P166" s="46">
        <v>42500</v>
      </c>
      <c r="Q166" s="654" t="s">
        <v>873</v>
      </c>
      <c r="R166" s="443" t="s">
        <v>55</v>
      </c>
      <c r="S166" s="580" t="s">
        <v>865</v>
      </c>
      <c r="T166" s="576" t="s">
        <v>864</v>
      </c>
      <c r="U166" s="551">
        <f t="shared" si="98"/>
        <v>1</v>
      </c>
      <c r="V166" s="552" t="str">
        <f t="shared" si="96"/>
        <v>Oportuno</v>
      </c>
      <c r="W166" s="551" t="e">
        <f t="shared" si="97"/>
        <v>#VALUE!</v>
      </c>
      <c r="X166" s="446"/>
    </row>
    <row r="167" spans="1:24" ht="87.75" hidden="1" customHeight="1" x14ac:dyDescent="0.2">
      <c r="A167" s="726"/>
      <c r="B167" s="728"/>
      <c r="C167" s="728"/>
      <c r="D167" s="730"/>
      <c r="E167" s="728"/>
      <c r="F167" s="722"/>
      <c r="G167" s="732"/>
      <c r="H167" s="759"/>
      <c r="I167" s="722"/>
      <c r="J167" s="724"/>
      <c r="K167" s="726"/>
      <c r="L167" s="732"/>
      <c r="M167" s="363" t="s">
        <v>54</v>
      </c>
      <c r="N167" s="536" t="s">
        <v>696</v>
      </c>
      <c r="O167" s="558" t="s">
        <v>694</v>
      </c>
      <c r="P167" s="46">
        <v>42500</v>
      </c>
      <c r="Q167" s="643" t="s">
        <v>904</v>
      </c>
      <c r="R167" s="367" t="s">
        <v>55</v>
      </c>
      <c r="S167" s="46">
        <v>42550</v>
      </c>
      <c r="T167" s="599" t="s">
        <v>900</v>
      </c>
      <c r="U167" s="383">
        <f t="shared" si="98"/>
        <v>94</v>
      </c>
      <c r="V167" s="375" t="str">
        <f t="shared" si="96"/>
        <v>Inoportuno</v>
      </c>
      <c r="W167" s="383">
        <f t="shared" si="97"/>
        <v>50</v>
      </c>
      <c r="X167" s="374"/>
    </row>
    <row r="168" spans="1:24" ht="87.75" hidden="1" customHeight="1" x14ac:dyDescent="0.2">
      <c r="A168" s="534">
        <f>+A166+1</f>
        <v>101</v>
      </c>
      <c r="B168" s="363" t="s">
        <v>2</v>
      </c>
      <c r="C168" s="363" t="s">
        <v>407</v>
      </c>
      <c r="D168" s="361" t="s">
        <v>43</v>
      </c>
      <c r="E168" s="371" t="s">
        <v>0</v>
      </c>
      <c r="F168" s="364" t="s">
        <v>58</v>
      </c>
      <c r="G168" s="46">
        <v>42353</v>
      </c>
      <c r="H168" s="556" t="s">
        <v>408</v>
      </c>
      <c r="I168" s="364" t="s">
        <v>78</v>
      </c>
      <c r="J168" s="365" t="s">
        <v>134</v>
      </c>
      <c r="K168" s="159" t="s">
        <v>79</v>
      </c>
      <c r="L168" s="46">
        <v>42404</v>
      </c>
      <c r="M168" s="363" t="s">
        <v>50</v>
      </c>
      <c r="N168" s="222" t="s">
        <v>352</v>
      </c>
      <c r="O168" s="558" t="s">
        <v>485</v>
      </c>
      <c r="P168" s="46">
        <v>42459</v>
      </c>
      <c r="Q168" s="654" t="s">
        <v>877</v>
      </c>
      <c r="R168" s="367" t="s">
        <v>55</v>
      </c>
      <c r="S168" s="46">
        <v>42550</v>
      </c>
      <c r="T168" s="164" t="s">
        <v>1071</v>
      </c>
      <c r="U168" s="383">
        <f t="shared" ref="U168" si="99">DAYS360(G168,L168,0)+1</f>
        <v>50</v>
      </c>
      <c r="V168" s="375" t="str">
        <f t="shared" ref="V168" si="100">IF(U168&gt;15,"Inoportuno",(IF(U168&lt;0,"No ha formulado PM","Oportuno")))</f>
        <v>Inoportuno</v>
      </c>
      <c r="W168" s="383">
        <f t="shared" ref="W168" si="101">DAYS360(P168,S168,0)+1</f>
        <v>90</v>
      </c>
      <c r="X168" s="374"/>
    </row>
    <row r="169" spans="1:24" ht="102.75" customHeight="1" x14ac:dyDescent="0.2">
      <c r="A169" s="463">
        <v>102</v>
      </c>
      <c r="B169" s="363" t="s">
        <v>25</v>
      </c>
      <c r="C169" s="363" t="s">
        <v>395</v>
      </c>
      <c r="D169" s="361" t="s">
        <v>43</v>
      </c>
      <c r="E169" s="371" t="s">
        <v>0</v>
      </c>
      <c r="F169" s="364" t="s">
        <v>59</v>
      </c>
      <c r="G169" s="46">
        <v>42361</v>
      </c>
      <c r="H169" s="636" t="s">
        <v>486</v>
      </c>
      <c r="I169" s="364" t="s">
        <v>78</v>
      </c>
      <c r="J169" s="365" t="s">
        <v>134</v>
      </c>
      <c r="K169" s="159" t="s">
        <v>79</v>
      </c>
      <c r="L169" s="46">
        <v>42368</v>
      </c>
      <c r="M169" s="363" t="s">
        <v>50</v>
      </c>
      <c r="N169" s="264" t="s">
        <v>413</v>
      </c>
      <c r="O169" s="558" t="s">
        <v>487</v>
      </c>
      <c r="P169" s="229">
        <v>42520</v>
      </c>
      <c r="Q169" s="667" t="s">
        <v>1083</v>
      </c>
      <c r="R169" s="367" t="s">
        <v>55</v>
      </c>
      <c r="S169" s="46">
        <v>42916</v>
      </c>
      <c r="T169" s="688" t="s">
        <v>1082</v>
      </c>
      <c r="U169" s="383">
        <f t="shared" ref="U169:U172" si="102">DAYS360(G169,L169,0)+1</f>
        <v>8</v>
      </c>
      <c r="V169" s="375" t="str">
        <f t="shared" ref="V169:V172" si="103">IF(U169&gt;15,"Inoportuno",(IF(U169&lt;0,"No ha formulado PM","Oportuno")))</f>
        <v>Oportuno</v>
      </c>
      <c r="W169" s="383">
        <f t="shared" ref="W169:W184" si="104">DAYS360(P169,S169,0)+1</f>
        <v>391</v>
      </c>
      <c r="X169" s="374"/>
    </row>
    <row r="170" spans="1:24" ht="143.25" customHeight="1" x14ac:dyDescent="0.2">
      <c r="A170" s="367">
        <f t="shared" si="94"/>
        <v>103</v>
      </c>
      <c r="B170" s="363" t="s">
        <v>25</v>
      </c>
      <c r="C170" s="363" t="s">
        <v>395</v>
      </c>
      <c r="D170" s="361" t="s">
        <v>43</v>
      </c>
      <c r="E170" s="371" t="s">
        <v>0</v>
      </c>
      <c r="F170" s="364" t="s">
        <v>59</v>
      </c>
      <c r="G170" s="46">
        <v>42361</v>
      </c>
      <c r="H170" s="556" t="s">
        <v>488</v>
      </c>
      <c r="I170" s="364" t="s">
        <v>78</v>
      </c>
      <c r="J170" s="365" t="s">
        <v>133</v>
      </c>
      <c r="K170" s="159" t="s">
        <v>79</v>
      </c>
      <c r="L170" s="46">
        <v>42368</v>
      </c>
      <c r="M170" s="363" t="s">
        <v>104</v>
      </c>
      <c r="N170" s="584" t="s">
        <v>414</v>
      </c>
      <c r="O170" s="591" t="s">
        <v>1094</v>
      </c>
      <c r="P170" s="229">
        <v>43008</v>
      </c>
      <c r="Q170" s="657" t="s">
        <v>1084</v>
      </c>
      <c r="R170" s="367" t="s">
        <v>51</v>
      </c>
      <c r="S170" s="46"/>
      <c r="T170" s="367"/>
      <c r="U170" s="383">
        <f t="shared" si="102"/>
        <v>8</v>
      </c>
      <c r="V170" s="375" t="str">
        <f t="shared" si="103"/>
        <v>Oportuno</v>
      </c>
      <c r="W170" s="383">
        <f t="shared" si="104"/>
        <v>-42389</v>
      </c>
      <c r="X170" s="374"/>
    </row>
    <row r="171" spans="1:24" ht="79.5" hidden="1" customHeight="1" x14ac:dyDescent="0.2">
      <c r="A171" s="733">
        <v>104</v>
      </c>
      <c r="B171" s="720" t="s">
        <v>49</v>
      </c>
      <c r="C171" s="720" t="s">
        <v>387</v>
      </c>
      <c r="D171" s="738" t="s">
        <v>43</v>
      </c>
      <c r="E171" s="720" t="s">
        <v>205</v>
      </c>
      <c r="F171" s="742" t="s">
        <v>59</v>
      </c>
      <c r="G171" s="757">
        <v>42361</v>
      </c>
      <c r="H171" s="720" t="s">
        <v>388</v>
      </c>
      <c r="I171" s="742" t="s">
        <v>78</v>
      </c>
      <c r="J171" s="755" t="s">
        <v>134</v>
      </c>
      <c r="K171" s="733" t="s">
        <v>79</v>
      </c>
      <c r="L171" s="757">
        <v>42677</v>
      </c>
      <c r="M171" s="540" t="s">
        <v>104</v>
      </c>
      <c r="N171" s="423" t="s">
        <v>701</v>
      </c>
      <c r="O171" s="558" t="s">
        <v>700</v>
      </c>
      <c r="P171" s="214">
        <v>42946</v>
      </c>
      <c r="Q171" s="654"/>
      <c r="R171" s="449" t="s">
        <v>55</v>
      </c>
      <c r="S171" s="731">
        <v>42733</v>
      </c>
      <c r="T171" s="727" t="s">
        <v>1016</v>
      </c>
      <c r="U171" s="551">
        <f t="shared" si="102"/>
        <v>311</v>
      </c>
      <c r="V171" s="552" t="str">
        <f t="shared" si="103"/>
        <v>Inoportuno</v>
      </c>
      <c r="W171" s="551">
        <f t="shared" si="104"/>
        <v>-210</v>
      </c>
      <c r="X171" s="451"/>
    </row>
    <row r="172" spans="1:24" ht="79.5" hidden="1" customHeight="1" x14ac:dyDescent="0.2">
      <c r="A172" s="734"/>
      <c r="B172" s="743"/>
      <c r="C172" s="743"/>
      <c r="D172" s="735"/>
      <c r="E172" s="743"/>
      <c r="F172" s="741"/>
      <c r="G172" s="760"/>
      <c r="H172" s="743"/>
      <c r="I172" s="741"/>
      <c r="J172" s="768"/>
      <c r="K172" s="734"/>
      <c r="L172" s="760"/>
      <c r="M172" s="447" t="s">
        <v>50</v>
      </c>
      <c r="N172" s="423" t="s">
        <v>701</v>
      </c>
      <c r="O172" s="558" t="s">
        <v>702</v>
      </c>
      <c r="P172" s="214">
        <v>42946</v>
      </c>
      <c r="Q172" s="654"/>
      <c r="R172" s="449" t="s">
        <v>55</v>
      </c>
      <c r="S172" s="760"/>
      <c r="T172" s="743"/>
      <c r="U172" s="551">
        <f t="shared" si="102"/>
        <v>1</v>
      </c>
      <c r="V172" s="552" t="str">
        <f t="shared" si="103"/>
        <v>Oportuno</v>
      </c>
      <c r="W172" s="551">
        <f t="shared" si="104"/>
        <v>-42329</v>
      </c>
      <c r="X172" s="451"/>
    </row>
    <row r="173" spans="1:24" ht="384" hidden="1" customHeight="1" x14ac:dyDescent="0.2">
      <c r="A173" s="726"/>
      <c r="B173" s="728"/>
      <c r="C173" s="728"/>
      <c r="D173" s="730"/>
      <c r="E173" s="728"/>
      <c r="F173" s="722"/>
      <c r="G173" s="732"/>
      <c r="H173" s="728"/>
      <c r="I173" s="722"/>
      <c r="J173" s="724"/>
      <c r="K173" s="726"/>
      <c r="L173" s="732"/>
      <c r="M173" s="363" t="s">
        <v>104</v>
      </c>
      <c r="N173" s="423" t="s">
        <v>701</v>
      </c>
      <c r="O173" s="558" t="s">
        <v>703</v>
      </c>
      <c r="P173" s="214">
        <v>42946</v>
      </c>
      <c r="Q173" s="654"/>
      <c r="R173" s="367" t="s">
        <v>55</v>
      </c>
      <c r="S173" s="732"/>
      <c r="T173" s="728"/>
      <c r="U173" s="383">
        <f>DAYS360(G171,L171,0)+1</f>
        <v>311</v>
      </c>
      <c r="V173" s="375" t="str">
        <f t="shared" si="88"/>
        <v>Inoportuno</v>
      </c>
      <c r="W173" s="551">
        <f t="shared" si="104"/>
        <v>-42329</v>
      </c>
      <c r="X173" s="374"/>
    </row>
    <row r="174" spans="1:24" ht="93" hidden="1" customHeight="1" x14ac:dyDescent="0.2">
      <c r="A174" s="453">
        <v>105</v>
      </c>
      <c r="B174" s="363" t="s">
        <v>49</v>
      </c>
      <c r="C174" s="363" t="s">
        <v>387</v>
      </c>
      <c r="D174" s="361" t="s">
        <v>43</v>
      </c>
      <c r="E174" s="371" t="s">
        <v>205</v>
      </c>
      <c r="F174" s="364" t="s">
        <v>59</v>
      </c>
      <c r="G174" s="46">
        <v>42361</v>
      </c>
      <c r="H174" s="548" t="s">
        <v>389</v>
      </c>
      <c r="I174" s="364" t="s">
        <v>78</v>
      </c>
      <c r="J174" s="365" t="s">
        <v>134</v>
      </c>
      <c r="K174" s="159" t="s">
        <v>79</v>
      </c>
      <c r="L174" s="46">
        <v>42677</v>
      </c>
      <c r="M174" s="363" t="s">
        <v>104</v>
      </c>
      <c r="N174" s="448" t="s">
        <v>705</v>
      </c>
      <c r="O174" s="558" t="s">
        <v>704</v>
      </c>
      <c r="P174" s="46">
        <v>43008</v>
      </c>
      <c r="Q174" s="654" t="s">
        <v>787</v>
      </c>
      <c r="R174" s="367" t="s">
        <v>55</v>
      </c>
      <c r="S174" s="46">
        <v>42886</v>
      </c>
      <c r="T174" s="651" t="s">
        <v>1015</v>
      </c>
      <c r="U174" s="383">
        <f t="shared" si="87"/>
        <v>311</v>
      </c>
      <c r="V174" s="375" t="str">
        <f t="shared" si="88"/>
        <v>Inoportuno</v>
      </c>
      <c r="W174" s="551">
        <f t="shared" si="104"/>
        <v>-119</v>
      </c>
      <c r="X174" s="374"/>
    </row>
    <row r="175" spans="1:24" ht="152.25" hidden="1" customHeight="1" x14ac:dyDescent="0.2">
      <c r="A175" s="452">
        <f>A174+1</f>
        <v>106</v>
      </c>
      <c r="B175" s="363" t="s">
        <v>49</v>
      </c>
      <c r="C175" s="363" t="s">
        <v>387</v>
      </c>
      <c r="D175" s="361" t="s">
        <v>43</v>
      </c>
      <c r="E175" s="371" t="s">
        <v>205</v>
      </c>
      <c r="F175" s="364" t="s">
        <v>59</v>
      </c>
      <c r="G175" s="46">
        <v>42361</v>
      </c>
      <c r="H175" s="548" t="s">
        <v>390</v>
      </c>
      <c r="I175" s="364" t="s">
        <v>78</v>
      </c>
      <c r="J175" s="365" t="s">
        <v>134</v>
      </c>
      <c r="K175" s="159" t="s">
        <v>79</v>
      </c>
      <c r="L175" s="46">
        <v>42677</v>
      </c>
      <c r="M175" s="363" t="s">
        <v>104</v>
      </c>
      <c r="N175" s="448" t="s">
        <v>701</v>
      </c>
      <c r="O175" s="558" t="s">
        <v>706</v>
      </c>
      <c r="P175" s="46">
        <v>42735</v>
      </c>
      <c r="Q175" s="654"/>
      <c r="R175" s="367" t="s">
        <v>55</v>
      </c>
      <c r="S175" s="46">
        <v>42733</v>
      </c>
      <c r="T175" s="484" t="s">
        <v>788</v>
      </c>
      <c r="U175" s="383">
        <f t="shared" si="87"/>
        <v>311</v>
      </c>
      <c r="V175" s="375" t="str">
        <f t="shared" si="88"/>
        <v>Inoportuno</v>
      </c>
      <c r="W175" s="551">
        <f t="shared" si="104"/>
        <v>0</v>
      </c>
      <c r="X175" s="374"/>
    </row>
    <row r="176" spans="1:24" ht="64.5" hidden="1" customHeight="1" x14ac:dyDescent="0.2">
      <c r="A176" s="734">
        <v>107</v>
      </c>
      <c r="B176" s="592" t="s">
        <v>65</v>
      </c>
      <c r="C176" s="727" t="s">
        <v>489</v>
      </c>
      <c r="D176" s="729" t="s">
        <v>43</v>
      </c>
      <c r="E176" s="727" t="s">
        <v>0</v>
      </c>
      <c r="F176" s="721" t="s">
        <v>200</v>
      </c>
      <c r="G176" s="731">
        <v>42366</v>
      </c>
      <c r="H176" s="727" t="s">
        <v>391</v>
      </c>
      <c r="I176" s="721" t="s">
        <v>78</v>
      </c>
      <c r="J176" s="723" t="s">
        <v>133</v>
      </c>
      <c r="K176" s="725" t="s">
        <v>79</v>
      </c>
      <c r="L176" s="731">
        <v>42530</v>
      </c>
      <c r="M176" s="363" t="s">
        <v>50</v>
      </c>
      <c r="N176" s="363" t="s">
        <v>584</v>
      </c>
      <c r="O176" s="558" t="s">
        <v>577</v>
      </c>
      <c r="P176" s="46">
        <v>42545</v>
      </c>
      <c r="Q176" s="654"/>
      <c r="R176" s="367" t="s">
        <v>51</v>
      </c>
      <c r="S176" s="46"/>
      <c r="T176" s="367"/>
      <c r="U176" s="551">
        <f t="shared" si="87"/>
        <v>162</v>
      </c>
      <c r="V176" s="375" t="str">
        <f t="shared" si="88"/>
        <v>Inoportuno</v>
      </c>
      <c r="W176" s="551">
        <f t="shared" si="104"/>
        <v>-41933</v>
      </c>
      <c r="X176" s="374"/>
    </row>
    <row r="177" spans="1:24" ht="61.5" hidden="1" customHeight="1" x14ac:dyDescent="0.2">
      <c r="A177" s="734"/>
      <c r="B177" s="592" t="s">
        <v>65</v>
      </c>
      <c r="C177" s="743"/>
      <c r="D177" s="735"/>
      <c r="E177" s="743"/>
      <c r="F177" s="741"/>
      <c r="G177" s="760"/>
      <c r="H177" s="743"/>
      <c r="I177" s="741"/>
      <c r="J177" s="768"/>
      <c r="K177" s="734"/>
      <c r="L177" s="760"/>
      <c r="M177" s="363" t="s">
        <v>50</v>
      </c>
      <c r="N177" s="363" t="s">
        <v>585</v>
      </c>
      <c r="O177" s="558" t="s">
        <v>578</v>
      </c>
      <c r="P177" s="46">
        <v>42794</v>
      </c>
      <c r="Q177" s="654"/>
      <c r="R177" s="367" t="s">
        <v>51</v>
      </c>
      <c r="S177" s="46"/>
      <c r="T177" s="367"/>
      <c r="U177" s="383">
        <f t="shared" ref="U177" si="105">DAYS360(G177,L177,0)+1</f>
        <v>1</v>
      </c>
      <c r="V177" s="375" t="str">
        <f t="shared" ref="V177:V178" si="106">IF(U177&gt;15,"Inoportuno",(IF(U177&lt;0,"No ha formulado PM","Oportuno")))</f>
        <v>Oportuno</v>
      </c>
      <c r="W177" s="551">
        <f t="shared" si="104"/>
        <v>-42179</v>
      </c>
      <c r="X177" s="374"/>
    </row>
    <row r="178" spans="1:24" ht="58.5" hidden="1" customHeight="1" x14ac:dyDescent="0.2">
      <c r="A178" s="726"/>
      <c r="B178" s="592" t="s">
        <v>65</v>
      </c>
      <c r="C178" s="728"/>
      <c r="D178" s="730"/>
      <c r="E178" s="728"/>
      <c r="F178" s="722"/>
      <c r="G178" s="732"/>
      <c r="H178" s="728"/>
      <c r="I178" s="722"/>
      <c r="J178" s="724"/>
      <c r="K178" s="726"/>
      <c r="L178" s="732"/>
      <c r="M178" s="363" t="s">
        <v>50</v>
      </c>
      <c r="N178" s="363" t="s">
        <v>585</v>
      </c>
      <c r="O178" s="558" t="s">
        <v>579</v>
      </c>
      <c r="P178" s="46">
        <v>42794</v>
      </c>
      <c r="Q178" s="654"/>
      <c r="R178" s="367" t="s">
        <v>51</v>
      </c>
      <c r="S178" s="46"/>
      <c r="T178" s="367"/>
      <c r="U178" s="383">
        <f>DAYS360(G176,L176,0)+1</f>
        <v>162</v>
      </c>
      <c r="V178" s="375" t="str">
        <f t="shared" si="106"/>
        <v>Inoportuno</v>
      </c>
      <c r="W178" s="551">
        <f t="shared" si="104"/>
        <v>-42179</v>
      </c>
      <c r="X178" s="374"/>
    </row>
    <row r="179" spans="1:24" ht="88.5" hidden="1" customHeight="1" x14ac:dyDescent="0.2">
      <c r="A179" s="367">
        <v>108</v>
      </c>
      <c r="B179" s="664" t="s">
        <v>65</v>
      </c>
      <c r="C179" s="363" t="s">
        <v>489</v>
      </c>
      <c r="D179" s="361" t="s">
        <v>43</v>
      </c>
      <c r="E179" s="371" t="s">
        <v>0</v>
      </c>
      <c r="F179" s="364" t="s">
        <v>200</v>
      </c>
      <c r="G179" s="46">
        <v>42366</v>
      </c>
      <c r="H179" s="548" t="s">
        <v>392</v>
      </c>
      <c r="I179" s="364" t="s">
        <v>78</v>
      </c>
      <c r="J179" s="365" t="s">
        <v>133</v>
      </c>
      <c r="K179" s="159" t="s">
        <v>79</v>
      </c>
      <c r="L179" s="46">
        <v>42530</v>
      </c>
      <c r="M179" s="363" t="s">
        <v>50</v>
      </c>
      <c r="N179" s="363" t="s">
        <v>585</v>
      </c>
      <c r="O179" s="558" t="s">
        <v>583</v>
      </c>
      <c r="P179" s="46">
        <v>42734</v>
      </c>
      <c r="Q179" s="654"/>
      <c r="R179" s="367" t="s">
        <v>51</v>
      </c>
      <c r="S179" s="46"/>
      <c r="T179" s="367"/>
      <c r="U179" s="383">
        <f t="shared" si="87"/>
        <v>162</v>
      </c>
      <c r="V179" s="375" t="str">
        <f t="shared" si="88"/>
        <v>Inoportuno</v>
      </c>
      <c r="W179" s="551">
        <f t="shared" si="104"/>
        <v>-42119</v>
      </c>
      <c r="X179" s="374"/>
    </row>
    <row r="180" spans="1:24" ht="144.75" hidden="1" customHeight="1" x14ac:dyDescent="0.2">
      <c r="A180" s="367">
        <f t="shared" si="94"/>
        <v>109</v>
      </c>
      <c r="B180" s="363" t="s">
        <v>61</v>
      </c>
      <c r="C180" s="363" t="s">
        <v>374</v>
      </c>
      <c r="D180" s="361" t="s">
        <v>43</v>
      </c>
      <c r="E180" s="371" t="s">
        <v>0</v>
      </c>
      <c r="F180" s="364" t="s">
        <v>60</v>
      </c>
      <c r="G180" s="46">
        <v>42367</v>
      </c>
      <c r="H180" s="548" t="s">
        <v>415</v>
      </c>
      <c r="I180" s="364" t="s">
        <v>78</v>
      </c>
      <c r="J180" s="373" t="s">
        <v>134</v>
      </c>
      <c r="K180" s="159" t="s">
        <v>79</v>
      </c>
      <c r="L180" s="46">
        <v>42382</v>
      </c>
      <c r="M180" s="363" t="s">
        <v>104</v>
      </c>
      <c r="N180" s="264" t="s">
        <v>410</v>
      </c>
      <c r="O180" s="558" t="s">
        <v>490</v>
      </c>
      <c r="P180" s="46">
        <v>42745</v>
      </c>
      <c r="Q180" s="643" t="s">
        <v>1073</v>
      </c>
      <c r="R180" s="367" t="s">
        <v>55</v>
      </c>
      <c r="S180" s="46">
        <v>42720</v>
      </c>
      <c r="T180" s="367" t="s">
        <v>1051</v>
      </c>
      <c r="U180" s="383">
        <f t="shared" ref="U180" si="107">DAYS360(G180,L180,0)+1</f>
        <v>15</v>
      </c>
      <c r="V180" s="375" t="str">
        <f t="shared" ref="V180" si="108">IF(U180&gt;15,"Inoportuno",(IF(U180&lt;0,"No ha formulado PM","Oportuno")))</f>
        <v>Oportuno</v>
      </c>
      <c r="W180" s="551">
        <f t="shared" si="104"/>
        <v>-23</v>
      </c>
      <c r="X180" s="374"/>
    </row>
    <row r="181" spans="1:24" ht="66" hidden="1" customHeight="1" x14ac:dyDescent="0.2">
      <c r="A181" s="367">
        <f>A180+1</f>
        <v>110</v>
      </c>
      <c r="B181" s="363" t="s">
        <v>63</v>
      </c>
      <c r="C181" s="363" t="s">
        <v>416</v>
      </c>
      <c r="D181" s="361" t="s">
        <v>43</v>
      </c>
      <c r="E181" s="371" t="s">
        <v>0</v>
      </c>
      <c r="F181" s="364" t="s">
        <v>52</v>
      </c>
      <c r="G181" s="46">
        <v>42368</v>
      </c>
      <c r="H181" s="548" t="s">
        <v>417</v>
      </c>
      <c r="I181" s="364" t="s">
        <v>78</v>
      </c>
      <c r="J181" s="365" t="s">
        <v>133</v>
      </c>
      <c r="K181" s="159" t="s">
        <v>79</v>
      </c>
      <c r="L181" s="46">
        <v>42381</v>
      </c>
      <c r="M181" s="363" t="s">
        <v>50</v>
      </c>
      <c r="N181" s="363" t="s">
        <v>426</v>
      </c>
      <c r="O181" s="557" t="s">
        <v>427</v>
      </c>
      <c r="P181" s="46">
        <v>42735</v>
      </c>
      <c r="Q181" s="654" t="s">
        <v>1061</v>
      </c>
      <c r="R181" s="367" t="s">
        <v>51</v>
      </c>
      <c r="S181" s="46"/>
      <c r="T181" s="367"/>
      <c r="U181" s="383">
        <f t="shared" ref="U181:U183" si="109">DAYS360(G181,L181,0)+1</f>
        <v>13</v>
      </c>
      <c r="V181" s="375" t="str">
        <f t="shared" ref="V181:V186" si="110">IF(U181&gt;15,"Inoportuno",(IF(U181&lt;0,"No ha formulado PM","Oportuno")))</f>
        <v>Oportuno</v>
      </c>
      <c r="W181" s="551">
        <f t="shared" si="104"/>
        <v>-42119</v>
      </c>
      <c r="X181" s="374"/>
    </row>
    <row r="182" spans="1:24" ht="227.25" hidden="1" customHeight="1" x14ac:dyDescent="0.2">
      <c r="A182" s="725">
        <v>111</v>
      </c>
      <c r="B182" s="363" t="s">
        <v>63</v>
      </c>
      <c r="C182" s="363" t="s">
        <v>441</v>
      </c>
      <c r="D182" s="361" t="s">
        <v>43</v>
      </c>
      <c r="E182" s="371" t="s">
        <v>0</v>
      </c>
      <c r="F182" s="364" t="s">
        <v>60</v>
      </c>
      <c r="G182" s="46">
        <v>42368</v>
      </c>
      <c r="H182" s="548" t="s">
        <v>442</v>
      </c>
      <c r="I182" s="364" t="s">
        <v>78</v>
      </c>
      <c r="J182" s="365" t="s">
        <v>133</v>
      </c>
      <c r="K182" s="159" t="s">
        <v>79</v>
      </c>
      <c r="L182" s="46">
        <v>42396</v>
      </c>
      <c r="M182" s="363" t="s">
        <v>50</v>
      </c>
      <c r="N182" s="424" t="s">
        <v>493</v>
      </c>
      <c r="O182" s="424" t="s">
        <v>494</v>
      </c>
      <c r="P182" s="46">
        <v>42734</v>
      </c>
      <c r="Q182" s="654" t="s">
        <v>1062</v>
      </c>
      <c r="R182" s="367" t="s">
        <v>51</v>
      </c>
      <c r="S182" s="46"/>
      <c r="T182" s="367"/>
      <c r="U182" s="383">
        <f t="shared" si="109"/>
        <v>28</v>
      </c>
      <c r="V182" s="375" t="str">
        <f t="shared" si="110"/>
        <v>Inoportuno</v>
      </c>
      <c r="W182" s="551">
        <f t="shared" si="104"/>
        <v>-42119</v>
      </c>
      <c r="X182" s="374"/>
    </row>
    <row r="183" spans="1:24" ht="126" hidden="1" customHeight="1" x14ac:dyDescent="0.2">
      <c r="A183" s="734"/>
      <c r="B183" s="727" t="s">
        <v>63</v>
      </c>
      <c r="C183" s="727" t="s">
        <v>441</v>
      </c>
      <c r="D183" s="735" t="s">
        <v>43</v>
      </c>
      <c r="E183" s="743"/>
      <c r="F183" s="721" t="s">
        <v>60</v>
      </c>
      <c r="G183" s="731">
        <v>42368</v>
      </c>
      <c r="H183" s="727" t="s">
        <v>443</v>
      </c>
      <c r="I183" s="741" t="s">
        <v>78</v>
      </c>
      <c r="J183" s="768" t="s">
        <v>133</v>
      </c>
      <c r="K183" s="734" t="s">
        <v>79</v>
      </c>
      <c r="L183" s="757">
        <v>42396</v>
      </c>
      <c r="M183" s="363" t="s">
        <v>50</v>
      </c>
      <c r="N183" s="424" t="s">
        <v>497</v>
      </c>
      <c r="O183" s="424" t="s">
        <v>495</v>
      </c>
      <c r="P183" s="46">
        <v>42734</v>
      </c>
      <c r="Q183" s="654"/>
      <c r="R183" s="367" t="s">
        <v>51</v>
      </c>
      <c r="S183" s="46"/>
      <c r="T183" s="367"/>
      <c r="U183" s="498">
        <f t="shared" si="109"/>
        <v>28</v>
      </c>
      <c r="V183" s="375" t="str">
        <f t="shared" si="110"/>
        <v>Inoportuno</v>
      </c>
      <c r="W183" s="551">
        <f t="shared" si="104"/>
        <v>-42119</v>
      </c>
      <c r="X183" s="374"/>
    </row>
    <row r="184" spans="1:24" ht="126" hidden="1" customHeight="1" x14ac:dyDescent="0.2">
      <c r="A184" s="726"/>
      <c r="B184" s="728"/>
      <c r="C184" s="728"/>
      <c r="D184" s="730"/>
      <c r="E184" s="728"/>
      <c r="F184" s="722"/>
      <c r="G184" s="732"/>
      <c r="H184" s="728"/>
      <c r="I184" s="722"/>
      <c r="J184" s="724"/>
      <c r="K184" s="726"/>
      <c r="L184" s="732"/>
      <c r="M184" s="363" t="s">
        <v>104</v>
      </c>
      <c r="N184" s="424" t="s">
        <v>497</v>
      </c>
      <c r="O184" s="424" t="s">
        <v>496</v>
      </c>
      <c r="P184" s="46">
        <v>42734</v>
      </c>
      <c r="Q184" s="654"/>
      <c r="R184" s="367" t="s">
        <v>51</v>
      </c>
      <c r="S184" s="46"/>
      <c r="T184" s="367"/>
      <c r="U184" s="383">
        <f>DAYS360(G183,L183,0)+1</f>
        <v>28</v>
      </c>
      <c r="V184" s="375" t="str">
        <f t="shared" si="110"/>
        <v>Inoportuno</v>
      </c>
      <c r="W184" s="551">
        <f t="shared" si="104"/>
        <v>-42119</v>
      </c>
      <c r="X184" s="374"/>
    </row>
    <row r="185" spans="1:24" ht="86.25" hidden="1" customHeight="1" x14ac:dyDescent="0.2">
      <c r="A185" s="725">
        <v>112</v>
      </c>
      <c r="B185" s="727" t="s">
        <v>63</v>
      </c>
      <c r="C185" s="727" t="s">
        <v>441</v>
      </c>
      <c r="D185" s="729" t="s">
        <v>43</v>
      </c>
      <c r="E185" s="727" t="s">
        <v>0</v>
      </c>
      <c r="F185" s="721" t="s">
        <v>60</v>
      </c>
      <c r="G185" s="731">
        <v>42368</v>
      </c>
      <c r="H185" s="727" t="s">
        <v>444</v>
      </c>
      <c r="I185" s="721" t="s">
        <v>78</v>
      </c>
      <c r="J185" s="723" t="s">
        <v>133</v>
      </c>
      <c r="K185" s="725" t="s">
        <v>79</v>
      </c>
      <c r="L185" s="731">
        <v>42396</v>
      </c>
      <c r="M185" s="363" t="s">
        <v>50</v>
      </c>
      <c r="N185" s="424" t="s">
        <v>499</v>
      </c>
      <c r="O185" s="424" t="s">
        <v>500</v>
      </c>
      <c r="P185" s="46">
        <v>42551</v>
      </c>
      <c r="Q185" s="654" t="s">
        <v>1063</v>
      </c>
      <c r="R185" s="367" t="s">
        <v>51</v>
      </c>
      <c r="S185" s="46"/>
      <c r="T185" s="367"/>
      <c r="U185" s="383" t="e">
        <f>DAYS360(#REF!,#REF!,0)+1</f>
        <v>#REF!</v>
      </c>
      <c r="V185" s="375" t="e">
        <f t="shared" si="110"/>
        <v>#REF!</v>
      </c>
      <c r="W185" s="383">
        <f t="shared" ref="W185:W186" si="111">DAYS360(P185,S185,0)+1</f>
        <v>-41939</v>
      </c>
      <c r="X185" s="374"/>
    </row>
    <row r="186" spans="1:24" ht="86.25" hidden="1" customHeight="1" x14ac:dyDescent="0.2">
      <c r="A186" s="726"/>
      <c r="B186" s="728"/>
      <c r="C186" s="728"/>
      <c r="D186" s="730"/>
      <c r="E186" s="728"/>
      <c r="F186" s="722"/>
      <c r="G186" s="732"/>
      <c r="H186" s="728"/>
      <c r="I186" s="722"/>
      <c r="J186" s="724"/>
      <c r="K186" s="726"/>
      <c r="L186" s="732"/>
      <c r="M186" s="363" t="s">
        <v>50</v>
      </c>
      <c r="N186" s="424" t="s">
        <v>498</v>
      </c>
      <c r="O186" s="424" t="s">
        <v>501</v>
      </c>
      <c r="P186" s="46">
        <v>42551</v>
      </c>
      <c r="Q186" s="654"/>
      <c r="R186" s="367" t="s">
        <v>51</v>
      </c>
      <c r="S186" s="46"/>
      <c r="T186" s="367"/>
      <c r="U186" s="383">
        <f t="shared" ref="U186:U193" si="112">DAYS360(G185,L185,0)+1</f>
        <v>28</v>
      </c>
      <c r="V186" s="375" t="str">
        <f t="shared" si="110"/>
        <v>Inoportuno</v>
      </c>
      <c r="W186" s="383">
        <f t="shared" si="111"/>
        <v>-41939</v>
      </c>
      <c r="X186" s="374"/>
    </row>
    <row r="187" spans="1:24" ht="68.25" hidden="1" customHeight="1" x14ac:dyDescent="0.2">
      <c r="A187" s="725">
        <v>113</v>
      </c>
      <c r="B187" s="592" t="s">
        <v>267</v>
      </c>
      <c r="C187" s="727" t="s">
        <v>441</v>
      </c>
      <c r="D187" s="729" t="s">
        <v>46</v>
      </c>
      <c r="E187" s="727" t="s">
        <v>0</v>
      </c>
      <c r="F187" s="721" t="s">
        <v>491</v>
      </c>
      <c r="G187" s="731">
        <v>42480</v>
      </c>
      <c r="H187" s="727" t="s">
        <v>524</v>
      </c>
      <c r="I187" s="721" t="s">
        <v>78</v>
      </c>
      <c r="J187" s="723" t="s">
        <v>134</v>
      </c>
      <c r="K187" s="725" t="s">
        <v>79</v>
      </c>
      <c r="L187" s="731">
        <v>42495</v>
      </c>
      <c r="M187" s="363" t="s">
        <v>104</v>
      </c>
      <c r="N187" s="363" t="s">
        <v>525</v>
      </c>
      <c r="O187" s="557" t="s">
        <v>526</v>
      </c>
      <c r="P187" s="229">
        <v>42495</v>
      </c>
      <c r="Q187" s="654" t="s">
        <v>642</v>
      </c>
      <c r="R187" s="367" t="s">
        <v>55</v>
      </c>
      <c r="S187" s="46">
        <v>42535</v>
      </c>
      <c r="T187" s="367" t="s">
        <v>996</v>
      </c>
      <c r="U187" s="498">
        <f t="shared" si="112"/>
        <v>1</v>
      </c>
      <c r="V187" s="375" t="str">
        <f t="shared" ref="V187" si="113">IF(U187&gt;15,"Inoportuno",(IF(U187&lt;0,"No ha formulado PM","Oportuno")))</f>
        <v>Oportuno</v>
      </c>
      <c r="W187" s="383">
        <f t="shared" ref="W187" si="114">DAYS360(P187,S187,0)+1</f>
        <v>40</v>
      </c>
      <c r="X187" s="374"/>
    </row>
    <row r="188" spans="1:24" ht="94.5" hidden="1" customHeight="1" x14ac:dyDescent="0.2">
      <c r="A188" s="726"/>
      <c r="B188" s="592" t="s">
        <v>267</v>
      </c>
      <c r="C188" s="728"/>
      <c r="D188" s="730"/>
      <c r="E188" s="728"/>
      <c r="F188" s="722"/>
      <c r="G188" s="732"/>
      <c r="H188" s="728"/>
      <c r="I188" s="722"/>
      <c r="J188" s="724"/>
      <c r="K188" s="726"/>
      <c r="L188" s="732"/>
      <c r="M188" s="363" t="s">
        <v>50</v>
      </c>
      <c r="N188" s="363" t="s">
        <v>525</v>
      </c>
      <c r="O188" s="557" t="s">
        <v>568</v>
      </c>
      <c r="P188" s="46">
        <v>42735</v>
      </c>
      <c r="Q188" s="654" t="s">
        <v>643</v>
      </c>
      <c r="R188" s="367" t="s">
        <v>55</v>
      </c>
      <c r="S188" s="46">
        <v>42900</v>
      </c>
      <c r="T188" s="367" t="s">
        <v>950</v>
      </c>
      <c r="U188" s="383">
        <f t="shared" si="112"/>
        <v>16</v>
      </c>
      <c r="V188" s="375" t="str">
        <f t="shared" ref="V188" si="115">IF(U188&gt;15,"Inoportuno",(IF(U188&lt;0,"No ha formulado PM","Oportuno")))</f>
        <v>Inoportuno</v>
      </c>
      <c r="W188" s="383">
        <f t="shared" ref="W188" si="116">DAYS360(P188,S188,0)+1</f>
        <v>165</v>
      </c>
      <c r="X188" s="374"/>
    </row>
    <row r="189" spans="1:24" ht="141.75" hidden="1" customHeight="1" x14ac:dyDescent="0.2">
      <c r="A189" s="725">
        <f>A187+1</f>
        <v>114</v>
      </c>
      <c r="B189" s="592" t="s">
        <v>267</v>
      </c>
      <c r="C189" s="727" t="s">
        <v>441</v>
      </c>
      <c r="D189" s="729" t="s">
        <v>46</v>
      </c>
      <c r="E189" s="727" t="s">
        <v>0</v>
      </c>
      <c r="F189" s="721" t="s">
        <v>491</v>
      </c>
      <c r="G189" s="731">
        <v>42480</v>
      </c>
      <c r="H189" s="727" t="s">
        <v>530</v>
      </c>
      <c r="I189" s="721" t="s">
        <v>78</v>
      </c>
      <c r="J189" s="723" t="s">
        <v>134</v>
      </c>
      <c r="K189" s="725" t="s">
        <v>79</v>
      </c>
      <c r="L189" s="731">
        <v>42495</v>
      </c>
      <c r="M189" s="363" t="s">
        <v>104</v>
      </c>
      <c r="N189" s="363" t="s">
        <v>527</v>
      </c>
      <c r="O189" s="557" t="s">
        <v>533</v>
      </c>
      <c r="P189" s="46">
        <v>42495</v>
      </c>
      <c r="Q189" s="677" t="s">
        <v>1057</v>
      </c>
      <c r="R189" s="367" t="s">
        <v>55</v>
      </c>
      <c r="S189" s="46">
        <v>42892</v>
      </c>
      <c r="T189" s="367" t="s">
        <v>1051</v>
      </c>
      <c r="U189" s="498">
        <f t="shared" si="112"/>
        <v>1</v>
      </c>
      <c r="V189" s="375" t="str">
        <f t="shared" ref="V189:V193" si="117">IF(U189&gt;15,"Inoportuno",(IF(U189&lt;0,"No ha formulado PM","Oportuno")))</f>
        <v>Oportuno</v>
      </c>
      <c r="W189" s="383">
        <f t="shared" ref="W189:W193" si="118">DAYS360(P189,S189,0)+1</f>
        <v>392</v>
      </c>
      <c r="X189" s="374"/>
    </row>
    <row r="190" spans="1:24" ht="68.25" hidden="1" customHeight="1" x14ac:dyDescent="0.2">
      <c r="A190" s="726"/>
      <c r="B190" s="592" t="s">
        <v>267</v>
      </c>
      <c r="C190" s="728"/>
      <c r="D190" s="730"/>
      <c r="E190" s="728"/>
      <c r="F190" s="722"/>
      <c r="G190" s="732"/>
      <c r="H190" s="728"/>
      <c r="I190" s="722"/>
      <c r="J190" s="724"/>
      <c r="K190" s="726"/>
      <c r="L190" s="732"/>
      <c r="M190" s="363" t="s">
        <v>50</v>
      </c>
      <c r="N190" s="363" t="s">
        <v>527</v>
      </c>
      <c r="O190" s="557" t="s">
        <v>569</v>
      </c>
      <c r="P190" s="46">
        <v>42490</v>
      </c>
      <c r="Q190" s="683" t="s">
        <v>1080</v>
      </c>
      <c r="R190" s="367" t="s">
        <v>55</v>
      </c>
      <c r="S190" s="46">
        <v>42887</v>
      </c>
      <c r="T190" s="367" t="s">
        <v>1051</v>
      </c>
      <c r="U190" s="383">
        <f t="shared" si="112"/>
        <v>16</v>
      </c>
      <c r="V190" s="375" t="str">
        <f t="shared" ref="V190" si="119">IF(U190&gt;15,"Inoportuno",(IF(U190&lt;0,"No ha formulado PM","Oportuno")))</f>
        <v>Inoportuno</v>
      </c>
      <c r="W190" s="383">
        <f t="shared" ref="W190" si="120">DAYS360(P190,S190,0)+1</f>
        <v>392</v>
      </c>
      <c r="X190" s="374"/>
    </row>
    <row r="191" spans="1:24" ht="68.25" hidden="1" customHeight="1" x14ac:dyDescent="0.2">
      <c r="A191" s="725">
        <v>115</v>
      </c>
      <c r="B191" s="592" t="s">
        <v>267</v>
      </c>
      <c r="C191" s="727" t="s">
        <v>441</v>
      </c>
      <c r="D191" s="729" t="s">
        <v>46</v>
      </c>
      <c r="E191" s="727" t="s">
        <v>0</v>
      </c>
      <c r="F191" s="721" t="s">
        <v>491</v>
      </c>
      <c r="G191" s="731">
        <v>42480</v>
      </c>
      <c r="H191" s="727" t="s">
        <v>531</v>
      </c>
      <c r="I191" s="721" t="s">
        <v>78</v>
      </c>
      <c r="J191" s="723" t="s">
        <v>133</v>
      </c>
      <c r="K191" s="725" t="s">
        <v>79</v>
      </c>
      <c r="L191" s="731">
        <v>42495</v>
      </c>
      <c r="M191" s="363" t="s">
        <v>104</v>
      </c>
      <c r="N191" s="363" t="s">
        <v>527</v>
      </c>
      <c r="O191" s="557" t="s">
        <v>570</v>
      </c>
      <c r="P191" s="46">
        <v>42520</v>
      </c>
      <c r="Q191" s="656" t="s">
        <v>644</v>
      </c>
      <c r="R191" s="367" t="s">
        <v>55</v>
      </c>
      <c r="S191" s="46">
        <v>42535</v>
      </c>
      <c r="T191" s="367" t="s">
        <v>995</v>
      </c>
      <c r="U191" s="498">
        <f t="shared" si="112"/>
        <v>1</v>
      </c>
      <c r="V191" s="375" t="str">
        <f t="shared" si="117"/>
        <v>Oportuno</v>
      </c>
      <c r="W191" s="383">
        <f t="shared" si="118"/>
        <v>15</v>
      </c>
      <c r="X191" s="374"/>
    </row>
    <row r="192" spans="1:24" ht="111.75" hidden="1" customHeight="1" x14ac:dyDescent="0.2">
      <c r="A192" s="726"/>
      <c r="B192" s="592" t="s">
        <v>267</v>
      </c>
      <c r="C192" s="728"/>
      <c r="D192" s="730"/>
      <c r="E192" s="728"/>
      <c r="F192" s="722"/>
      <c r="G192" s="732"/>
      <c r="H192" s="728"/>
      <c r="I192" s="722"/>
      <c r="J192" s="724"/>
      <c r="K192" s="726"/>
      <c r="L192" s="732"/>
      <c r="M192" s="363" t="s">
        <v>50</v>
      </c>
      <c r="N192" s="363" t="s">
        <v>527</v>
      </c>
      <c r="O192" s="557" t="s">
        <v>571</v>
      </c>
      <c r="P192" s="46">
        <v>42735</v>
      </c>
      <c r="Q192" s="654" t="s">
        <v>1095</v>
      </c>
      <c r="R192" s="367" t="s">
        <v>55</v>
      </c>
      <c r="S192" s="46">
        <v>42892</v>
      </c>
      <c r="T192" s="367" t="s">
        <v>1096</v>
      </c>
      <c r="U192" s="383">
        <f t="shared" si="112"/>
        <v>16</v>
      </c>
      <c r="V192" s="375" t="str">
        <f t="shared" ref="V192" si="121">IF(U192&gt;15,"Inoportuno",(IF(U192&lt;0,"No ha formulado PM","Oportuno")))</f>
        <v>Inoportuno</v>
      </c>
      <c r="W192" s="383">
        <f t="shared" ref="W192" si="122">DAYS360(P192,S192,0)+1</f>
        <v>157</v>
      </c>
      <c r="X192" s="374"/>
    </row>
    <row r="193" spans="1:24" ht="68.25" hidden="1" customHeight="1" x14ac:dyDescent="0.2">
      <c r="A193" s="725">
        <v>116</v>
      </c>
      <c r="B193" s="592" t="s">
        <v>267</v>
      </c>
      <c r="C193" s="727" t="s">
        <v>441</v>
      </c>
      <c r="D193" s="729" t="s">
        <v>46</v>
      </c>
      <c r="E193" s="727" t="s">
        <v>0</v>
      </c>
      <c r="F193" s="721" t="s">
        <v>491</v>
      </c>
      <c r="G193" s="731">
        <v>42480</v>
      </c>
      <c r="H193" s="727" t="s">
        <v>532</v>
      </c>
      <c r="I193" s="721" t="s">
        <v>78</v>
      </c>
      <c r="J193" s="723" t="s">
        <v>133</v>
      </c>
      <c r="K193" s="725" t="s">
        <v>79</v>
      </c>
      <c r="L193" s="731">
        <v>42933</v>
      </c>
      <c r="M193" s="363" t="s">
        <v>104</v>
      </c>
      <c r="N193" s="196" t="s">
        <v>527</v>
      </c>
      <c r="O193" s="557" t="s">
        <v>572</v>
      </c>
      <c r="P193" s="46">
        <v>42495</v>
      </c>
      <c r="Q193" s="654" t="s">
        <v>645</v>
      </c>
      <c r="R193" s="367" t="s">
        <v>55</v>
      </c>
      <c r="S193" s="46">
        <v>42535</v>
      </c>
      <c r="T193" s="367" t="s">
        <v>995</v>
      </c>
      <c r="U193" s="498">
        <f t="shared" si="112"/>
        <v>1</v>
      </c>
      <c r="V193" s="375" t="str">
        <f t="shared" si="117"/>
        <v>Oportuno</v>
      </c>
      <c r="W193" s="383">
        <f t="shared" si="118"/>
        <v>40</v>
      </c>
      <c r="X193" s="374"/>
    </row>
    <row r="194" spans="1:24" ht="84.75" hidden="1" customHeight="1" x14ac:dyDescent="0.2">
      <c r="A194" s="734"/>
      <c r="B194" s="592" t="s">
        <v>267</v>
      </c>
      <c r="C194" s="743"/>
      <c r="D194" s="735"/>
      <c r="E194" s="743"/>
      <c r="F194" s="741"/>
      <c r="G194" s="760"/>
      <c r="H194" s="743"/>
      <c r="I194" s="741"/>
      <c r="J194" s="768"/>
      <c r="K194" s="734"/>
      <c r="L194" s="760"/>
      <c r="M194" s="363" t="s">
        <v>50</v>
      </c>
      <c r="N194" s="196" t="s">
        <v>527</v>
      </c>
      <c r="O194" s="557" t="s">
        <v>1100</v>
      </c>
      <c r="P194" s="46">
        <v>43100</v>
      </c>
      <c r="Q194" s="654" t="s">
        <v>646</v>
      </c>
      <c r="R194" s="367" t="s">
        <v>51</v>
      </c>
      <c r="S194" s="46"/>
      <c r="T194" s="367"/>
      <c r="U194" s="383">
        <f t="shared" ref="U194" si="123">DAYS360(G194,L194,0)+1</f>
        <v>1</v>
      </c>
      <c r="V194" s="375" t="str">
        <f t="shared" ref="V194" si="124">IF(U194&gt;15,"Inoportuno",(IF(U194&lt;0,"No ha formulado PM","Oportuno")))</f>
        <v>Oportuno</v>
      </c>
      <c r="W194" s="383">
        <f t="shared" ref="W194" si="125">DAYS360(P194,S194,0)+1</f>
        <v>-42479</v>
      </c>
      <c r="X194" s="374"/>
    </row>
    <row r="195" spans="1:24" ht="76.5" hidden="1" customHeight="1" x14ac:dyDescent="0.2">
      <c r="A195" s="726"/>
      <c r="B195" s="592" t="s">
        <v>267</v>
      </c>
      <c r="C195" s="728"/>
      <c r="D195" s="730"/>
      <c r="E195" s="728"/>
      <c r="F195" s="722"/>
      <c r="G195" s="732"/>
      <c r="H195" s="728"/>
      <c r="I195" s="722"/>
      <c r="J195" s="724"/>
      <c r="K195" s="726"/>
      <c r="L195" s="732"/>
      <c r="M195" s="363" t="s">
        <v>50</v>
      </c>
      <c r="N195" s="196" t="s">
        <v>527</v>
      </c>
      <c r="O195" s="557" t="s">
        <v>1101</v>
      </c>
      <c r="P195" s="46">
        <v>43100</v>
      </c>
      <c r="Q195" s="655" t="s">
        <v>647</v>
      </c>
      <c r="R195" s="367" t="s">
        <v>51</v>
      </c>
      <c r="S195" s="46"/>
      <c r="T195" s="367"/>
      <c r="U195" s="383">
        <f>DAYS360(G193,L193,0)+1</f>
        <v>448</v>
      </c>
      <c r="V195" s="375" t="str">
        <f t="shared" ref="V195" si="126">IF(U195&gt;15,"Inoportuno",(IF(U195&lt;0,"No ha formulado PM","Oportuno")))</f>
        <v>Inoportuno</v>
      </c>
      <c r="W195" s="383">
        <f t="shared" ref="W195" si="127">DAYS360(P195,S195,0)+1</f>
        <v>-42479</v>
      </c>
      <c r="X195" s="374"/>
    </row>
    <row r="196" spans="1:24" ht="102" hidden="1" x14ac:dyDescent="0.2">
      <c r="A196" s="367">
        <f>A193+1</f>
        <v>117</v>
      </c>
      <c r="B196" s="363" t="s">
        <v>333</v>
      </c>
      <c r="C196" s="447" t="s">
        <v>204</v>
      </c>
      <c r="D196" s="361" t="s">
        <v>46</v>
      </c>
      <c r="E196" s="371" t="s">
        <v>0</v>
      </c>
      <c r="F196" s="364" t="s">
        <v>58</v>
      </c>
      <c r="G196" s="46">
        <v>42480</v>
      </c>
      <c r="H196" s="555" t="s">
        <v>544</v>
      </c>
      <c r="I196" s="364" t="s">
        <v>78</v>
      </c>
      <c r="J196" s="459" t="s">
        <v>134</v>
      </c>
      <c r="K196" s="159" t="s">
        <v>79</v>
      </c>
      <c r="L196" s="503">
        <v>42765</v>
      </c>
      <c r="M196" s="363" t="s">
        <v>50</v>
      </c>
      <c r="N196" s="363" t="s">
        <v>362</v>
      </c>
      <c r="O196" s="557" t="s">
        <v>937</v>
      </c>
      <c r="P196" s="46">
        <v>43084</v>
      </c>
      <c r="Q196" s="654" t="s">
        <v>938</v>
      </c>
      <c r="R196" s="458" t="s">
        <v>55</v>
      </c>
      <c r="S196" s="461">
        <v>42942</v>
      </c>
      <c r="T196" s="367" t="s">
        <v>798</v>
      </c>
      <c r="U196" s="383">
        <f t="shared" ref="U196:U259" si="128">DAYS360(G196,L196,0)+1</f>
        <v>281</v>
      </c>
      <c r="V196" s="375" t="str">
        <f t="shared" ref="V196:V259" si="129">IF(U196&gt;15,"Inoportuno",(IF(U196&lt;0,"No ha formulado PM","Oportuno")))</f>
        <v>Inoportuno</v>
      </c>
      <c r="W196" s="383">
        <f t="shared" ref="W196:W260" si="130">DAYS360(P196,S196,0)+1</f>
        <v>-138</v>
      </c>
      <c r="X196" s="374"/>
    </row>
    <row r="197" spans="1:24" ht="59.25" hidden="1" customHeight="1" x14ac:dyDescent="0.2">
      <c r="A197" s="367">
        <f>A196+1</f>
        <v>118</v>
      </c>
      <c r="B197" s="363" t="s">
        <v>333</v>
      </c>
      <c r="C197" s="447" t="s">
        <v>204</v>
      </c>
      <c r="D197" s="361" t="s">
        <v>46</v>
      </c>
      <c r="E197" s="371" t="s">
        <v>0</v>
      </c>
      <c r="F197" s="364" t="s">
        <v>58</v>
      </c>
      <c r="G197" s="506">
        <v>42480</v>
      </c>
      <c r="H197" s="563" t="s">
        <v>545</v>
      </c>
      <c r="I197" s="507" t="s">
        <v>78</v>
      </c>
      <c r="J197" s="365" t="s">
        <v>134</v>
      </c>
      <c r="K197" s="159" t="s">
        <v>79</v>
      </c>
      <c r="L197" s="46">
        <v>42500</v>
      </c>
      <c r="M197" s="363" t="s">
        <v>50</v>
      </c>
      <c r="N197" s="363" t="s">
        <v>362</v>
      </c>
      <c r="O197" s="559" t="s">
        <v>723</v>
      </c>
      <c r="P197" s="46">
        <v>42551</v>
      </c>
      <c r="Q197" s="196" t="s">
        <v>724</v>
      </c>
      <c r="R197" s="458" t="s">
        <v>55</v>
      </c>
      <c r="S197" s="46">
        <v>42706</v>
      </c>
      <c r="T197" s="367" t="s">
        <v>861</v>
      </c>
      <c r="U197" s="383">
        <f t="shared" si="128"/>
        <v>21</v>
      </c>
      <c r="V197" s="375" t="str">
        <f t="shared" si="129"/>
        <v>Inoportuno</v>
      </c>
      <c r="W197" s="383">
        <f t="shared" si="130"/>
        <v>153</v>
      </c>
      <c r="X197" s="374"/>
    </row>
    <row r="198" spans="1:24" ht="44.25" hidden="1" customHeight="1" x14ac:dyDescent="0.2">
      <c r="A198" s="367">
        <f>A197+1</f>
        <v>119</v>
      </c>
      <c r="B198" s="363" t="s">
        <v>333</v>
      </c>
      <c r="C198" s="447" t="s">
        <v>204</v>
      </c>
      <c r="D198" s="361" t="s">
        <v>46</v>
      </c>
      <c r="E198" s="371" t="s">
        <v>0</v>
      </c>
      <c r="F198" s="364" t="s">
        <v>58</v>
      </c>
      <c r="G198" s="46">
        <v>42480</v>
      </c>
      <c r="H198" s="554" t="s">
        <v>546</v>
      </c>
      <c r="I198" s="364" t="s">
        <v>78</v>
      </c>
      <c r="J198" s="450" t="s">
        <v>134</v>
      </c>
      <c r="K198" s="159" t="s">
        <v>79</v>
      </c>
      <c r="L198" s="46">
        <v>42500</v>
      </c>
      <c r="M198" s="363" t="s">
        <v>50</v>
      </c>
      <c r="N198" s="363" t="s">
        <v>361</v>
      </c>
      <c r="O198" s="558" t="s">
        <v>725</v>
      </c>
      <c r="P198" s="46">
        <v>42581</v>
      </c>
      <c r="Q198" s="666" t="s">
        <v>939</v>
      </c>
      <c r="R198" s="367" t="s">
        <v>55</v>
      </c>
      <c r="S198" s="46">
        <v>42942</v>
      </c>
      <c r="T198" s="617" t="s">
        <v>940</v>
      </c>
      <c r="U198" s="383">
        <f t="shared" si="128"/>
        <v>21</v>
      </c>
      <c r="V198" s="375" t="str">
        <f t="shared" si="129"/>
        <v>Inoportuno</v>
      </c>
      <c r="W198" s="383">
        <f t="shared" si="130"/>
        <v>357</v>
      </c>
      <c r="X198" s="374"/>
    </row>
    <row r="199" spans="1:24" ht="54.75" hidden="1" customHeight="1" x14ac:dyDescent="0.2">
      <c r="A199" s="367">
        <f>A198+1</f>
        <v>120</v>
      </c>
      <c r="B199" s="363" t="s">
        <v>37</v>
      </c>
      <c r="C199" s="363" t="s">
        <v>204</v>
      </c>
      <c r="D199" s="361" t="s">
        <v>43</v>
      </c>
      <c r="E199" s="371" t="s">
        <v>0</v>
      </c>
      <c r="F199" s="364" t="s">
        <v>491</v>
      </c>
      <c r="G199" s="46">
        <v>42527</v>
      </c>
      <c r="H199" s="548" t="s">
        <v>607</v>
      </c>
      <c r="I199" s="364" t="s">
        <v>78</v>
      </c>
      <c r="J199" s="365" t="s">
        <v>133</v>
      </c>
      <c r="K199" s="159" t="s">
        <v>79</v>
      </c>
      <c r="L199" s="46">
        <v>42527</v>
      </c>
      <c r="M199" s="363" t="s">
        <v>50</v>
      </c>
      <c r="N199" s="447" t="s">
        <v>698</v>
      </c>
      <c r="O199" s="557" t="s">
        <v>697</v>
      </c>
      <c r="P199" s="46">
        <v>42643</v>
      </c>
      <c r="Q199" s="654"/>
      <c r="R199" s="367" t="s">
        <v>51</v>
      </c>
      <c r="S199" s="46"/>
      <c r="T199" s="367"/>
      <c r="U199" s="383">
        <f t="shared" si="128"/>
        <v>1</v>
      </c>
      <c r="V199" s="375" t="str">
        <f t="shared" si="129"/>
        <v>Oportuno</v>
      </c>
      <c r="W199" s="383">
        <f t="shared" si="130"/>
        <v>-42029</v>
      </c>
      <c r="X199" s="374"/>
    </row>
    <row r="200" spans="1:24" ht="78" hidden="1" customHeight="1" x14ac:dyDescent="0.2">
      <c r="A200" s="367">
        <f t="shared" ref="A200:A305" si="131">+A199+1</f>
        <v>121</v>
      </c>
      <c r="B200" s="363" t="s">
        <v>37</v>
      </c>
      <c r="C200" s="363" t="s">
        <v>204</v>
      </c>
      <c r="D200" s="361" t="s">
        <v>43</v>
      </c>
      <c r="E200" s="371" t="s">
        <v>0</v>
      </c>
      <c r="F200" s="364" t="s">
        <v>491</v>
      </c>
      <c r="G200" s="46">
        <v>42527</v>
      </c>
      <c r="H200" s="548" t="s">
        <v>608</v>
      </c>
      <c r="I200" s="364" t="s">
        <v>78</v>
      </c>
      <c r="J200" s="365" t="s">
        <v>133</v>
      </c>
      <c r="K200" s="159" t="s">
        <v>79</v>
      </c>
      <c r="L200" s="46">
        <v>42527</v>
      </c>
      <c r="M200" s="363" t="s">
        <v>50</v>
      </c>
      <c r="N200" s="447" t="s">
        <v>698</v>
      </c>
      <c r="O200" s="557" t="s">
        <v>699</v>
      </c>
      <c r="P200" s="46">
        <v>42643</v>
      </c>
      <c r="Q200" s="654"/>
      <c r="R200" s="367" t="s">
        <v>51</v>
      </c>
      <c r="S200" s="46"/>
      <c r="T200" s="367"/>
      <c r="U200" s="383">
        <f t="shared" si="128"/>
        <v>1</v>
      </c>
      <c r="V200" s="375" t="str">
        <f t="shared" si="129"/>
        <v>Oportuno</v>
      </c>
      <c r="W200" s="383">
        <f t="shared" si="130"/>
        <v>-42029</v>
      </c>
      <c r="X200" s="374"/>
    </row>
    <row r="201" spans="1:24" ht="127.5" customHeight="1" x14ac:dyDescent="0.2">
      <c r="A201" s="367">
        <f>A200+1</f>
        <v>122</v>
      </c>
      <c r="B201" s="363" t="s">
        <v>25</v>
      </c>
      <c r="C201" s="447" t="s">
        <v>204</v>
      </c>
      <c r="D201" s="361" t="s">
        <v>43</v>
      </c>
      <c r="E201" s="371" t="s">
        <v>205</v>
      </c>
      <c r="F201" s="364" t="s">
        <v>59</v>
      </c>
      <c r="G201" s="46">
        <v>42548</v>
      </c>
      <c r="H201" s="689" t="s">
        <v>604</v>
      </c>
      <c r="I201" s="364" t="s">
        <v>78</v>
      </c>
      <c r="J201" s="365" t="s">
        <v>134</v>
      </c>
      <c r="K201" s="159" t="s">
        <v>79</v>
      </c>
      <c r="L201" s="46">
        <v>42566</v>
      </c>
      <c r="M201" s="363" t="s">
        <v>50</v>
      </c>
      <c r="N201" s="439" t="s">
        <v>653</v>
      </c>
      <c r="O201" s="557" t="s">
        <v>652</v>
      </c>
      <c r="P201" s="46">
        <v>42612</v>
      </c>
      <c r="Q201" s="582" t="s">
        <v>881</v>
      </c>
      <c r="R201" s="367" t="s">
        <v>55</v>
      </c>
      <c r="S201" s="580" t="s">
        <v>882</v>
      </c>
      <c r="T201" s="583" t="s">
        <v>884</v>
      </c>
      <c r="U201" s="383">
        <f t="shared" si="128"/>
        <v>19</v>
      </c>
      <c r="V201" s="375" t="str">
        <f t="shared" si="129"/>
        <v>Inoportuno</v>
      </c>
      <c r="W201" s="383" t="e">
        <f t="shared" si="130"/>
        <v>#VALUE!</v>
      </c>
      <c r="X201" s="374"/>
    </row>
    <row r="202" spans="1:24" ht="62.25" customHeight="1" x14ac:dyDescent="0.2">
      <c r="A202" s="367">
        <f t="shared" si="131"/>
        <v>123</v>
      </c>
      <c r="B202" s="363" t="s">
        <v>25</v>
      </c>
      <c r="C202" s="447" t="s">
        <v>204</v>
      </c>
      <c r="D202" s="361" t="s">
        <v>43</v>
      </c>
      <c r="E202" s="371" t="s">
        <v>205</v>
      </c>
      <c r="F202" s="364" t="s">
        <v>59</v>
      </c>
      <c r="G202" s="46">
        <v>42548</v>
      </c>
      <c r="H202" s="689" t="s">
        <v>605</v>
      </c>
      <c r="I202" s="364" t="s">
        <v>78</v>
      </c>
      <c r="J202" s="365" t="s">
        <v>134</v>
      </c>
      <c r="K202" s="159" t="s">
        <v>79</v>
      </c>
      <c r="L202" s="46">
        <v>42566</v>
      </c>
      <c r="M202" s="363" t="s">
        <v>50</v>
      </c>
      <c r="N202" s="439" t="s">
        <v>653</v>
      </c>
      <c r="O202" s="557" t="s">
        <v>654</v>
      </c>
      <c r="P202" s="46">
        <v>42612</v>
      </c>
      <c r="Q202" s="590" t="s">
        <v>879</v>
      </c>
      <c r="R202" s="367" t="s">
        <v>55</v>
      </c>
      <c r="S202" s="585" t="s">
        <v>882</v>
      </c>
      <c r="T202" s="589" t="s">
        <v>883</v>
      </c>
      <c r="U202" s="383">
        <f t="shared" si="128"/>
        <v>19</v>
      </c>
      <c r="V202" s="375" t="str">
        <f t="shared" si="129"/>
        <v>Inoportuno</v>
      </c>
      <c r="W202" s="383" t="e">
        <f>DAYS360(P202,T202,0)+1</f>
        <v>#VALUE!</v>
      </c>
      <c r="X202" s="374"/>
    </row>
    <row r="203" spans="1:24" ht="106.5" customHeight="1" x14ac:dyDescent="0.2">
      <c r="A203" s="367">
        <f t="shared" si="131"/>
        <v>124</v>
      </c>
      <c r="B203" s="363" t="s">
        <v>25</v>
      </c>
      <c r="C203" s="447" t="s">
        <v>204</v>
      </c>
      <c r="D203" s="361" t="s">
        <v>43</v>
      </c>
      <c r="E203" s="371" t="s">
        <v>205</v>
      </c>
      <c r="F203" s="364" t="s">
        <v>59</v>
      </c>
      <c r="G203" s="46">
        <v>42548</v>
      </c>
      <c r="H203" s="689" t="s">
        <v>606</v>
      </c>
      <c r="I203" s="364" t="s">
        <v>78</v>
      </c>
      <c r="J203" s="365" t="s">
        <v>134</v>
      </c>
      <c r="K203" s="159" t="s">
        <v>79</v>
      </c>
      <c r="L203" s="46">
        <v>42566</v>
      </c>
      <c r="M203" s="363" t="s">
        <v>50</v>
      </c>
      <c r="N203" s="439" t="s">
        <v>653</v>
      </c>
      <c r="O203" s="557" t="s">
        <v>655</v>
      </c>
      <c r="P203" s="46">
        <v>42581</v>
      </c>
      <c r="Q203" s="654" t="s">
        <v>880</v>
      </c>
      <c r="R203" s="367" t="s">
        <v>55</v>
      </c>
      <c r="S203" s="585" t="s">
        <v>882</v>
      </c>
      <c r="T203" s="589" t="s">
        <v>878</v>
      </c>
      <c r="U203" s="383">
        <f t="shared" si="128"/>
        <v>19</v>
      </c>
      <c r="V203" s="375" t="str">
        <f t="shared" si="129"/>
        <v>Inoportuno</v>
      </c>
      <c r="W203" s="383" t="e">
        <f>DAYS360(P203,T203,0)+1</f>
        <v>#VALUE!</v>
      </c>
      <c r="X203" s="374"/>
    </row>
    <row r="204" spans="1:24" ht="116.25" hidden="1" customHeight="1" x14ac:dyDescent="0.2">
      <c r="A204" s="367">
        <f>A203+1</f>
        <v>125</v>
      </c>
      <c r="B204" s="363" t="s">
        <v>36</v>
      </c>
      <c r="C204" s="363" t="s">
        <v>409</v>
      </c>
      <c r="D204" s="361" t="s">
        <v>43</v>
      </c>
      <c r="E204" s="371" t="s">
        <v>0</v>
      </c>
      <c r="F204" s="364" t="s">
        <v>56</v>
      </c>
      <c r="G204" s="46">
        <v>42550</v>
      </c>
      <c r="H204" s="548" t="s">
        <v>634</v>
      </c>
      <c r="I204" s="364" t="s">
        <v>78</v>
      </c>
      <c r="J204" s="365" t="s">
        <v>133</v>
      </c>
      <c r="K204" s="159" t="s">
        <v>79</v>
      </c>
      <c r="L204" s="46">
        <v>42572</v>
      </c>
      <c r="M204" s="363" t="s">
        <v>54</v>
      </c>
      <c r="N204" s="363" t="s">
        <v>651</v>
      </c>
      <c r="O204" s="557" t="s">
        <v>648</v>
      </c>
      <c r="P204" s="46">
        <v>42735</v>
      </c>
      <c r="Q204" s="654" t="s">
        <v>1039</v>
      </c>
      <c r="R204" s="367" t="s">
        <v>51</v>
      </c>
      <c r="S204" s="46"/>
      <c r="T204" s="367"/>
      <c r="U204" s="383">
        <f t="shared" ref="U204:U206" si="132">DAYS360(G204,L204,0)+1</f>
        <v>23</v>
      </c>
      <c r="V204" s="375" t="str">
        <f t="shared" ref="V204:V206" si="133">IF(U204&gt;15,"Inoportuno",(IF(U204&lt;0,"No ha formulado PM","Oportuno")))</f>
        <v>Inoportuno</v>
      </c>
      <c r="W204" s="383">
        <f t="shared" ref="W204:W206" si="134">DAYS360(P204,S204,0)+1</f>
        <v>-42119</v>
      </c>
      <c r="X204" s="374"/>
    </row>
    <row r="205" spans="1:24" ht="36.75" hidden="1" customHeight="1" x14ac:dyDescent="0.2">
      <c r="A205" s="367">
        <f>A204+1</f>
        <v>126</v>
      </c>
      <c r="B205" s="363" t="s">
        <v>36</v>
      </c>
      <c r="C205" s="363" t="s">
        <v>409</v>
      </c>
      <c r="D205" s="361" t="s">
        <v>43</v>
      </c>
      <c r="E205" s="371" t="s">
        <v>0</v>
      </c>
      <c r="F205" s="364" t="s">
        <v>56</v>
      </c>
      <c r="G205" s="46">
        <v>42550</v>
      </c>
      <c r="H205" s="548" t="s">
        <v>635</v>
      </c>
      <c r="I205" s="364" t="s">
        <v>78</v>
      </c>
      <c r="J205" s="365" t="s">
        <v>134</v>
      </c>
      <c r="K205" s="159" t="s">
        <v>79</v>
      </c>
      <c r="L205" s="46">
        <v>42572</v>
      </c>
      <c r="M205" s="363" t="s">
        <v>54</v>
      </c>
      <c r="N205" s="363" t="s">
        <v>651</v>
      </c>
      <c r="O205" s="557" t="s">
        <v>649</v>
      </c>
      <c r="P205" s="46">
        <v>42735</v>
      </c>
      <c r="Q205" s="654" t="s">
        <v>1040</v>
      </c>
      <c r="R205" s="367" t="s">
        <v>55</v>
      </c>
      <c r="S205" s="46">
        <v>42934</v>
      </c>
      <c r="T205" s="673" t="s">
        <v>1041</v>
      </c>
      <c r="U205" s="383">
        <f t="shared" si="132"/>
        <v>23</v>
      </c>
      <c r="V205" s="375" t="str">
        <f t="shared" si="133"/>
        <v>Inoportuno</v>
      </c>
      <c r="W205" s="383">
        <f t="shared" si="134"/>
        <v>199</v>
      </c>
      <c r="X205" s="374"/>
    </row>
    <row r="206" spans="1:24" ht="66.75" hidden="1" customHeight="1" x14ac:dyDescent="0.2">
      <c r="A206" s="367">
        <f>A205+1</f>
        <v>127</v>
      </c>
      <c r="B206" s="363" t="s">
        <v>36</v>
      </c>
      <c r="C206" s="363" t="s">
        <v>409</v>
      </c>
      <c r="D206" s="361" t="s">
        <v>43</v>
      </c>
      <c r="E206" s="371" t="s">
        <v>0</v>
      </c>
      <c r="F206" s="364" t="s">
        <v>56</v>
      </c>
      <c r="G206" s="46">
        <v>42550</v>
      </c>
      <c r="H206" s="548" t="s">
        <v>401</v>
      </c>
      <c r="I206" s="364" t="s">
        <v>78</v>
      </c>
      <c r="J206" s="365" t="s">
        <v>134</v>
      </c>
      <c r="K206" s="159" t="s">
        <v>79</v>
      </c>
      <c r="L206" s="46">
        <v>42572</v>
      </c>
      <c r="M206" s="363" t="s">
        <v>54</v>
      </c>
      <c r="N206" s="363" t="s">
        <v>651</v>
      </c>
      <c r="O206" s="557" t="s">
        <v>650</v>
      </c>
      <c r="P206" s="46">
        <v>42735</v>
      </c>
      <c r="Q206" s="654" t="s">
        <v>1042</v>
      </c>
      <c r="R206" s="367" t="s">
        <v>55</v>
      </c>
      <c r="S206" s="46">
        <v>42934</v>
      </c>
      <c r="T206" s="673" t="s">
        <v>1043</v>
      </c>
      <c r="U206" s="383">
        <f t="shared" si="132"/>
        <v>23</v>
      </c>
      <c r="V206" s="375" t="str">
        <f t="shared" si="133"/>
        <v>Inoportuno</v>
      </c>
      <c r="W206" s="383">
        <f t="shared" si="134"/>
        <v>199</v>
      </c>
      <c r="X206" s="374"/>
    </row>
    <row r="207" spans="1:24" ht="240" hidden="1" customHeight="1" x14ac:dyDescent="0.2">
      <c r="A207" s="367">
        <f t="shared" si="131"/>
        <v>128</v>
      </c>
      <c r="B207" s="363" t="s">
        <v>49</v>
      </c>
      <c r="C207" s="363" t="s">
        <v>679</v>
      </c>
      <c r="D207" s="361" t="s">
        <v>43</v>
      </c>
      <c r="E207" s="371" t="s">
        <v>205</v>
      </c>
      <c r="F207" s="364" t="s">
        <v>59</v>
      </c>
      <c r="G207" s="46">
        <v>42551</v>
      </c>
      <c r="H207" s="548" t="s">
        <v>632</v>
      </c>
      <c r="I207" s="364" t="s">
        <v>78</v>
      </c>
      <c r="J207" s="365" t="s">
        <v>134</v>
      </c>
      <c r="K207" s="159" t="s">
        <v>79</v>
      </c>
      <c r="L207" s="46">
        <v>42677</v>
      </c>
      <c r="M207" s="363" t="s">
        <v>104</v>
      </c>
      <c r="N207" s="447" t="s">
        <v>701</v>
      </c>
      <c r="O207" s="557" t="s">
        <v>707</v>
      </c>
      <c r="P207" s="46">
        <v>42735</v>
      </c>
      <c r="Q207" s="654"/>
      <c r="R207" s="367" t="s">
        <v>55</v>
      </c>
      <c r="S207" s="46">
        <v>42733</v>
      </c>
      <c r="T207" s="484" t="s">
        <v>789</v>
      </c>
      <c r="U207" s="383">
        <f t="shared" si="128"/>
        <v>124</v>
      </c>
      <c r="V207" s="375" t="str">
        <f t="shared" si="129"/>
        <v>Inoportuno</v>
      </c>
      <c r="W207" s="383">
        <f t="shared" si="130"/>
        <v>0</v>
      </c>
      <c r="X207" s="374"/>
    </row>
    <row r="208" spans="1:24" ht="174" hidden="1" customHeight="1" x14ac:dyDescent="0.2">
      <c r="A208" s="367">
        <f>A207+1</f>
        <v>129</v>
      </c>
      <c r="B208" s="363" t="s">
        <v>49</v>
      </c>
      <c r="C208" s="363" t="s">
        <v>679</v>
      </c>
      <c r="D208" s="361" t="s">
        <v>43</v>
      </c>
      <c r="E208" s="371" t="s">
        <v>205</v>
      </c>
      <c r="F208" s="364" t="s">
        <v>59</v>
      </c>
      <c r="G208" s="46">
        <v>42551</v>
      </c>
      <c r="H208" s="548" t="s">
        <v>633</v>
      </c>
      <c r="I208" s="364" t="s">
        <v>78</v>
      </c>
      <c r="J208" s="450" t="s">
        <v>134</v>
      </c>
      <c r="K208" s="159" t="s">
        <v>79</v>
      </c>
      <c r="L208" s="46">
        <v>42677</v>
      </c>
      <c r="M208" s="363" t="s">
        <v>104</v>
      </c>
      <c r="N208" s="447" t="s">
        <v>701</v>
      </c>
      <c r="O208" s="557" t="s">
        <v>790</v>
      </c>
      <c r="P208" s="46">
        <v>42735</v>
      </c>
      <c r="Q208" s="654"/>
      <c r="R208" s="367" t="s">
        <v>55</v>
      </c>
      <c r="S208" s="46">
        <v>42886</v>
      </c>
      <c r="T208" s="484" t="s">
        <v>791</v>
      </c>
      <c r="U208" s="383">
        <f t="shared" ref="U208" si="135">DAYS360(G208,L208,0)+1</f>
        <v>124</v>
      </c>
      <c r="V208" s="375" t="str">
        <f t="shared" ref="V208" si="136">IF(U208&gt;15,"Inoportuno",(IF(U208&lt;0,"No ha formulado PM","Oportuno")))</f>
        <v>Inoportuno</v>
      </c>
      <c r="W208" s="383">
        <f t="shared" ref="W208" si="137">DAYS360(P208,S208,0)+1</f>
        <v>151</v>
      </c>
      <c r="X208" s="374"/>
    </row>
    <row r="209" spans="1:24" ht="104.25" hidden="1" customHeight="1" x14ac:dyDescent="0.2">
      <c r="A209" s="367">
        <f t="shared" si="131"/>
        <v>130</v>
      </c>
      <c r="B209" s="363" t="s">
        <v>335</v>
      </c>
      <c r="C209" s="447" t="s">
        <v>204</v>
      </c>
      <c r="D209" s="361" t="s">
        <v>43</v>
      </c>
      <c r="E209" s="371" t="s">
        <v>0</v>
      </c>
      <c r="F209" s="364" t="s">
        <v>492</v>
      </c>
      <c r="G209" s="46">
        <v>42551</v>
      </c>
      <c r="H209" s="548" t="s">
        <v>639</v>
      </c>
      <c r="I209" s="364" t="s">
        <v>78</v>
      </c>
      <c r="J209" s="365" t="s">
        <v>134</v>
      </c>
      <c r="K209" s="159" t="s">
        <v>79</v>
      </c>
      <c r="L209" s="46">
        <v>42551</v>
      </c>
      <c r="M209" s="363" t="s">
        <v>50</v>
      </c>
      <c r="N209" s="363" t="s">
        <v>136</v>
      </c>
      <c r="O209" s="558" t="s">
        <v>890</v>
      </c>
      <c r="P209" s="46">
        <v>42765</v>
      </c>
      <c r="Q209" s="643" t="s">
        <v>1032</v>
      </c>
      <c r="R209" s="367" t="s">
        <v>55</v>
      </c>
      <c r="S209" s="46">
        <v>42859</v>
      </c>
      <c r="T209" s="673" t="s">
        <v>1033</v>
      </c>
      <c r="U209" s="383">
        <f t="shared" ref="U209:U211" si="138">DAYS360(G209,L209,0)+1</f>
        <v>1</v>
      </c>
      <c r="V209" s="375" t="str">
        <f t="shared" ref="V209:V210" si="139">IF(U209&gt;15,"Inoportuno",(IF(U209&lt;0,"No ha formulado PM","Oportuno")))</f>
        <v>Oportuno</v>
      </c>
      <c r="W209" s="383">
        <f t="shared" ref="W209:W211" si="140">DAYS360(P209,S209,0)+1</f>
        <v>95</v>
      </c>
      <c r="X209" s="374"/>
    </row>
    <row r="210" spans="1:24" ht="52.5" hidden="1" customHeight="1" x14ac:dyDescent="0.2">
      <c r="A210" s="367">
        <f t="shared" si="131"/>
        <v>131</v>
      </c>
      <c r="B210" s="363" t="s">
        <v>335</v>
      </c>
      <c r="C210" s="447" t="s">
        <v>204</v>
      </c>
      <c r="D210" s="361" t="s">
        <v>43</v>
      </c>
      <c r="E210" s="371" t="s">
        <v>0</v>
      </c>
      <c r="F210" s="364" t="s">
        <v>492</v>
      </c>
      <c r="G210" s="46">
        <v>42551</v>
      </c>
      <c r="H210" s="548" t="s">
        <v>640</v>
      </c>
      <c r="I210" s="364" t="s">
        <v>78</v>
      </c>
      <c r="J210" s="365" t="s">
        <v>134</v>
      </c>
      <c r="K210" s="159" t="s">
        <v>79</v>
      </c>
      <c r="L210" s="46">
        <v>42581</v>
      </c>
      <c r="M210" s="363" t="s">
        <v>50</v>
      </c>
      <c r="N210" s="363" t="s">
        <v>136</v>
      </c>
      <c r="O210" s="558" t="s">
        <v>834</v>
      </c>
      <c r="P210" s="46">
        <v>42612</v>
      </c>
      <c r="Q210" s="654" t="s">
        <v>667</v>
      </c>
      <c r="R210" s="367" t="s">
        <v>55</v>
      </c>
      <c r="S210" s="46"/>
      <c r="T210" s="367" t="s">
        <v>852</v>
      </c>
      <c r="U210" s="383">
        <f t="shared" si="138"/>
        <v>31</v>
      </c>
      <c r="V210" s="375" t="str">
        <f t="shared" si="139"/>
        <v>Inoportuno</v>
      </c>
      <c r="W210" s="383">
        <f t="shared" si="140"/>
        <v>-41999</v>
      </c>
      <c r="X210" s="374"/>
    </row>
    <row r="211" spans="1:24" ht="81.75" hidden="1" customHeight="1" x14ac:dyDescent="0.2">
      <c r="A211" s="725">
        <f>A210+1</f>
        <v>132</v>
      </c>
      <c r="B211" s="727" t="s">
        <v>10</v>
      </c>
      <c r="C211" s="727" t="s">
        <v>204</v>
      </c>
      <c r="D211" s="729" t="s">
        <v>43</v>
      </c>
      <c r="E211" s="727" t="s">
        <v>0</v>
      </c>
      <c r="F211" s="742" t="s">
        <v>491</v>
      </c>
      <c r="G211" s="757">
        <v>42551</v>
      </c>
      <c r="H211" s="727" t="s">
        <v>641</v>
      </c>
      <c r="I211" s="742" t="s">
        <v>78</v>
      </c>
      <c r="J211" s="723" t="s">
        <v>134</v>
      </c>
      <c r="K211" s="725" t="s">
        <v>79</v>
      </c>
      <c r="L211" s="731">
        <v>42443</v>
      </c>
      <c r="M211" s="447" t="s">
        <v>104</v>
      </c>
      <c r="N211" s="447" t="s">
        <v>681</v>
      </c>
      <c r="O211" s="557" t="s">
        <v>708</v>
      </c>
      <c r="P211" s="46">
        <v>42536</v>
      </c>
      <c r="Q211" s="654" t="s">
        <v>874</v>
      </c>
      <c r="R211" s="449" t="s">
        <v>55</v>
      </c>
      <c r="S211" s="580" t="s">
        <v>865</v>
      </c>
      <c r="T211" s="449" t="s">
        <v>864</v>
      </c>
      <c r="U211" s="551">
        <f t="shared" si="138"/>
        <v>-105</v>
      </c>
      <c r="V211" s="552" t="s">
        <v>858</v>
      </c>
      <c r="W211" s="551" t="e">
        <f t="shared" si="140"/>
        <v>#VALUE!</v>
      </c>
      <c r="X211" s="451"/>
    </row>
    <row r="212" spans="1:24" ht="64.5" hidden="1" customHeight="1" x14ac:dyDescent="0.2">
      <c r="A212" s="726"/>
      <c r="B212" s="743"/>
      <c r="C212" s="728"/>
      <c r="D212" s="730"/>
      <c r="E212" s="728"/>
      <c r="F212" s="722"/>
      <c r="G212" s="732"/>
      <c r="H212" s="728"/>
      <c r="I212" s="722"/>
      <c r="J212" s="724"/>
      <c r="K212" s="726"/>
      <c r="L212" s="732"/>
      <c r="M212" s="363" t="s">
        <v>54</v>
      </c>
      <c r="N212" s="447" t="s">
        <v>681</v>
      </c>
      <c r="O212" s="557" t="s">
        <v>709</v>
      </c>
      <c r="P212" s="46">
        <v>42536</v>
      </c>
      <c r="Q212" s="643" t="s">
        <v>906</v>
      </c>
      <c r="R212" s="367" t="s">
        <v>55</v>
      </c>
      <c r="S212" s="46">
        <v>42550</v>
      </c>
      <c r="T212" s="367" t="s">
        <v>907</v>
      </c>
      <c r="U212" s="383">
        <f>DAYS360(G211,L211,0)+1</f>
        <v>-105</v>
      </c>
      <c r="V212" s="375" t="s">
        <v>858</v>
      </c>
      <c r="W212" s="383">
        <f t="shared" ref="W212" si="141">DAYS360(P212,S212,0)+1</f>
        <v>15</v>
      </c>
      <c r="X212" s="374"/>
    </row>
    <row r="213" spans="1:24" ht="238.5" hidden="1" customHeight="1" x14ac:dyDescent="0.2">
      <c r="A213" s="367">
        <f>A211+1</f>
        <v>133</v>
      </c>
      <c r="B213" s="363" t="s">
        <v>335</v>
      </c>
      <c r="C213" s="363" t="s">
        <v>668</v>
      </c>
      <c r="D213" s="361" t="s">
        <v>43</v>
      </c>
      <c r="E213" s="371" t="s">
        <v>0</v>
      </c>
      <c r="F213" s="364" t="s">
        <v>492</v>
      </c>
      <c r="G213" s="46">
        <v>42663</v>
      </c>
      <c r="H213" s="568" t="s">
        <v>669</v>
      </c>
      <c r="I213" s="364" t="s">
        <v>78</v>
      </c>
      <c r="J213" s="365" t="s">
        <v>134</v>
      </c>
      <c r="K213" s="159" t="s">
        <v>79</v>
      </c>
      <c r="L213" s="46">
        <v>42551</v>
      </c>
      <c r="M213" s="363" t="s">
        <v>50</v>
      </c>
      <c r="N213" s="363" t="s">
        <v>144</v>
      </c>
      <c r="O213" s="557" t="s">
        <v>672</v>
      </c>
      <c r="P213" s="46">
        <v>42765</v>
      </c>
      <c r="Q213" s="654" t="s">
        <v>886</v>
      </c>
      <c r="R213" s="367" t="s">
        <v>55</v>
      </c>
      <c r="S213" s="46" t="s">
        <v>887</v>
      </c>
      <c r="T213" s="597" t="s">
        <v>888</v>
      </c>
      <c r="U213" s="383">
        <f t="shared" ref="U213:U224" si="142">DAYS360(G213,L213,0)+1</f>
        <v>-109</v>
      </c>
      <c r="V213" s="375" t="s">
        <v>858</v>
      </c>
      <c r="W213" s="383" t="e">
        <f t="shared" ref="W213:W233" si="143">DAYS360(P213,S213,0)+1</f>
        <v>#VALUE!</v>
      </c>
      <c r="X213" s="374"/>
    </row>
    <row r="214" spans="1:24" ht="106.5" hidden="1" customHeight="1" x14ac:dyDescent="0.2">
      <c r="A214" s="367">
        <f t="shared" si="131"/>
        <v>134</v>
      </c>
      <c r="B214" s="363" t="s">
        <v>335</v>
      </c>
      <c r="C214" s="363" t="s">
        <v>668</v>
      </c>
      <c r="D214" s="361" t="s">
        <v>43</v>
      </c>
      <c r="E214" s="371" t="s">
        <v>0</v>
      </c>
      <c r="F214" s="364" t="s">
        <v>492</v>
      </c>
      <c r="G214" s="46">
        <v>42663</v>
      </c>
      <c r="H214" s="43" t="s">
        <v>670</v>
      </c>
      <c r="I214" s="364" t="s">
        <v>78</v>
      </c>
      <c r="J214" s="365" t="s">
        <v>134</v>
      </c>
      <c r="K214" s="159" t="s">
        <v>79</v>
      </c>
      <c r="L214" s="46">
        <v>42644</v>
      </c>
      <c r="M214" s="363" t="s">
        <v>50</v>
      </c>
      <c r="N214" s="363" t="s">
        <v>671</v>
      </c>
      <c r="O214" s="557" t="s">
        <v>891</v>
      </c>
      <c r="P214" s="46">
        <v>42794</v>
      </c>
      <c r="Q214" s="643" t="s">
        <v>1034</v>
      </c>
      <c r="R214" s="367" t="s">
        <v>55</v>
      </c>
      <c r="S214" s="46">
        <v>42859</v>
      </c>
      <c r="T214" s="673" t="s">
        <v>1035</v>
      </c>
      <c r="U214" s="383">
        <f t="shared" si="142"/>
        <v>-18</v>
      </c>
      <c r="V214" s="375" t="s">
        <v>858</v>
      </c>
      <c r="W214" s="383">
        <f t="shared" si="143"/>
        <v>65</v>
      </c>
      <c r="X214" s="374"/>
    </row>
    <row r="215" spans="1:24" ht="119.25" hidden="1" customHeight="1" x14ac:dyDescent="0.2">
      <c r="A215" s="367">
        <f t="shared" si="131"/>
        <v>135</v>
      </c>
      <c r="B215" s="363" t="s">
        <v>36</v>
      </c>
      <c r="C215" s="363" t="s">
        <v>668</v>
      </c>
      <c r="D215" s="361" t="s">
        <v>43</v>
      </c>
      <c r="E215" s="371" t="s">
        <v>0</v>
      </c>
      <c r="F215" s="364"/>
      <c r="G215" s="46">
        <v>42628</v>
      </c>
      <c r="H215" s="568" t="s">
        <v>673</v>
      </c>
      <c r="I215" s="364" t="s">
        <v>78</v>
      </c>
      <c r="J215" s="365" t="s">
        <v>133</v>
      </c>
      <c r="K215" s="159" t="s">
        <v>79</v>
      </c>
      <c r="L215" s="46">
        <v>42590</v>
      </c>
      <c r="M215" s="363" t="s">
        <v>50</v>
      </c>
      <c r="N215" s="441" t="s">
        <v>332</v>
      </c>
      <c r="O215" s="557" t="s">
        <v>677</v>
      </c>
      <c r="P215" s="46">
        <v>42735</v>
      </c>
      <c r="Q215" s="654" t="s">
        <v>1044</v>
      </c>
      <c r="R215" s="367" t="s">
        <v>51</v>
      </c>
      <c r="S215" s="46"/>
      <c r="T215" s="367"/>
      <c r="U215" s="383">
        <f t="shared" si="142"/>
        <v>-36</v>
      </c>
      <c r="V215" s="375" t="s">
        <v>858</v>
      </c>
      <c r="W215" s="383">
        <f t="shared" si="143"/>
        <v>-42119</v>
      </c>
      <c r="X215" s="374"/>
    </row>
    <row r="216" spans="1:24" ht="127.5" hidden="1" x14ac:dyDescent="0.2">
      <c r="A216" s="367">
        <f t="shared" si="131"/>
        <v>136</v>
      </c>
      <c r="B216" s="363" t="s">
        <v>36</v>
      </c>
      <c r="C216" s="441" t="s">
        <v>668</v>
      </c>
      <c r="D216" s="361" t="s">
        <v>43</v>
      </c>
      <c r="E216" s="371" t="s">
        <v>0</v>
      </c>
      <c r="F216" s="364"/>
      <c r="G216" s="46">
        <v>42628</v>
      </c>
      <c r="H216" s="568" t="s">
        <v>674</v>
      </c>
      <c r="I216" s="364" t="s">
        <v>78</v>
      </c>
      <c r="J216" s="365" t="s">
        <v>134</v>
      </c>
      <c r="K216" s="159" t="s">
        <v>79</v>
      </c>
      <c r="L216" s="46">
        <v>42590</v>
      </c>
      <c r="M216" s="363" t="s">
        <v>54</v>
      </c>
      <c r="N216" s="441" t="s">
        <v>332</v>
      </c>
      <c r="O216" s="557" t="s">
        <v>676</v>
      </c>
      <c r="P216" s="46">
        <v>42735</v>
      </c>
      <c r="Q216" s="654" t="s">
        <v>1045</v>
      </c>
      <c r="R216" s="367" t="s">
        <v>55</v>
      </c>
      <c r="S216" s="46">
        <v>42934</v>
      </c>
      <c r="T216" s="673" t="s">
        <v>1046</v>
      </c>
      <c r="U216" s="383">
        <f t="shared" si="142"/>
        <v>-36</v>
      </c>
      <c r="V216" s="375" t="s">
        <v>858</v>
      </c>
      <c r="W216" s="383">
        <f t="shared" si="143"/>
        <v>199</v>
      </c>
      <c r="X216" s="374"/>
    </row>
    <row r="217" spans="1:24" ht="63.75" hidden="1" x14ac:dyDescent="0.2">
      <c r="A217" s="367">
        <f t="shared" si="131"/>
        <v>137</v>
      </c>
      <c r="B217" s="363" t="s">
        <v>36</v>
      </c>
      <c r="C217" s="447" t="s">
        <v>204</v>
      </c>
      <c r="D217" s="361" t="s">
        <v>43</v>
      </c>
      <c r="E217" s="371" t="s">
        <v>0</v>
      </c>
      <c r="F217" s="364"/>
      <c r="G217" s="46">
        <v>42628</v>
      </c>
      <c r="H217" s="568" t="s">
        <v>675</v>
      </c>
      <c r="I217" s="364" t="s">
        <v>78</v>
      </c>
      <c r="J217" s="450" t="s">
        <v>133</v>
      </c>
      <c r="K217" s="159" t="s">
        <v>79</v>
      </c>
      <c r="L217" s="46">
        <v>42590</v>
      </c>
      <c r="M217" s="363" t="s">
        <v>54</v>
      </c>
      <c r="N217" s="441" t="s">
        <v>332</v>
      </c>
      <c r="O217" s="557" t="s">
        <v>678</v>
      </c>
      <c r="P217" s="46">
        <v>42622</v>
      </c>
      <c r="Q217" s="654" t="s">
        <v>1047</v>
      </c>
      <c r="R217" s="367" t="s">
        <v>51</v>
      </c>
      <c r="S217" s="46"/>
      <c r="T217" s="367"/>
      <c r="U217" s="383">
        <f t="shared" si="142"/>
        <v>-36</v>
      </c>
      <c r="V217" s="375" t="s">
        <v>858</v>
      </c>
      <c r="W217" s="383">
        <f t="shared" si="143"/>
        <v>-42008</v>
      </c>
      <c r="X217" s="374"/>
    </row>
    <row r="218" spans="1:24" ht="216.75" hidden="1" x14ac:dyDescent="0.2">
      <c r="A218" s="367">
        <f t="shared" si="131"/>
        <v>138</v>
      </c>
      <c r="B218" s="363" t="s">
        <v>61</v>
      </c>
      <c r="C218" s="363" t="s">
        <v>710</v>
      </c>
      <c r="D218" s="361" t="s">
        <v>43</v>
      </c>
      <c r="E218" s="371" t="s">
        <v>0</v>
      </c>
      <c r="F218" s="364" t="s">
        <v>52</v>
      </c>
      <c r="G218" s="46">
        <v>42667</v>
      </c>
      <c r="H218" s="568" t="s">
        <v>712</v>
      </c>
      <c r="I218" s="364" t="s">
        <v>78</v>
      </c>
      <c r="J218" s="365" t="s">
        <v>134</v>
      </c>
      <c r="K218" s="159" t="s">
        <v>79</v>
      </c>
      <c r="L218" s="46">
        <v>42683</v>
      </c>
      <c r="M218" s="363" t="s">
        <v>50</v>
      </c>
      <c r="N218" s="363" t="s">
        <v>799</v>
      </c>
      <c r="O218" s="557" t="s">
        <v>729</v>
      </c>
      <c r="P218" s="46">
        <v>42683</v>
      </c>
      <c r="Q218" s="654" t="s">
        <v>730</v>
      </c>
      <c r="R218" s="367" t="s">
        <v>55</v>
      </c>
      <c r="S218" s="46"/>
      <c r="T218" s="367" t="s">
        <v>853</v>
      </c>
      <c r="U218" s="383">
        <f t="shared" si="142"/>
        <v>16</v>
      </c>
      <c r="V218" s="375" t="str">
        <f t="shared" ref="V218:V224" si="144">IF(U218&gt;15,"Inoportuno",(IF(U218&lt;0,"No ha formulado PM","Oportuno")))</f>
        <v>Inoportuno</v>
      </c>
      <c r="W218" s="383">
        <f t="shared" si="143"/>
        <v>-42068</v>
      </c>
      <c r="X218" s="374"/>
    </row>
    <row r="219" spans="1:24" ht="59.25" hidden="1" customHeight="1" x14ac:dyDescent="0.2">
      <c r="A219" s="725">
        <f>+A218+1</f>
        <v>139</v>
      </c>
      <c r="B219" s="592" t="s">
        <v>61</v>
      </c>
      <c r="C219" s="727" t="s">
        <v>668</v>
      </c>
      <c r="D219" s="729" t="s">
        <v>43</v>
      </c>
      <c r="E219" s="727" t="s">
        <v>0</v>
      </c>
      <c r="F219" s="721" t="s">
        <v>52</v>
      </c>
      <c r="G219" s="731">
        <v>42667</v>
      </c>
      <c r="H219" s="727" t="s">
        <v>711</v>
      </c>
      <c r="I219" s="721" t="s">
        <v>78</v>
      </c>
      <c r="J219" s="723" t="s">
        <v>133</v>
      </c>
      <c r="K219" s="725" t="s">
        <v>79</v>
      </c>
      <c r="L219" s="731">
        <v>42683</v>
      </c>
      <c r="M219" s="456" t="s">
        <v>104</v>
      </c>
      <c r="N219" s="727" t="s">
        <v>718</v>
      </c>
      <c r="O219" s="184" t="s">
        <v>721</v>
      </c>
      <c r="P219" s="46">
        <v>43115</v>
      </c>
      <c r="Q219" s="654"/>
      <c r="R219" s="455" t="s">
        <v>51</v>
      </c>
      <c r="S219" s="46"/>
      <c r="T219" s="455"/>
      <c r="U219" s="551">
        <f t="shared" si="142"/>
        <v>16</v>
      </c>
      <c r="V219" s="552" t="str">
        <f t="shared" si="144"/>
        <v>Inoportuno</v>
      </c>
      <c r="W219" s="551">
        <f t="shared" si="143"/>
        <v>-42494</v>
      </c>
      <c r="X219" s="457"/>
    </row>
    <row r="220" spans="1:24" ht="204.75" hidden="1" customHeight="1" x14ac:dyDescent="0.2">
      <c r="A220" s="734"/>
      <c r="B220" s="592" t="s">
        <v>61</v>
      </c>
      <c r="C220" s="743"/>
      <c r="D220" s="735"/>
      <c r="E220" s="743"/>
      <c r="F220" s="741"/>
      <c r="G220" s="760"/>
      <c r="H220" s="743"/>
      <c r="I220" s="741"/>
      <c r="J220" s="768"/>
      <c r="K220" s="734"/>
      <c r="L220" s="760"/>
      <c r="M220" s="456" t="s">
        <v>50</v>
      </c>
      <c r="N220" s="728"/>
      <c r="O220" s="184" t="s">
        <v>715</v>
      </c>
      <c r="P220" s="46">
        <v>43115</v>
      </c>
      <c r="Q220" s="654"/>
      <c r="R220" s="455" t="s">
        <v>51</v>
      </c>
      <c r="S220" s="46"/>
      <c r="T220" s="455"/>
      <c r="U220" s="551">
        <f t="shared" si="142"/>
        <v>1</v>
      </c>
      <c r="V220" s="552" t="str">
        <f t="shared" si="144"/>
        <v>Oportuno</v>
      </c>
      <c r="W220" s="551">
        <f t="shared" si="143"/>
        <v>-42494</v>
      </c>
      <c r="X220" s="457"/>
    </row>
    <row r="221" spans="1:24" ht="90" hidden="1" customHeight="1" x14ac:dyDescent="0.2">
      <c r="A221" s="726"/>
      <c r="B221" s="592" t="s">
        <v>61</v>
      </c>
      <c r="C221" s="728"/>
      <c r="D221" s="730"/>
      <c r="E221" s="728"/>
      <c r="F221" s="722"/>
      <c r="G221" s="732"/>
      <c r="H221" s="728"/>
      <c r="I221" s="722"/>
      <c r="J221" s="724"/>
      <c r="K221" s="726"/>
      <c r="L221" s="732"/>
      <c r="M221" s="363" t="s">
        <v>54</v>
      </c>
      <c r="N221" s="456" t="s">
        <v>718</v>
      </c>
      <c r="O221" s="184" t="s">
        <v>716</v>
      </c>
      <c r="P221" s="46">
        <v>43115</v>
      </c>
      <c r="Q221" s="654"/>
      <c r="R221" s="367" t="s">
        <v>51</v>
      </c>
      <c r="S221" s="46"/>
      <c r="T221" s="367"/>
      <c r="U221" s="383">
        <f>DAYS360(G219,L219,0)+1</f>
        <v>16</v>
      </c>
      <c r="V221" s="375" t="str">
        <f>IF(U221&gt;15,"Inoportuno",(IF(U221&lt;0,"No ha formulado PM","Oportuno")))</f>
        <v>Inoportuno</v>
      </c>
      <c r="W221" s="551">
        <f t="shared" si="143"/>
        <v>-42494</v>
      </c>
      <c r="X221" s="374"/>
    </row>
    <row r="222" spans="1:24" ht="67.5" hidden="1" customHeight="1" x14ac:dyDescent="0.2">
      <c r="A222" s="733">
        <f>+A219+1</f>
        <v>140</v>
      </c>
      <c r="B222" s="594" t="s">
        <v>61</v>
      </c>
      <c r="C222" s="720" t="s">
        <v>668</v>
      </c>
      <c r="D222" s="738" t="s">
        <v>43</v>
      </c>
      <c r="E222" s="720" t="s">
        <v>0</v>
      </c>
      <c r="F222" s="742" t="s">
        <v>52</v>
      </c>
      <c r="G222" s="757">
        <v>42667</v>
      </c>
      <c r="H222" s="727" t="s">
        <v>713</v>
      </c>
      <c r="I222" s="721" t="s">
        <v>78</v>
      </c>
      <c r="J222" s="723" t="s">
        <v>133</v>
      </c>
      <c r="K222" s="725" t="s">
        <v>79</v>
      </c>
      <c r="L222" s="757">
        <v>42683</v>
      </c>
      <c r="M222" s="456" t="s">
        <v>104</v>
      </c>
      <c r="N222" s="720" t="s">
        <v>717</v>
      </c>
      <c r="O222" s="184" t="s">
        <v>720</v>
      </c>
      <c r="P222" s="731">
        <v>42730</v>
      </c>
      <c r="Q222" s="654"/>
      <c r="R222" s="455" t="s">
        <v>51</v>
      </c>
      <c r="S222" s="46"/>
      <c r="T222" s="455"/>
      <c r="U222" s="551">
        <f>DAYS360(G220,L220,0)+1</f>
        <v>1</v>
      </c>
      <c r="V222" s="552" t="str">
        <f>IF(U222&gt;15,"Inoportuno",(IF(U222&lt;0,"No ha formulado PM","Oportuno")))</f>
        <v>Oportuno</v>
      </c>
      <c r="W222" s="551">
        <f t="shared" si="143"/>
        <v>-42115</v>
      </c>
      <c r="X222" s="457"/>
    </row>
    <row r="223" spans="1:24" ht="212.25" hidden="1" customHeight="1" x14ac:dyDescent="0.2">
      <c r="A223" s="726"/>
      <c r="B223" s="594" t="s">
        <v>61</v>
      </c>
      <c r="C223" s="728"/>
      <c r="D223" s="730"/>
      <c r="E223" s="728"/>
      <c r="F223" s="722"/>
      <c r="G223" s="732"/>
      <c r="H223" s="728"/>
      <c r="I223" s="722"/>
      <c r="J223" s="724"/>
      <c r="K223" s="726"/>
      <c r="L223" s="732"/>
      <c r="M223" s="363" t="s">
        <v>50</v>
      </c>
      <c r="N223" s="728"/>
      <c r="O223" s="557" t="s">
        <v>719</v>
      </c>
      <c r="P223" s="732"/>
      <c r="Q223" s="654"/>
      <c r="R223" s="367" t="s">
        <v>51</v>
      </c>
      <c r="S223" s="46"/>
      <c r="T223" s="367"/>
      <c r="U223" s="383">
        <f>DAYS360(G222,L222,0)+1</f>
        <v>16</v>
      </c>
      <c r="V223" s="375" t="str">
        <f t="shared" si="144"/>
        <v>Inoportuno</v>
      </c>
      <c r="W223" s="551">
        <f t="shared" si="143"/>
        <v>1</v>
      </c>
      <c r="X223" s="374"/>
    </row>
    <row r="224" spans="1:24" ht="225" hidden="1" customHeight="1" x14ac:dyDescent="0.2">
      <c r="A224" s="367">
        <f>+A222+1</f>
        <v>141</v>
      </c>
      <c r="B224" s="363" t="s">
        <v>61</v>
      </c>
      <c r="C224" s="363" t="s">
        <v>668</v>
      </c>
      <c r="D224" s="361" t="s">
        <v>43</v>
      </c>
      <c r="E224" s="371" t="s">
        <v>0</v>
      </c>
      <c r="F224" s="364" t="s">
        <v>52</v>
      </c>
      <c r="G224" s="46">
        <v>42667</v>
      </c>
      <c r="H224" s="568" t="s">
        <v>714</v>
      </c>
      <c r="I224" s="364" t="s">
        <v>78</v>
      </c>
      <c r="J224" s="487" t="s">
        <v>134</v>
      </c>
      <c r="K224" s="159" t="s">
        <v>79</v>
      </c>
      <c r="L224" s="46">
        <v>42683</v>
      </c>
      <c r="M224" s="363" t="s">
        <v>104</v>
      </c>
      <c r="N224" s="363" t="s">
        <v>799</v>
      </c>
      <c r="O224" s="184" t="s">
        <v>863</v>
      </c>
      <c r="P224" s="46">
        <v>42683</v>
      </c>
      <c r="Q224" s="654" t="s">
        <v>728</v>
      </c>
      <c r="R224" s="367" t="s">
        <v>55</v>
      </c>
      <c r="S224" s="46">
        <v>42683</v>
      </c>
      <c r="T224" s="367" t="s">
        <v>798</v>
      </c>
      <c r="U224" s="383">
        <f t="shared" si="142"/>
        <v>16</v>
      </c>
      <c r="V224" s="375" t="str">
        <f t="shared" si="144"/>
        <v>Inoportuno</v>
      </c>
      <c r="W224" s="551">
        <f t="shared" si="143"/>
        <v>1</v>
      </c>
      <c r="X224" s="374"/>
    </row>
    <row r="225" spans="1:24" ht="131.25" hidden="1" customHeight="1" x14ac:dyDescent="0.2">
      <c r="A225" s="367">
        <f t="shared" si="131"/>
        <v>142</v>
      </c>
      <c r="B225" s="363" t="s">
        <v>267</v>
      </c>
      <c r="C225" s="363" t="s">
        <v>191</v>
      </c>
      <c r="D225" s="361" t="s">
        <v>43</v>
      </c>
      <c r="E225" s="371" t="s">
        <v>0</v>
      </c>
      <c r="F225" s="364" t="s">
        <v>52</v>
      </c>
      <c r="G225" s="46">
        <v>42669</v>
      </c>
      <c r="H225" s="568" t="s">
        <v>727</v>
      </c>
      <c r="I225" s="364" t="s">
        <v>78</v>
      </c>
      <c r="J225" s="365" t="s">
        <v>133</v>
      </c>
      <c r="K225" s="159" t="s">
        <v>79</v>
      </c>
      <c r="L225" s="46">
        <v>42933</v>
      </c>
      <c r="M225" s="363" t="s">
        <v>50</v>
      </c>
      <c r="N225" s="363" t="s">
        <v>267</v>
      </c>
      <c r="O225" s="557" t="s">
        <v>1102</v>
      </c>
      <c r="P225" s="46">
        <v>43100</v>
      </c>
      <c r="Q225" s="654" t="s">
        <v>1059</v>
      </c>
      <c r="R225" s="367" t="s">
        <v>51</v>
      </c>
      <c r="S225" s="46"/>
      <c r="T225" s="367"/>
      <c r="U225" s="383">
        <f t="shared" si="128"/>
        <v>262</v>
      </c>
      <c r="V225" s="375" t="str">
        <f t="shared" si="129"/>
        <v>Inoportuno</v>
      </c>
      <c r="W225" s="551">
        <f t="shared" si="143"/>
        <v>-42479</v>
      </c>
      <c r="X225" s="374"/>
    </row>
    <row r="226" spans="1:24" ht="44.25" hidden="1" customHeight="1" x14ac:dyDescent="0.2">
      <c r="A226" s="736">
        <f>+A225+1</f>
        <v>143</v>
      </c>
      <c r="B226" s="592" t="s">
        <v>62</v>
      </c>
      <c r="C226" s="727" t="s">
        <v>191</v>
      </c>
      <c r="D226" s="729" t="s">
        <v>43</v>
      </c>
      <c r="E226" s="727" t="s">
        <v>0</v>
      </c>
      <c r="F226" s="721" t="s">
        <v>735</v>
      </c>
      <c r="G226" s="731">
        <v>42734</v>
      </c>
      <c r="H226" s="739" t="s">
        <v>801</v>
      </c>
      <c r="I226" s="721" t="s">
        <v>78</v>
      </c>
      <c r="J226" s="723" t="s">
        <v>134</v>
      </c>
      <c r="K226" s="758" t="s">
        <v>79</v>
      </c>
      <c r="L226" s="731">
        <v>42978</v>
      </c>
      <c r="M226" s="488" t="s">
        <v>50</v>
      </c>
      <c r="N226" s="488" t="s">
        <v>806</v>
      </c>
      <c r="O226" s="557" t="s">
        <v>836</v>
      </c>
      <c r="P226" s="490">
        <v>43099</v>
      </c>
      <c r="Q226" s="720" t="s">
        <v>951</v>
      </c>
      <c r="R226" s="491" t="s">
        <v>55</v>
      </c>
      <c r="S226" s="490">
        <v>42878</v>
      </c>
      <c r="T226" s="491" t="s">
        <v>974</v>
      </c>
      <c r="U226" s="551">
        <f t="shared" si="128"/>
        <v>241</v>
      </c>
      <c r="V226" s="552" t="str">
        <f t="shared" si="129"/>
        <v>Inoportuno</v>
      </c>
      <c r="W226" s="551">
        <f t="shared" si="143"/>
        <v>-216</v>
      </c>
      <c r="X226" s="641" t="s">
        <v>336</v>
      </c>
    </row>
    <row r="227" spans="1:24" ht="60.75" hidden="1" customHeight="1" x14ac:dyDescent="0.2">
      <c r="A227" s="737"/>
      <c r="B227" s="592" t="s">
        <v>62</v>
      </c>
      <c r="C227" s="728"/>
      <c r="D227" s="730"/>
      <c r="E227" s="728"/>
      <c r="F227" s="722"/>
      <c r="G227" s="732"/>
      <c r="H227" s="740"/>
      <c r="I227" s="722"/>
      <c r="J227" s="724"/>
      <c r="K227" s="759"/>
      <c r="L227" s="732"/>
      <c r="M227" s="488" t="s">
        <v>104</v>
      </c>
      <c r="N227" s="488" t="s">
        <v>806</v>
      </c>
      <c r="O227" s="569" t="s">
        <v>835</v>
      </c>
      <c r="P227" s="470">
        <v>43099</v>
      </c>
      <c r="Q227" s="720"/>
      <c r="R227" s="466" t="s">
        <v>55</v>
      </c>
      <c r="S227" s="470">
        <v>42878</v>
      </c>
      <c r="T227" s="454" t="s">
        <v>950</v>
      </c>
      <c r="U227" s="551">
        <f t="shared" si="128"/>
        <v>1</v>
      </c>
      <c r="V227" s="552" t="str">
        <f t="shared" si="129"/>
        <v>Oportuno</v>
      </c>
      <c r="W227" s="551">
        <f t="shared" si="143"/>
        <v>-216</v>
      </c>
      <c r="X227" s="641" t="s">
        <v>336</v>
      </c>
    </row>
    <row r="228" spans="1:24" ht="60.75" hidden="1" customHeight="1" x14ac:dyDescent="0.2">
      <c r="A228" s="725">
        <v>144</v>
      </c>
      <c r="B228" s="592" t="s">
        <v>62</v>
      </c>
      <c r="C228" s="727" t="s">
        <v>710</v>
      </c>
      <c r="D228" s="729" t="s">
        <v>43</v>
      </c>
      <c r="E228" s="727" t="s">
        <v>0</v>
      </c>
      <c r="F228" s="721" t="s">
        <v>735</v>
      </c>
      <c r="G228" s="731">
        <v>42734</v>
      </c>
      <c r="H228" s="739" t="s">
        <v>802</v>
      </c>
      <c r="I228" s="721" t="s">
        <v>78</v>
      </c>
      <c r="J228" s="723" t="s">
        <v>133</v>
      </c>
      <c r="K228" s="758" t="s">
        <v>79</v>
      </c>
      <c r="L228" s="731">
        <v>42704</v>
      </c>
      <c r="M228" s="488" t="s">
        <v>104</v>
      </c>
      <c r="N228" s="488" t="s">
        <v>807</v>
      </c>
      <c r="O228" s="569" t="s">
        <v>803</v>
      </c>
      <c r="P228" s="490">
        <v>43100</v>
      </c>
      <c r="Q228" s="720" t="s">
        <v>952</v>
      </c>
      <c r="R228" s="491" t="s">
        <v>51</v>
      </c>
      <c r="S228" s="490"/>
      <c r="T228" s="491"/>
      <c r="U228" s="551">
        <f t="shared" si="128"/>
        <v>-29</v>
      </c>
      <c r="V228" s="552" t="str">
        <f t="shared" si="129"/>
        <v>No ha formulado PM</v>
      </c>
      <c r="W228" s="551">
        <f t="shared" si="143"/>
        <v>-42479</v>
      </c>
      <c r="X228" s="641" t="s">
        <v>336</v>
      </c>
    </row>
    <row r="229" spans="1:24" ht="60.75" hidden="1" customHeight="1" x14ac:dyDescent="0.2">
      <c r="A229" s="734"/>
      <c r="B229" s="592" t="s">
        <v>62</v>
      </c>
      <c r="C229" s="743"/>
      <c r="D229" s="735"/>
      <c r="E229" s="743"/>
      <c r="F229" s="741"/>
      <c r="G229" s="760"/>
      <c r="H229" s="830"/>
      <c r="I229" s="741"/>
      <c r="J229" s="768"/>
      <c r="K229" s="761"/>
      <c r="L229" s="760"/>
      <c r="M229" s="488" t="s">
        <v>50</v>
      </c>
      <c r="N229" s="488" t="s">
        <v>807</v>
      </c>
      <c r="O229" s="578" t="s">
        <v>804</v>
      </c>
      <c r="P229" s="490">
        <v>43100</v>
      </c>
      <c r="Q229" s="720"/>
      <c r="R229" s="491" t="s">
        <v>51</v>
      </c>
      <c r="S229" s="490"/>
      <c r="T229" s="491"/>
      <c r="U229" s="551">
        <f t="shared" si="128"/>
        <v>1</v>
      </c>
      <c r="V229" s="552" t="str">
        <f t="shared" si="129"/>
        <v>Oportuno</v>
      </c>
      <c r="W229" s="551">
        <f t="shared" si="143"/>
        <v>-42479</v>
      </c>
      <c r="X229" s="641" t="s">
        <v>336</v>
      </c>
    </row>
    <row r="230" spans="1:24" ht="52.5" hidden="1" customHeight="1" x14ac:dyDescent="0.2">
      <c r="A230" s="726"/>
      <c r="B230" s="592" t="s">
        <v>62</v>
      </c>
      <c r="C230" s="728"/>
      <c r="D230" s="730"/>
      <c r="E230" s="728"/>
      <c r="F230" s="722"/>
      <c r="G230" s="732"/>
      <c r="H230" s="740"/>
      <c r="I230" s="722"/>
      <c r="J230" s="724"/>
      <c r="K230" s="759"/>
      <c r="L230" s="732"/>
      <c r="M230" s="488" t="s">
        <v>50</v>
      </c>
      <c r="N230" s="488" t="s">
        <v>807</v>
      </c>
      <c r="O230" s="578" t="s">
        <v>805</v>
      </c>
      <c r="P230" s="490">
        <v>43100</v>
      </c>
      <c r="Q230" s="720"/>
      <c r="R230" s="491" t="s">
        <v>51</v>
      </c>
      <c r="S230" s="490"/>
      <c r="T230" s="491"/>
      <c r="U230" s="551">
        <f t="shared" si="128"/>
        <v>1</v>
      </c>
      <c r="V230" s="552" t="str">
        <f t="shared" si="129"/>
        <v>Oportuno</v>
      </c>
      <c r="W230" s="551">
        <f t="shared" si="143"/>
        <v>-42479</v>
      </c>
      <c r="X230" s="641" t="s">
        <v>336</v>
      </c>
    </row>
    <row r="231" spans="1:24" ht="73.5" hidden="1" customHeight="1" x14ac:dyDescent="0.2">
      <c r="A231" s="492">
        <v>145</v>
      </c>
      <c r="B231" s="488" t="s">
        <v>892</v>
      </c>
      <c r="C231" s="493" t="s">
        <v>710</v>
      </c>
      <c r="D231" s="494" t="s">
        <v>43</v>
      </c>
      <c r="E231" s="493" t="s">
        <v>0</v>
      </c>
      <c r="F231" s="495" t="s">
        <v>735</v>
      </c>
      <c r="G231" s="631">
        <v>42734</v>
      </c>
      <c r="H231" s="646" t="s">
        <v>808</v>
      </c>
      <c r="I231" s="489" t="s">
        <v>78</v>
      </c>
      <c r="J231" s="496" t="s">
        <v>133</v>
      </c>
      <c r="K231" s="221" t="s">
        <v>79</v>
      </c>
      <c r="L231" s="490">
        <v>42704</v>
      </c>
      <c r="M231" s="493" t="s">
        <v>104</v>
      </c>
      <c r="N231" s="493" t="s">
        <v>717</v>
      </c>
      <c r="O231" s="578" t="s">
        <v>953</v>
      </c>
      <c r="P231" s="499">
        <v>42978</v>
      </c>
      <c r="Q231" s="654" t="s">
        <v>954</v>
      </c>
      <c r="R231" s="492" t="s">
        <v>51</v>
      </c>
      <c r="S231" s="499"/>
      <c r="T231" s="492"/>
      <c r="U231" s="551">
        <f t="shared" si="128"/>
        <v>-29</v>
      </c>
      <c r="V231" s="552" t="str">
        <f t="shared" si="129"/>
        <v>No ha formulado PM</v>
      </c>
      <c r="W231" s="551">
        <f t="shared" si="143"/>
        <v>-42359</v>
      </c>
      <c r="X231" s="641" t="s">
        <v>336</v>
      </c>
    </row>
    <row r="232" spans="1:24" ht="60.75" hidden="1" customHeight="1" x14ac:dyDescent="0.2">
      <c r="A232" s="725">
        <v>146</v>
      </c>
      <c r="B232" s="592" t="s">
        <v>62</v>
      </c>
      <c r="C232" s="727" t="s">
        <v>710</v>
      </c>
      <c r="D232" s="729" t="s">
        <v>43</v>
      </c>
      <c r="E232" s="727" t="s">
        <v>0</v>
      </c>
      <c r="F232" s="721" t="s">
        <v>735</v>
      </c>
      <c r="G232" s="731">
        <v>42734</v>
      </c>
      <c r="H232" s="739" t="s">
        <v>809</v>
      </c>
      <c r="I232" s="721" t="s">
        <v>78</v>
      </c>
      <c r="J232" s="723" t="s">
        <v>133</v>
      </c>
      <c r="K232" s="758" t="s">
        <v>79</v>
      </c>
      <c r="L232" s="731">
        <v>42704</v>
      </c>
      <c r="M232" s="493" t="s">
        <v>104</v>
      </c>
      <c r="N232" s="493" t="s">
        <v>807</v>
      </c>
      <c r="O232" s="578" t="s">
        <v>822</v>
      </c>
      <c r="P232" s="499">
        <v>43008</v>
      </c>
      <c r="Q232" s="720" t="s">
        <v>956</v>
      </c>
      <c r="R232" s="492" t="s">
        <v>51</v>
      </c>
      <c r="S232" s="499"/>
      <c r="T232" s="492"/>
      <c r="U232" s="551">
        <f t="shared" si="128"/>
        <v>-29</v>
      </c>
      <c r="V232" s="552" t="str">
        <f t="shared" si="129"/>
        <v>No ha formulado PM</v>
      </c>
      <c r="W232" s="551">
        <f t="shared" si="143"/>
        <v>-42389</v>
      </c>
      <c r="X232" s="641" t="s">
        <v>336</v>
      </c>
    </row>
    <row r="233" spans="1:24" ht="131.25" hidden="1" customHeight="1" x14ac:dyDescent="0.2">
      <c r="A233" s="726"/>
      <c r="B233" s="592" t="s">
        <v>62</v>
      </c>
      <c r="C233" s="728"/>
      <c r="D233" s="730"/>
      <c r="E233" s="728"/>
      <c r="F233" s="722"/>
      <c r="G233" s="732"/>
      <c r="H233" s="740"/>
      <c r="I233" s="722"/>
      <c r="J233" s="724"/>
      <c r="K233" s="759"/>
      <c r="L233" s="732"/>
      <c r="M233" s="493" t="s">
        <v>50</v>
      </c>
      <c r="N233" s="493" t="s">
        <v>807</v>
      </c>
      <c r="O233" s="578" t="s">
        <v>955</v>
      </c>
      <c r="P233" s="499">
        <v>43008</v>
      </c>
      <c r="Q233" s="720"/>
      <c r="R233" s="492" t="s">
        <v>51</v>
      </c>
      <c r="S233" s="499"/>
      <c r="T233" s="492"/>
      <c r="U233" s="551">
        <f t="shared" si="128"/>
        <v>1</v>
      </c>
      <c r="V233" s="552" t="str">
        <f t="shared" si="129"/>
        <v>Oportuno</v>
      </c>
      <c r="W233" s="551">
        <f t="shared" si="143"/>
        <v>-42389</v>
      </c>
      <c r="X233" s="641" t="s">
        <v>336</v>
      </c>
    </row>
    <row r="234" spans="1:24" ht="51" hidden="1" customHeight="1" x14ac:dyDescent="0.2">
      <c r="A234" s="725">
        <v>147</v>
      </c>
      <c r="B234" s="592" t="s">
        <v>62</v>
      </c>
      <c r="C234" s="727" t="s">
        <v>710</v>
      </c>
      <c r="D234" s="729" t="s">
        <v>43</v>
      </c>
      <c r="E234" s="727" t="s">
        <v>0</v>
      </c>
      <c r="F234" s="721" t="s">
        <v>735</v>
      </c>
      <c r="G234" s="731">
        <v>42734</v>
      </c>
      <c r="H234" s="739" t="s">
        <v>810</v>
      </c>
      <c r="I234" s="721" t="s">
        <v>78</v>
      </c>
      <c r="J234" s="723" t="s">
        <v>133</v>
      </c>
      <c r="K234" s="758" t="s">
        <v>79</v>
      </c>
      <c r="L234" s="731">
        <v>42704</v>
      </c>
      <c r="M234" s="493" t="s">
        <v>104</v>
      </c>
      <c r="N234" s="493" t="s">
        <v>807</v>
      </c>
      <c r="O234" s="578" t="s">
        <v>822</v>
      </c>
      <c r="P234" s="499">
        <v>43008</v>
      </c>
      <c r="Q234" s="720" t="s">
        <v>957</v>
      </c>
      <c r="R234" s="492" t="s">
        <v>51</v>
      </c>
      <c r="S234" s="499"/>
      <c r="T234" s="492"/>
      <c r="U234" s="551">
        <f t="shared" si="128"/>
        <v>-29</v>
      </c>
      <c r="V234" s="552" t="str">
        <f t="shared" si="129"/>
        <v>No ha formulado PM</v>
      </c>
      <c r="W234" s="551">
        <f t="shared" si="130"/>
        <v>-42389</v>
      </c>
      <c r="X234" s="641" t="s">
        <v>336</v>
      </c>
    </row>
    <row r="235" spans="1:24" ht="146.25" hidden="1" customHeight="1" x14ac:dyDescent="0.2">
      <c r="A235" s="726"/>
      <c r="B235" s="592" t="s">
        <v>62</v>
      </c>
      <c r="C235" s="728"/>
      <c r="D235" s="730"/>
      <c r="E235" s="728"/>
      <c r="F235" s="722"/>
      <c r="G235" s="732"/>
      <c r="H235" s="740"/>
      <c r="I235" s="722"/>
      <c r="J235" s="724"/>
      <c r="K235" s="759"/>
      <c r="L235" s="732"/>
      <c r="M235" s="493" t="s">
        <v>50</v>
      </c>
      <c r="N235" s="493" t="s">
        <v>807</v>
      </c>
      <c r="O235" s="578" t="s">
        <v>955</v>
      </c>
      <c r="P235" s="499">
        <v>43008</v>
      </c>
      <c r="Q235" s="720"/>
      <c r="R235" s="492" t="s">
        <v>51</v>
      </c>
      <c r="S235" s="499"/>
      <c r="T235" s="492"/>
      <c r="U235" s="551">
        <f t="shared" si="128"/>
        <v>1</v>
      </c>
      <c r="V235" s="552" t="str">
        <f t="shared" si="129"/>
        <v>Oportuno</v>
      </c>
      <c r="W235" s="551">
        <f t="shared" si="130"/>
        <v>-42389</v>
      </c>
      <c r="X235" s="641" t="s">
        <v>336</v>
      </c>
    </row>
    <row r="236" spans="1:24" ht="181.5" hidden="1" customHeight="1" x14ac:dyDescent="0.2">
      <c r="A236" s="725">
        <v>148</v>
      </c>
      <c r="B236" s="727" t="s">
        <v>62</v>
      </c>
      <c r="C236" s="727" t="s">
        <v>710</v>
      </c>
      <c r="D236" s="729" t="s">
        <v>43</v>
      </c>
      <c r="E236" s="727" t="s">
        <v>0</v>
      </c>
      <c r="F236" s="721" t="s">
        <v>735</v>
      </c>
      <c r="G236" s="731">
        <v>42734</v>
      </c>
      <c r="H236" s="739" t="s">
        <v>811</v>
      </c>
      <c r="I236" s="721" t="s">
        <v>78</v>
      </c>
      <c r="J236" s="723" t="s">
        <v>133</v>
      </c>
      <c r="K236" s="758" t="s">
        <v>79</v>
      </c>
      <c r="L236" s="757">
        <v>42704</v>
      </c>
      <c r="M236" s="632" t="s">
        <v>104</v>
      </c>
      <c r="N236" s="632" t="s">
        <v>151</v>
      </c>
      <c r="O236" s="578" t="s">
        <v>822</v>
      </c>
      <c r="P236" s="631">
        <v>43008</v>
      </c>
      <c r="Q236" s="720" t="s">
        <v>958</v>
      </c>
      <c r="R236" s="627" t="s">
        <v>51</v>
      </c>
      <c r="S236" s="631"/>
      <c r="T236" s="627"/>
      <c r="U236" s="551">
        <f t="shared" si="128"/>
        <v>-29</v>
      </c>
      <c r="V236" s="633"/>
      <c r="W236" s="551">
        <f t="shared" si="130"/>
        <v>-42389</v>
      </c>
      <c r="X236" s="641" t="s">
        <v>336</v>
      </c>
    </row>
    <row r="237" spans="1:24" ht="97.5" hidden="1" customHeight="1" x14ac:dyDescent="0.2">
      <c r="A237" s="726"/>
      <c r="B237" s="728"/>
      <c r="C237" s="728"/>
      <c r="D237" s="730"/>
      <c r="E237" s="728"/>
      <c r="F237" s="722"/>
      <c r="G237" s="732"/>
      <c r="H237" s="762"/>
      <c r="I237" s="722"/>
      <c r="J237" s="724"/>
      <c r="K237" s="759"/>
      <c r="L237" s="732"/>
      <c r="M237" s="493" t="s">
        <v>50</v>
      </c>
      <c r="N237" s="493" t="s">
        <v>807</v>
      </c>
      <c r="O237" s="578" t="s">
        <v>955</v>
      </c>
      <c r="P237" s="499">
        <v>43008</v>
      </c>
      <c r="Q237" s="720"/>
      <c r="R237" s="492" t="s">
        <v>51</v>
      </c>
      <c r="S237" s="499"/>
      <c r="T237" s="492"/>
      <c r="U237" s="551">
        <f t="shared" si="128"/>
        <v>1</v>
      </c>
      <c r="V237" s="552" t="str">
        <f t="shared" si="129"/>
        <v>Oportuno</v>
      </c>
      <c r="W237" s="532"/>
      <c r="X237" s="241"/>
    </row>
    <row r="238" spans="1:24" ht="119.25" hidden="1" customHeight="1" x14ac:dyDescent="0.2">
      <c r="A238" s="725">
        <v>149</v>
      </c>
      <c r="B238" s="727" t="s">
        <v>62</v>
      </c>
      <c r="C238" s="727" t="s">
        <v>710</v>
      </c>
      <c r="D238" s="729" t="s">
        <v>43</v>
      </c>
      <c r="E238" s="727" t="s">
        <v>0</v>
      </c>
      <c r="F238" s="721" t="s">
        <v>735</v>
      </c>
      <c r="G238" s="731">
        <v>42734</v>
      </c>
      <c r="H238" s="739" t="s">
        <v>812</v>
      </c>
      <c r="I238" s="721" t="s">
        <v>78</v>
      </c>
      <c r="J238" s="723" t="s">
        <v>133</v>
      </c>
      <c r="K238" s="758" t="s">
        <v>79</v>
      </c>
      <c r="L238" s="621">
        <v>42776</v>
      </c>
      <c r="M238" s="632" t="s">
        <v>104</v>
      </c>
      <c r="N238" s="632" t="s">
        <v>369</v>
      </c>
      <c r="O238" s="578" t="s">
        <v>959</v>
      </c>
      <c r="P238" s="631">
        <v>43100</v>
      </c>
      <c r="Q238" s="720" t="s">
        <v>960</v>
      </c>
      <c r="R238" s="627" t="s">
        <v>51</v>
      </c>
      <c r="S238" s="631"/>
      <c r="T238" s="627"/>
      <c r="U238" s="551">
        <f t="shared" si="128"/>
        <v>41</v>
      </c>
      <c r="V238" s="633"/>
      <c r="W238" s="551">
        <f t="shared" si="130"/>
        <v>-42479</v>
      </c>
      <c r="X238" s="641" t="s">
        <v>336</v>
      </c>
    </row>
    <row r="239" spans="1:24" ht="60.75" hidden="1" customHeight="1" x14ac:dyDescent="0.2">
      <c r="A239" s="726"/>
      <c r="B239" s="728"/>
      <c r="C239" s="728"/>
      <c r="D239" s="730"/>
      <c r="E239" s="728"/>
      <c r="F239" s="722"/>
      <c r="G239" s="732"/>
      <c r="H239" s="762"/>
      <c r="I239" s="722"/>
      <c r="J239" s="724"/>
      <c r="K239" s="759"/>
      <c r="L239" s="490">
        <v>42704</v>
      </c>
      <c r="M239" s="493" t="s">
        <v>50</v>
      </c>
      <c r="N239" s="493" t="s">
        <v>824</v>
      </c>
      <c r="O239" s="578" t="s">
        <v>823</v>
      </c>
      <c r="P239" s="499">
        <v>43100</v>
      </c>
      <c r="Q239" s="720"/>
      <c r="R239" s="492" t="s">
        <v>51</v>
      </c>
      <c r="S239" s="499"/>
      <c r="T239" s="492"/>
      <c r="U239" s="551">
        <f t="shared" si="128"/>
        <v>42091</v>
      </c>
      <c r="V239" s="552" t="str">
        <f t="shared" si="129"/>
        <v>Inoportuno</v>
      </c>
      <c r="W239" s="532"/>
      <c r="X239" s="241"/>
    </row>
    <row r="240" spans="1:24" ht="165.75" hidden="1" customHeight="1" x14ac:dyDescent="0.2">
      <c r="A240" s="492">
        <v>150</v>
      </c>
      <c r="B240" s="488" t="s">
        <v>62</v>
      </c>
      <c r="C240" s="493" t="s">
        <v>710</v>
      </c>
      <c r="D240" s="494" t="s">
        <v>43</v>
      </c>
      <c r="E240" s="493" t="s">
        <v>0</v>
      </c>
      <c r="F240" s="495" t="s">
        <v>735</v>
      </c>
      <c r="G240" s="499">
        <v>42734</v>
      </c>
      <c r="H240" s="646" t="s">
        <v>813</v>
      </c>
      <c r="I240" s="489" t="s">
        <v>78</v>
      </c>
      <c r="J240" s="496" t="s">
        <v>134</v>
      </c>
      <c r="K240" s="221" t="s">
        <v>79</v>
      </c>
      <c r="L240" s="490">
        <v>42704</v>
      </c>
      <c r="M240" s="493" t="s">
        <v>104</v>
      </c>
      <c r="N240" s="493" t="s">
        <v>369</v>
      </c>
      <c r="O240" s="519" t="s">
        <v>978</v>
      </c>
      <c r="P240" s="499">
        <v>42858</v>
      </c>
      <c r="Q240" s="654" t="s">
        <v>981</v>
      </c>
      <c r="R240" s="492" t="s">
        <v>55</v>
      </c>
      <c r="S240" s="499">
        <v>42878</v>
      </c>
      <c r="T240" s="492" t="s">
        <v>979</v>
      </c>
      <c r="U240" s="551">
        <f t="shared" si="128"/>
        <v>-29</v>
      </c>
      <c r="V240" s="552" t="str">
        <f t="shared" si="129"/>
        <v>No ha formulado PM</v>
      </c>
      <c r="W240" s="551">
        <f t="shared" si="130"/>
        <v>21</v>
      </c>
      <c r="X240" s="641" t="s">
        <v>336</v>
      </c>
    </row>
    <row r="241" spans="1:24" ht="187.5" hidden="1" customHeight="1" x14ac:dyDescent="0.2">
      <c r="A241" s="492">
        <v>151</v>
      </c>
      <c r="B241" s="488" t="s">
        <v>62</v>
      </c>
      <c r="C241" s="493" t="s">
        <v>710</v>
      </c>
      <c r="D241" s="494" t="s">
        <v>43</v>
      </c>
      <c r="E241" s="493" t="s">
        <v>0</v>
      </c>
      <c r="F241" s="495" t="s">
        <v>735</v>
      </c>
      <c r="G241" s="499">
        <v>42734</v>
      </c>
      <c r="H241" s="646" t="s">
        <v>814</v>
      </c>
      <c r="I241" s="489" t="s">
        <v>78</v>
      </c>
      <c r="J241" s="496" t="s">
        <v>134</v>
      </c>
      <c r="K241" s="221" t="s">
        <v>79</v>
      </c>
      <c r="L241" s="490">
        <v>42704</v>
      </c>
      <c r="M241" s="493" t="s">
        <v>104</v>
      </c>
      <c r="N241" s="493" t="s">
        <v>369</v>
      </c>
      <c r="O241" s="519" t="s">
        <v>980</v>
      </c>
      <c r="P241" s="499">
        <v>42858</v>
      </c>
      <c r="Q241" s="654" t="s">
        <v>982</v>
      </c>
      <c r="R241" s="492" t="s">
        <v>55</v>
      </c>
      <c r="S241" s="499">
        <v>42878</v>
      </c>
      <c r="T241" s="492" t="s">
        <v>983</v>
      </c>
      <c r="U241" s="551">
        <f t="shared" si="128"/>
        <v>-29</v>
      </c>
      <c r="V241" s="640" t="str">
        <f t="shared" si="129"/>
        <v>No ha formulado PM</v>
      </c>
      <c r="W241" s="551">
        <f t="shared" si="130"/>
        <v>21</v>
      </c>
      <c r="X241" s="641" t="s">
        <v>336</v>
      </c>
    </row>
    <row r="242" spans="1:24" ht="297.75" hidden="1" customHeight="1" x14ac:dyDescent="0.2">
      <c r="A242" s="492">
        <v>152</v>
      </c>
      <c r="B242" s="488" t="s">
        <v>62</v>
      </c>
      <c r="C242" s="493" t="s">
        <v>710</v>
      </c>
      <c r="D242" s="494" t="s">
        <v>43</v>
      </c>
      <c r="E242" s="493" t="s">
        <v>0</v>
      </c>
      <c r="F242" s="495" t="s">
        <v>735</v>
      </c>
      <c r="G242" s="499">
        <v>42734</v>
      </c>
      <c r="H242" s="646" t="s">
        <v>815</v>
      </c>
      <c r="I242" s="489" t="s">
        <v>78</v>
      </c>
      <c r="J242" s="496" t="s">
        <v>133</v>
      </c>
      <c r="K242" s="221" t="s">
        <v>79</v>
      </c>
      <c r="L242" s="490">
        <v>42704</v>
      </c>
      <c r="M242" s="493" t="s">
        <v>104</v>
      </c>
      <c r="N242" s="493" t="s">
        <v>229</v>
      </c>
      <c r="O242" s="519" t="s">
        <v>984</v>
      </c>
      <c r="P242" s="499">
        <v>43008</v>
      </c>
      <c r="Q242" s="654" t="s">
        <v>985</v>
      </c>
      <c r="R242" s="492" t="s">
        <v>51</v>
      </c>
      <c r="S242" s="499"/>
      <c r="T242" s="492"/>
      <c r="U242" s="551">
        <f t="shared" si="128"/>
        <v>-29</v>
      </c>
      <c r="V242" s="640" t="str">
        <f t="shared" si="129"/>
        <v>No ha formulado PM</v>
      </c>
      <c r="W242" s="551">
        <f t="shared" si="130"/>
        <v>-42389</v>
      </c>
      <c r="X242" s="641" t="s">
        <v>336</v>
      </c>
    </row>
    <row r="243" spans="1:24" ht="171.75" hidden="1" customHeight="1" x14ac:dyDescent="0.2">
      <c r="A243" s="725">
        <v>153</v>
      </c>
      <c r="B243" s="727" t="s">
        <v>62</v>
      </c>
      <c r="C243" s="727" t="s">
        <v>710</v>
      </c>
      <c r="D243" s="729" t="s">
        <v>43</v>
      </c>
      <c r="E243" s="727" t="s">
        <v>0</v>
      </c>
      <c r="F243" s="721" t="s">
        <v>735</v>
      </c>
      <c r="G243" s="731">
        <v>42734</v>
      </c>
      <c r="H243" s="739" t="s">
        <v>816</v>
      </c>
      <c r="I243" s="721" t="s">
        <v>78</v>
      </c>
      <c r="J243" s="723" t="s">
        <v>133</v>
      </c>
      <c r="K243" s="758" t="s">
        <v>79</v>
      </c>
      <c r="L243" s="731">
        <v>42704</v>
      </c>
      <c r="M243" s="635" t="s">
        <v>104</v>
      </c>
      <c r="N243" s="635" t="s">
        <v>229</v>
      </c>
      <c r="O243" s="519" t="s">
        <v>986</v>
      </c>
      <c r="P243" s="638">
        <v>43100</v>
      </c>
      <c r="Q243" s="720" t="s">
        <v>993</v>
      </c>
      <c r="R243" s="639" t="s">
        <v>51</v>
      </c>
      <c r="S243" s="638"/>
      <c r="T243" s="639"/>
      <c r="U243" s="551">
        <f t="shared" si="128"/>
        <v>-29</v>
      </c>
      <c r="V243" s="640" t="str">
        <f t="shared" si="129"/>
        <v>No ha formulado PM</v>
      </c>
      <c r="W243" s="551">
        <f t="shared" si="130"/>
        <v>-42479</v>
      </c>
      <c r="X243" s="641" t="s">
        <v>336</v>
      </c>
    </row>
    <row r="244" spans="1:24" ht="60.75" hidden="1" customHeight="1" x14ac:dyDescent="0.2">
      <c r="A244" s="726"/>
      <c r="B244" s="728"/>
      <c r="C244" s="728"/>
      <c r="D244" s="730"/>
      <c r="E244" s="728"/>
      <c r="F244" s="722"/>
      <c r="G244" s="732"/>
      <c r="H244" s="762"/>
      <c r="I244" s="722"/>
      <c r="J244" s="724"/>
      <c r="K244" s="759"/>
      <c r="L244" s="732"/>
      <c r="M244" s="493" t="s">
        <v>50</v>
      </c>
      <c r="N244" s="493" t="s">
        <v>229</v>
      </c>
      <c r="O244" s="519" t="s">
        <v>987</v>
      </c>
      <c r="P244" s="499">
        <v>43100</v>
      </c>
      <c r="Q244" s="720"/>
      <c r="R244" s="492" t="s">
        <v>51</v>
      </c>
      <c r="S244" s="499"/>
      <c r="T244" s="492"/>
      <c r="U244" s="551">
        <f t="shared" si="128"/>
        <v>1</v>
      </c>
      <c r="V244" s="285"/>
      <c r="W244" s="532"/>
      <c r="X244" s="241"/>
    </row>
    <row r="245" spans="1:24" ht="60.75" hidden="1" customHeight="1" x14ac:dyDescent="0.2">
      <c r="A245" s="492">
        <v>154</v>
      </c>
      <c r="B245" s="488" t="s">
        <v>62</v>
      </c>
      <c r="C245" s="493" t="s">
        <v>710</v>
      </c>
      <c r="D245" s="494" t="s">
        <v>43</v>
      </c>
      <c r="E245" s="493" t="s">
        <v>0</v>
      </c>
      <c r="F245" s="495" t="s">
        <v>735</v>
      </c>
      <c r="G245" s="499">
        <v>42734</v>
      </c>
      <c r="H245" s="646" t="s">
        <v>817</v>
      </c>
      <c r="I245" s="489" t="s">
        <v>78</v>
      </c>
      <c r="J245" s="496" t="s">
        <v>134</v>
      </c>
      <c r="K245" s="221" t="s">
        <v>79</v>
      </c>
      <c r="L245" s="490">
        <v>42704</v>
      </c>
      <c r="M245" s="493" t="s">
        <v>104</v>
      </c>
      <c r="N245" s="493" t="s">
        <v>262</v>
      </c>
      <c r="O245" s="519" t="s">
        <v>980</v>
      </c>
      <c r="P245" s="499">
        <v>42886</v>
      </c>
      <c r="Q245" s="654" t="s">
        <v>989</v>
      </c>
      <c r="R245" s="492" t="s">
        <v>55</v>
      </c>
      <c r="S245" s="499">
        <v>42878</v>
      </c>
      <c r="T245" s="492" t="s">
        <v>988</v>
      </c>
      <c r="U245" s="551">
        <f t="shared" si="128"/>
        <v>-29</v>
      </c>
      <c r="V245" s="640" t="str">
        <f t="shared" si="129"/>
        <v>No ha formulado PM</v>
      </c>
      <c r="W245" s="551">
        <f t="shared" si="130"/>
        <v>-6</v>
      </c>
      <c r="X245" s="641" t="s">
        <v>336</v>
      </c>
    </row>
    <row r="246" spans="1:24" ht="112.5" hidden="1" customHeight="1" x14ac:dyDescent="0.2">
      <c r="A246" s="725">
        <v>155</v>
      </c>
      <c r="B246" s="592" t="s">
        <v>62</v>
      </c>
      <c r="C246" s="727" t="s">
        <v>710</v>
      </c>
      <c r="D246" s="729" t="s">
        <v>43</v>
      </c>
      <c r="E246" s="727" t="s">
        <v>0</v>
      </c>
      <c r="F246" s="721" t="s">
        <v>735</v>
      </c>
      <c r="G246" s="731">
        <v>42734</v>
      </c>
      <c r="H246" s="739" t="s">
        <v>818</v>
      </c>
      <c r="I246" s="721" t="s">
        <v>78</v>
      </c>
      <c r="J246" s="723" t="s">
        <v>134</v>
      </c>
      <c r="K246" s="758" t="s">
        <v>79</v>
      </c>
      <c r="L246" s="731">
        <v>42704</v>
      </c>
      <c r="M246" s="493" t="s">
        <v>50</v>
      </c>
      <c r="N246" s="493" t="s">
        <v>826</v>
      </c>
      <c r="O246" s="519" t="s">
        <v>825</v>
      </c>
      <c r="P246" s="499">
        <v>42900</v>
      </c>
      <c r="Q246" s="720" t="s">
        <v>962</v>
      </c>
      <c r="R246" s="492" t="s">
        <v>55</v>
      </c>
      <c r="S246" s="499">
        <v>42878</v>
      </c>
      <c r="T246" s="492" t="s">
        <v>961</v>
      </c>
      <c r="U246" s="551">
        <f t="shared" si="128"/>
        <v>-29</v>
      </c>
      <c r="V246" s="640" t="str">
        <f t="shared" si="129"/>
        <v>No ha formulado PM</v>
      </c>
      <c r="W246" s="551">
        <f t="shared" si="130"/>
        <v>-20</v>
      </c>
      <c r="X246" s="641" t="s">
        <v>336</v>
      </c>
    </row>
    <row r="247" spans="1:24" ht="112.5" hidden="1" customHeight="1" x14ac:dyDescent="0.2">
      <c r="A247" s="726"/>
      <c r="B247" s="592" t="s">
        <v>62</v>
      </c>
      <c r="C247" s="728"/>
      <c r="D247" s="730"/>
      <c r="E247" s="728"/>
      <c r="F247" s="722"/>
      <c r="G247" s="732"/>
      <c r="H247" s="740"/>
      <c r="I247" s="722"/>
      <c r="J247" s="724"/>
      <c r="K247" s="759"/>
      <c r="L247" s="732"/>
      <c r="M247" s="493" t="s">
        <v>104</v>
      </c>
      <c r="N247" s="493" t="s">
        <v>826</v>
      </c>
      <c r="O247" s="519" t="s">
        <v>827</v>
      </c>
      <c r="P247" s="499">
        <v>42900</v>
      </c>
      <c r="Q247" s="720"/>
      <c r="R247" s="492" t="s">
        <v>55</v>
      </c>
      <c r="S247" s="499">
        <v>42878</v>
      </c>
      <c r="T247" s="492" t="s">
        <v>961</v>
      </c>
      <c r="U247" s="551">
        <f t="shared" si="128"/>
        <v>1</v>
      </c>
      <c r="V247" s="640" t="str">
        <f t="shared" si="129"/>
        <v>Oportuno</v>
      </c>
      <c r="W247" s="551">
        <f t="shared" si="130"/>
        <v>-20</v>
      </c>
      <c r="X247" s="641" t="s">
        <v>336</v>
      </c>
    </row>
    <row r="248" spans="1:24" ht="59.25" hidden="1" customHeight="1" x14ac:dyDescent="0.2">
      <c r="A248" s="725">
        <v>156</v>
      </c>
      <c r="B248" s="592" t="s">
        <v>62</v>
      </c>
      <c r="C248" s="727" t="s">
        <v>710</v>
      </c>
      <c r="D248" s="729" t="s">
        <v>43</v>
      </c>
      <c r="E248" s="727" t="s">
        <v>0</v>
      </c>
      <c r="F248" s="721" t="s">
        <v>735</v>
      </c>
      <c r="G248" s="731">
        <v>42734</v>
      </c>
      <c r="H248" s="739" t="s">
        <v>819</v>
      </c>
      <c r="I248" s="721" t="s">
        <v>78</v>
      </c>
      <c r="J248" s="723" t="s">
        <v>134</v>
      </c>
      <c r="K248" s="758" t="s">
        <v>79</v>
      </c>
      <c r="L248" s="731">
        <v>42704</v>
      </c>
      <c r="M248" s="493" t="s">
        <v>104</v>
      </c>
      <c r="N248" s="493" t="s">
        <v>828</v>
      </c>
      <c r="O248" s="519" t="s">
        <v>829</v>
      </c>
      <c r="P248" s="499">
        <v>42825</v>
      </c>
      <c r="Q248" s="720" t="s">
        <v>963</v>
      </c>
      <c r="R248" s="492" t="s">
        <v>55</v>
      </c>
      <c r="S248" s="499">
        <v>42878</v>
      </c>
      <c r="T248" s="492" t="s">
        <v>964</v>
      </c>
      <c r="U248" s="551">
        <f t="shared" si="128"/>
        <v>-29</v>
      </c>
      <c r="V248" s="640" t="str">
        <f t="shared" si="129"/>
        <v>No ha formulado PM</v>
      </c>
      <c r="W248" s="551">
        <f t="shared" si="130"/>
        <v>54</v>
      </c>
      <c r="X248" s="641" t="s">
        <v>336</v>
      </c>
    </row>
    <row r="249" spans="1:24" ht="82.5" hidden="1" customHeight="1" x14ac:dyDescent="0.2">
      <c r="A249" s="726"/>
      <c r="B249" s="592" t="s">
        <v>62</v>
      </c>
      <c r="C249" s="728"/>
      <c r="D249" s="730"/>
      <c r="E249" s="728"/>
      <c r="F249" s="722"/>
      <c r="G249" s="732"/>
      <c r="H249" s="740"/>
      <c r="I249" s="722"/>
      <c r="J249" s="724"/>
      <c r="K249" s="759"/>
      <c r="L249" s="732"/>
      <c r="M249" s="493" t="s">
        <v>50</v>
      </c>
      <c r="N249" s="493" t="s">
        <v>828</v>
      </c>
      <c r="O249" s="519" t="s">
        <v>830</v>
      </c>
      <c r="P249" s="499">
        <v>42825</v>
      </c>
      <c r="Q249" s="720"/>
      <c r="R249" s="492" t="s">
        <v>55</v>
      </c>
      <c r="S249" s="499">
        <v>42878</v>
      </c>
      <c r="T249" s="492" t="s">
        <v>961</v>
      </c>
      <c r="U249" s="551">
        <f t="shared" si="128"/>
        <v>1</v>
      </c>
      <c r="V249" s="640" t="str">
        <f t="shared" si="129"/>
        <v>Oportuno</v>
      </c>
      <c r="W249" s="551">
        <f t="shared" si="130"/>
        <v>54</v>
      </c>
      <c r="X249" s="641" t="s">
        <v>336</v>
      </c>
    </row>
    <row r="250" spans="1:24" ht="53.25" hidden="1" customHeight="1" x14ac:dyDescent="0.2">
      <c r="A250" s="725">
        <v>157</v>
      </c>
      <c r="B250" s="592" t="s">
        <v>62</v>
      </c>
      <c r="C250" s="727" t="s">
        <v>710</v>
      </c>
      <c r="D250" s="729" t="s">
        <v>43</v>
      </c>
      <c r="E250" s="727" t="s">
        <v>0</v>
      </c>
      <c r="F250" s="721" t="s">
        <v>735</v>
      </c>
      <c r="G250" s="731">
        <v>42734</v>
      </c>
      <c r="H250" s="739" t="s">
        <v>820</v>
      </c>
      <c r="I250" s="721" t="s">
        <v>78</v>
      </c>
      <c r="J250" s="723" t="s">
        <v>134</v>
      </c>
      <c r="K250" s="758" t="s">
        <v>79</v>
      </c>
      <c r="L250" s="731">
        <v>42704</v>
      </c>
      <c r="M250" s="493" t="s">
        <v>104</v>
      </c>
      <c r="N250" s="493" t="s">
        <v>828</v>
      </c>
      <c r="O250" s="519" t="s">
        <v>829</v>
      </c>
      <c r="P250" s="499">
        <v>42825</v>
      </c>
      <c r="Q250" s="720" t="s">
        <v>965</v>
      </c>
      <c r="R250" s="492" t="s">
        <v>55</v>
      </c>
      <c r="S250" s="499">
        <v>42878</v>
      </c>
      <c r="T250" s="492" t="s">
        <v>966</v>
      </c>
      <c r="U250" s="551">
        <f t="shared" si="128"/>
        <v>-29</v>
      </c>
      <c r="V250" s="640" t="str">
        <f t="shared" si="129"/>
        <v>No ha formulado PM</v>
      </c>
      <c r="W250" s="551">
        <f t="shared" si="130"/>
        <v>54</v>
      </c>
      <c r="X250" s="641" t="s">
        <v>336</v>
      </c>
    </row>
    <row r="251" spans="1:24" ht="63" hidden="1" customHeight="1" x14ac:dyDescent="0.2">
      <c r="A251" s="726"/>
      <c r="B251" s="592" t="s">
        <v>62</v>
      </c>
      <c r="C251" s="728"/>
      <c r="D251" s="730"/>
      <c r="E251" s="728"/>
      <c r="F251" s="722"/>
      <c r="G251" s="732"/>
      <c r="H251" s="740"/>
      <c r="I251" s="722"/>
      <c r="J251" s="724"/>
      <c r="K251" s="759"/>
      <c r="L251" s="732"/>
      <c r="M251" s="493" t="s">
        <v>50</v>
      </c>
      <c r="N251" s="493" t="s">
        <v>828</v>
      </c>
      <c r="O251" s="519" t="s">
        <v>831</v>
      </c>
      <c r="P251" s="499">
        <v>42825</v>
      </c>
      <c r="Q251" s="720"/>
      <c r="R251" s="492" t="s">
        <v>55</v>
      </c>
      <c r="S251" s="499">
        <v>42878</v>
      </c>
      <c r="T251" s="492" t="s">
        <v>966</v>
      </c>
      <c r="U251" s="551">
        <f t="shared" si="128"/>
        <v>1</v>
      </c>
      <c r="V251" s="640" t="str">
        <f t="shared" si="129"/>
        <v>Oportuno</v>
      </c>
      <c r="W251" s="551">
        <f t="shared" si="130"/>
        <v>54</v>
      </c>
      <c r="X251" s="641" t="s">
        <v>336</v>
      </c>
    </row>
    <row r="252" spans="1:24" ht="142.5" hidden="1" customHeight="1" x14ac:dyDescent="0.2">
      <c r="A252" s="623">
        <v>158</v>
      </c>
      <c r="B252" s="592" t="s">
        <v>62</v>
      </c>
      <c r="C252" s="618" t="s">
        <v>710</v>
      </c>
      <c r="D252" s="629" t="s">
        <v>43</v>
      </c>
      <c r="E252" s="618" t="s">
        <v>0</v>
      </c>
      <c r="F252" s="625" t="s">
        <v>735</v>
      </c>
      <c r="G252" s="620">
        <v>42734</v>
      </c>
      <c r="H252" s="647" t="s">
        <v>821</v>
      </c>
      <c r="I252" s="625" t="s">
        <v>78</v>
      </c>
      <c r="J252" s="622" t="s">
        <v>133</v>
      </c>
      <c r="K252" s="630" t="s">
        <v>79</v>
      </c>
      <c r="L252" s="620">
        <v>42704</v>
      </c>
      <c r="M252" s="493" t="s">
        <v>104</v>
      </c>
      <c r="N252" s="493" t="s">
        <v>832</v>
      </c>
      <c r="O252" s="519" t="s">
        <v>967</v>
      </c>
      <c r="P252" s="499">
        <v>42978</v>
      </c>
      <c r="Q252" s="654" t="s">
        <v>968</v>
      </c>
      <c r="R252" s="492" t="s">
        <v>51</v>
      </c>
      <c r="S252" s="499"/>
      <c r="T252" s="492"/>
      <c r="U252" s="551">
        <f t="shared" si="128"/>
        <v>-29</v>
      </c>
      <c r="V252" s="640" t="str">
        <f t="shared" si="129"/>
        <v>No ha formulado PM</v>
      </c>
      <c r="W252" s="551">
        <f t="shared" si="130"/>
        <v>-42359</v>
      </c>
      <c r="X252" s="641" t="s">
        <v>336</v>
      </c>
    </row>
    <row r="253" spans="1:24" ht="78.75" hidden="1" customHeight="1" x14ac:dyDescent="0.2">
      <c r="A253" s="492">
        <v>159</v>
      </c>
      <c r="B253" s="493" t="s">
        <v>62</v>
      </c>
      <c r="C253" s="493" t="s">
        <v>191</v>
      </c>
      <c r="D253" s="494" t="s">
        <v>43</v>
      </c>
      <c r="E253" s="493" t="s">
        <v>0</v>
      </c>
      <c r="F253" s="495" t="s">
        <v>735</v>
      </c>
      <c r="G253" s="499">
        <v>42692</v>
      </c>
      <c r="H253" s="646" t="s">
        <v>833</v>
      </c>
      <c r="I253" s="637" t="s">
        <v>78</v>
      </c>
      <c r="J253" s="501" t="s">
        <v>133</v>
      </c>
      <c r="K253" s="222" t="s">
        <v>79</v>
      </c>
      <c r="L253" s="490">
        <v>42704</v>
      </c>
      <c r="M253" s="493" t="s">
        <v>104</v>
      </c>
      <c r="N253" s="493" t="s">
        <v>563</v>
      </c>
      <c r="O253" s="519" t="s">
        <v>797</v>
      </c>
      <c r="P253" s="499">
        <v>42978</v>
      </c>
      <c r="Q253" s="654" t="s">
        <v>975</v>
      </c>
      <c r="R253" s="492" t="s">
        <v>51</v>
      </c>
      <c r="S253" s="499"/>
      <c r="T253" s="492"/>
      <c r="U253" s="551">
        <f t="shared" si="128"/>
        <v>13</v>
      </c>
      <c r="V253" s="552" t="str">
        <f t="shared" si="129"/>
        <v>Oportuno</v>
      </c>
      <c r="W253" s="551">
        <f t="shared" si="130"/>
        <v>-42359</v>
      </c>
      <c r="X253" s="641" t="s">
        <v>336</v>
      </c>
    </row>
    <row r="254" spans="1:24" ht="72.75" hidden="1" customHeight="1" x14ac:dyDescent="0.2">
      <c r="A254" s="733">
        <v>160</v>
      </c>
      <c r="B254" s="594" t="s">
        <v>62</v>
      </c>
      <c r="C254" s="720" t="s">
        <v>191</v>
      </c>
      <c r="D254" s="738" t="s">
        <v>43</v>
      </c>
      <c r="E254" s="720" t="s">
        <v>0</v>
      </c>
      <c r="F254" s="742" t="s">
        <v>735</v>
      </c>
      <c r="G254" s="757">
        <v>42692</v>
      </c>
      <c r="H254" s="763" t="s">
        <v>800</v>
      </c>
      <c r="I254" s="742" t="s">
        <v>78</v>
      </c>
      <c r="J254" s="755" t="s">
        <v>133</v>
      </c>
      <c r="K254" s="756" t="s">
        <v>79</v>
      </c>
      <c r="L254" s="757">
        <v>43100</v>
      </c>
      <c r="M254" s="493" t="s">
        <v>104</v>
      </c>
      <c r="N254" s="493" t="s">
        <v>563</v>
      </c>
      <c r="O254" s="508" t="s">
        <v>747</v>
      </c>
      <c r="P254" s="499">
        <v>42711</v>
      </c>
      <c r="Q254" s="508" t="s">
        <v>941</v>
      </c>
      <c r="R254" s="492" t="s">
        <v>55</v>
      </c>
      <c r="S254" s="499">
        <v>42878</v>
      </c>
      <c r="T254" s="492" t="s">
        <v>948</v>
      </c>
      <c r="U254" s="551">
        <f t="shared" si="128"/>
        <v>404</v>
      </c>
      <c r="V254" s="552" t="str">
        <f t="shared" si="129"/>
        <v>Inoportuno</v>
      </c>
      <c r="W254" s="551">
        <f t="shared" si="130"/>
        <v>167</v>
      </c>
      <c r="X254" s="641" t="s">
        <v>336</v>
      </c>
    </row>
    <row r="255" spans="1:24" ht="87" hidden="1" customHeight="1" x14ac:dyDescent="0.2">
      <c r="A255" s="733"/>
      <c r="B255" s="594" t="s">
        <v>62</v>
      </c>
      <c r="C255" s="720"/>
      <c r="D255" s="738"/>
      <c r="E255" s="720"/>
      <c r="F255" s="742"/>
      <c r="G255" s="757"/>
      <c r="H255" s="763"/>
      <c r="I255" s="742"/>
      <c r="J255" s="755"/>
      <c r="K255" s="756"/>
      <c r="L255" s="757"/>
      <c r="M255" s="493" t="s">
        <v>50</v>
      </c>
      <c r="N255" s="493" t="s">
        <v>563</v>
      </c>
      <c r="O255" s="508" t="s">
        <v>748</v>
      </c>
      <c r="P255" s="499">
        <v>42978</v>
      </c>
      <c r="Q255" s="654" t="s">
        <v>943</v>
      </c>
      <c r="R255" s="492" t="s">
        <v>51</v>
      </c>
      <c r="S255" s="499"/>
      <c r="T255" s="492"/>
      <c r="U255" s="551">
        <f t="shared" si="128"/>
        <v>1</v>
      </c>
      <c r="V255" s="552" t="str">
        <f t="shared" si="129"/>
        <v>Oportuno</v>
      </c>
      <c r="W255" s="551">
        <f t="shared" si="130"/>
        <v>-42359</v>
      </c>
      <c r="X255" s="641" t="s">
        <v>336</v>
      </c>
    </row>
    <row r="256" spans="1:24" ht="37.5" hidden="1" customHeight="1" x14ac:dyDescent="0.2">
      <c r="A256" s="733"/>
      <c r="B256" s="594" t="s">
        <v>62</v>
      </c>
      <c r="C256" s="720"/>
      <c r="D256" s="738"/>
      <c r="E256" s="720"/>
      <c r="F256" s="742"/>
      <c r="G256" s="757"/>
      <c r="H256" s="763"/>
      <c r="I256" s="742"/>
      <c r="J256" s="755"/>
      <c r="K256" s="756"/>
      <c r="L256" s="757"/>
      <c r="M256" s="493" t="s">
        <v>50</v>
      </c>
      <c r="N256" s="493" t="s">
        <v>563</v>
      </c>
      <c r="O256" s="508" t="s">
        <v>749</v>
      </c>
      <c r="P256" s="499">
        <v>43100</v>
      </c>
      <c r="Q256" s="654" t="s">
        <v>942</v>
      </c>
      <c r="R256" s="492" t="s">
        <v>51</v>
      </c>
      <c r="S256" s="499"/>
      <c r="T256" s="492"/>
      <c r="U256" s="551">
        <f t="shared" si="128"/>
        <v>1</v>
      </c>
      <c r="V256" s="552" t="str">
        <f t="shared" si="129"/>
        <v>Oportuno</v>
      </c>
      <c r="W256" s="551">
        <f t="shared" si="130"/>
        <v>-42479</v>
      </c>
      <c r="X256" s="641" t="s">
        <v>336</v>
      </c>
    </row>
    <row r="257" spans="1:24" ht="90" hidden="1" customHeight="1" x14ac:dyDescent="0.2">
      <c r="A257" s="492">
        <f>+A254+1</f>
        <v>161</v>
      </c>
      <c r="B257" s="493" t="s">
        <v>62</v>
      </c>
      <c r="C257" s="493" t="s">
        <v>191</v>
      </c>
      <c r="D257" s="494" t="s">
        <v>43</v>
      </c>
      <c r="E257" s="493" t="s">
        <v>0</v>
      </c>
      <c r="F257" s="495" t="s">
        <v>735</v>
      </c>
      <c r="G257" s="499">
        <v>42692</v>
      </c>
      <c r="H257" s="648" t="s">
        <v>738</v>
      </c>
      <c r="I257" s="495" t="s">
        <v>78</v>
      </c>
      <c r="J257" s="496" t="s">
        <v>133</v>
      </c>
      <c r="K257" s="221" t="s">
        <v>79</v>
      </c>
      <c r="L257" s="518">
        <v>42704</v>
      </c>
      <c r="M257" s="493" t="s">
        <v>50</v>
      </c>
      <c r="N257" s="493" t="s">
        <v>837</v>
      </c>
      <c r="O257" s="512" t="s">
        <v>838</v>
      </c>
      <c r="P257" s="499">
        <v>42978</v>
      </c>
      <c r="Q257" s="654" t="s">
        <v>944</v>
      </c>
      <c r="R257" s="492" t="s">
        <v>51</v>
      </c>
      <c r="S257" s="499"/>
      <c r="T257" s="492"/>
      <c r="U257" s="551">
        <f t="shared" si="128"/>
        <v>13</v>
      </c>
      <c r="V257" s="552" t="str">
        <f t="shared" si="129"/>
        <v>Oportuno</v>
      </c>
      <c r="W257" s="551">
        <f t="shared" si="130"/>
        <v>-42359</v>
      </c>
      <c r="X257" s="641" t="s">
        <v>336</v>
      </c>
    </row>
    <row r="258" spans="1:24" ht="70.5" hidden="1" customHeight="1" x14ac:dyDescent="0.2">
      <c r="A258" s="492">
        <f t="shared" si="131"/>
        <v>162</v>
      </c>
      <c r="B258" s="493" t="s">
        <v>62</v>
      </c>
      <c r="C258" s="493" t="s">
        <v>191</v>
      </c>
      <c r="D258" s="494" t="s">
        <v>43</v>
      </c>
      <c r="E258" s="493" t="s">
        <v>0</v>
      </c>
      <c r="F258" s="495" t="s">
        <v>735</v>
      </c>
      <c r="G258" s="499">
        <v>42692</v>
      </c>
      <c r="H258" s="648" t="s">
        <v>739</v>
      </c>
      <c r="I258" s="495" t="s">
        <v>78</v>
      </c>
      <c r="J258" s="496" t="s">
        <v>134</v>
      </c>
      <c r="K258" s="221" t="s">
        <v>79</v>
      </c>
      <c r="L258" s="518">
        <v>42704</v>
      </c>
      <c r="M258" s="493" t="s">
        <v>50</v>
      </c>
      <c r="N258" s="493" t="s">
        <v>837</v>
      </c>
      <c r="O258" s="533" t="s">
        <v>838</v>
      </c>
      <c r="P258" s="499">
        <v>42794</v>
      </c>
      <c r="Q258" s="654" t="s">
        <v>945</v>
      </c>
      <c r="R258" s="492" t="s">
        <v>55</v>
      </c>
      <c r="S258" s="499">
        <v>42878</v>
      </c>
      <c r="T258" s="492" t="s">
        <v>947</v>
      </c>
      <c r="U258" s="551">
        <f t="shared" si="128"/>
        <v>13</v>
      </c>
      <c r="V258" s="552" t="str">
        <f t="shared" si="129"/>
        <v>Oportuno</v>
      </c>
      <c r="W258" s="551">
        <f t="shared" si="130"/>
        <v>84</v>
      </c>
      <c r="X258" s="641" t="s">
        <v>336</v>
      </c>
    </row>
    <row r="259" spans="1:24" ht="141.75" hidden="1" customHeight="1" x14ac:dyDescent="0.2">
      <c r="A259" s="492">
        <f t="shared" si="131"/>
        <v>163</v>
      </c>
      <c r="B259" s="493" t="s">
        <v>62</v>
      </c>
      <c r="C259" s="493" t="s">
        <v>191</v>
      </c>
      <c r="D259" s="494" t="s">
        <v>43</v>
      </c>
      <c r="E259" s="493" t="s">
        <v>0</v>
      </c>
      <c r="F259" s="495" t="s">
        <v>735</v>
      </c>
      <c r="G259" s="499">
        <v>42692</v>
      </c>
      <c r="H259" s="648" t="s">
        <v>740</v>
      </c>
      <c r="I259" s="495" t="s">
        <v>78</v>
      </c>
      <c r="J259" s="496" t="s">
        <v>133</v>
      </c>
      <c r="K259" s="221" t="s">
        <v>79</v>
      </c>
      <c r="L259" s="499">
        <v>42704</v>
      </c>
      <c r="M259" s="493" t="s">
        <v>104</v>
      </c>
      <c r="N259" s="493" t="s">
        <v>839</v>
      </c>
      <c r="O259" s="511" t="s">
        <v>750</v>
      </c>
      <c r="P259" s="499">
        <v>42978</v>
      </c>
      <c r="Q259" s="643" t="s">
        <v>946</v>
      </c>
      <c r="R259" s="492" t="s">
        <v>51</v>
      </c>
      <c r="S259" s="499"/>
      <c r="T259" s="492"/>
      <c r="U259" s="551">
        <f t="shared" si="128"/>
        <v>13</v>
      </c>
      <c r="V259" s="552" t="str">
        <f t="shared" si="129"/>
        <v>Oportuno</v>
      </c>
      <c r="W259" s="551">
        <f t="shared" si="130"/>
        <v>-42359</v>
      </c>
      <c r="X259" s="641" t="s">
        <v>336</v>
      </c>
    </row>
    <row r="260" spans="1:24" ht="63" hidden="1" customHeight="1" x14ac:dyDescent="0.2">
      <c r="A260" s="492">
        <v>164</v>
      </c>
      <c r="B260" s="493" t="s">
        <v>62</v>
      </c>
      <c r="C260" s="493" t="s">
        <v>191</v>
      </c>
      <c r="D260" s="494" t="s">
        <v>43</v>
      </c>
      <c r="E260" s="493" t="s">
        <v>0</v>
      </c>
      <c r="F260" s="495" t="s">
        <v>735</v>
      </c>
      <c r="G260" s="499">
        <v>42692</v>
      </c>
      <c r="H260" s="648" t="s">
        <v>741</v>
      </c>
      <c r="I260" s="495" t="s">
        <v>78</v>
      </c>
      <c r="J260" s="496" t="s">
        <v>134</v>
      </c>
      <c r="K260" s="221" t="s">
        <v>79</v>
      </c>
      <c r="L260" s="499">
        <v>42704</v>
      </c>
      <c r="M260" s="493" t="s">
        <v>104</v>
      </c>
      <c r="N260" s="493" t="s">
        <v>839</v>
      </c>
      <c r="O260" s="508" t="s">
        <v>751</v>
      </c>
      <c r="P260" s="499">
        <v>42706</v>
      </c>
      <c r="Q260" s="654" t="s">
        <v>949</v>
      </c>
      <c r="R260" s="492" t="s">
        <v>55</v>
      </c>
      <c r="S260" s="499">
        <v>42878</v>
      </c>
      <c r="T260" s="492" t="s">
        <v>994</v>
      </c>
      <c r="U260" s="551">
        <f t="shared" ref="U260:U295" si="145">DAYS360(G260,L260,0)+1</f>
        <v>13</v>
      </c>
      <c r="V260" s="552" t="str">
        <f t="shared" ref="V260:V289" si="146">IF(U260&gt;15,"Inoportuno",(IF(U260&lt;0,"No ha formulado PM","Oportuno")))</f>
        <v>Oportuno</v>
      </c>
      <c r="W260" s="551">
        <f t="shared" si="130"/>
        <v>172</v>
      </c>
      <c r="X260" s="641" t="s">
        <v>336</v>
      </c>
    </row>
    <row r="261" spans="1:24" ht="122.25" hidden="1" customHeight="1" x14ac:dyDescent="0.2">
      <c r="A261" s="492">
        <f t="shared" si="131"/>
        <v>165</v>
      </c>
      <c r="B261" s="493" t="s">
        <v>62</v>
      </c>
      <c r="C261" s="493" t="s">
        <v>191</v>
      </c>
      <c r="D261" s="494" t="s">
        <v>43</v>
      </c>
      <c r="E261" s="493" t="s">
        <v>0</v>
      </c>
      <c r="F261" s="495" t="s">
        <v>735</v>
      </c>
      <c r="G261" s="499">
        <v>42692</v>
      </c>
      <c r="H261" s="648" t="s">
        <v>742</v>
      </c>
      <c r="I261" s="495" t="s">
        <v>78</v>
      </c>
      <c r="J261" s="496" t="s">
        <v>133</v>
      </c>
      <c r="K261" s="221" t="s">
        <v>79</v>
      </c>
      <c r="L261" s="499">
        <v>42794</v>
      </c>
      <c r="M261" s="493" t="s">
        <v>50</v>
      </c>
      <c r="N261" s="493" t="s">
        <v>369</v>
      </c>
      <c r="O261" s="508" t="s">
        <v>752</v>
      </c>
      <c r="P261" s="499">
        <v>42978</v>
      </c>
      <c r="Q261" s="654" t="s">
        <v>976</v>
      </c>
      <c r="R261" s="492" t="s">
        <v>51</v>
      </c>
      <c r="S261" s="499"/>
      <c r="T261" s="492"/>
      <c r="U261" s="551">
        <f t="shared" si="145"/>
        <v>101</v>
      </c>
      <c r="V261" s="552" t="str">
        <f t="shared" si="146"/>
        <v>Inoportuno</v>
      </c>
      <c r="W261" s="551">
        <f t="shared" ref="W261:W289" si="147">DAYS360(P261,S261,0)+1</f>
        <v>-42359</v>
      </c>
      <c r="X261" s="641" t="s">
        <v>336</v>
      </c>
    </row>
    <row r="262" spans="1:24" ht="108" hidden="1" customHeight="1" x14ac:dyDescent="0.2">
      <c r="A262" s="492">
        <f t="shared" si="131"/>
        <v>166</v>
      </c>
      <c r="B262" s="493" t="s">
        <v>62</v>
      </c>
      <c r="C262" s="493" t="s">
        <v>191</v>
      </c>
      <c r="D262" s="494" t="s">
        <v>43</v>
      </c>
      <c r="E262" s="493" t="s">
        <v>0</v>
      </c>
      <c r="F262" s="495" t="s">
        <v>735</v>
      </c>
      <c r="G262" s="499">
        <v>42692</v>
      </c>
      <c r="H262" s="648" t="s">
        <v>743</v>
      </c>
      <c r="I262" s="495" t="s">
        <v>78</v>
      </c>
      <c r="J262" s="496" t="s">
        <v>133</v>
      </c>
      <c r="K262" s="221" t="s">
        <v>79</v>
      </c>
      <c r="L262" s="499">
        <v>43099</v>
      </c>
      <c r="M262" s="493" t="s">
        <v>50</v>
      </c>
      <c r="N262" s="493" t="s">
        <v>369</v>
      </c>
      <c r="O262" s="512" t="s">
        <v>753</v>
      </c>
      <c r="P262" s="499">
        <v>42978</v>
      </c>
      <c r="Q262" s="654" t="s">
        <v>977</v>
      </c>
      <c r="R262" s="492" t="s">
        <v>51</v>
      </c>
      <c r="S262" s="499"/>
      <c r="T262" s="492"/>
      <c r="U262" s="551">
        <f t="shared" si="145"/>
        <v>403</v>
      </c>
      <c r="V262" s="552" t="str">
        <f t="shared" si="146"/>
        <v>Inoportuno</v>
      </c>
      <c r="W262" s="551">
        <f t="shared" si="147"/>
        <v>-42359</v>
      </c>
      <c r="X262" s="641" t="s">
        <v>336</v>
      </c>
    </row>
    <row r="263" spans="1:24" ht="112.5" hidden="1" customHeight="1" x14ac:dyDescent="0.2">
      <c r="A263" s="725">
        <v>167</v>
      </c>
      <c r="B263" s="592" t="s">
        <v>49</v>
      </c>
      <c r="C263" s="727" t="s">
        <v>191</v>
      </c>
      <c r="D263" s="729" t="s">
        <v>43</v>
      </c>
      <c r="E263" s="727" t="s">
        <v>0</v>
      </c>
      <c r="F263" s="721" t="s">
        <v>734</v>
      </c>
      <c r="G263" s="731">
        <v>42704</v>
      </c>
      <c r="H263" s="758" t="s">
        <v>744</v>
      </c>
      <c r="I263" s="721" t="s">
        <v>78</v>
      </c>
      <c r="J263" s="723" t="s">
        <v>134</v>
      </c>
      <c r="K263" s="758" t="s">
        <v>79</v>
      </c>
      <c r="L263" s="731">
        <v>42725</v>
      </c>
      <c r="M263" s="465" t="s">
        <v>50</v>
      </c>
      <c r="N263" s="465" t="s">
        <v>116</v>
      </c>
      <c r="O263" s="512" t="s">
        <v>754</v>
      </c>
      <c r="P263" s="470">
        <v>42735</v>
      </c>
      <c r="Q263" s="654" t="s">
        <v>1006</v>
      </c>
      <c r="R263" s="466" t="s">
        <v>55</v>
      </c>
      <c r="S263" s="470">
        <v>42886</v>
      </c>
      <c r="T263" s="466" t="s">
        <v>1008</v>
      </c>
      <c r="U263" s="551">
        <f t="shared" si="145"/>
        <v>22</v>
      </c>
      <c r="V263" s="552" t="str">
        <f t="shared" si="146"/>
        <v>Inoportuno</v>
      </c>
      <c r="W263" s="551">
        <f t="shared" si="147"/>
        <v>151</v>
      </c>
      <c r="X263" s="471"/>
    </row>
    <row r="264" spans="1:24" ht="112.5" hidden="1" customHeight="1" x14ac:dyDescent="0.2">
      <c r="A264" s="726"/>
      <c r="B264" s="592" t="s">
        <v>49</v>
      </c>
      <c r="C264" s="728"/>
      <c r="D264" s="730"/>
      <c r="E264" s="728"/>
      <c r="F264" s="722"/>
      <c r="G264" s="732"/>
      <c r="H264" s="759"/>
      <c r="I264" s="722"/>
      <c r="J264" s="724"/>
      <c r="K264" s="759"/>
      <c r="L264" s="732"/>
      <c r="M264" s="488" t="s">
        <v>104</v>
      </c>
      <c r="N264" s="488" t="s">
        <v>116</v>
      </c>
      <c r="O264" s="512" t="s">
        <v>794</v>
      </c>
      <c r="P264" s="490">
        <v>42734</v>
      </c>
      <c r="Q264" s="654" t="s">
        <v>1007</v>
      </c>
      <c r="R264" s="491" t="s">
        <v>55</v>
      </c>
      <c r="S264" s="490">
        <v>42886</v>
      </c>
      <c r="T264" s="491" t="s">
        <v>1009</v>
      </c>
      <c r="U264" s="551">
        <f t="shared" si="145"/>
        <v>1</v>
      </c>
      <c r="V264" s="552" t="str">
        <f t="shared" si="146"/>
        <v>Oportuno</v>
      </c>
      <c r="W264" s="551">
        <f t="shared" si="147"/>
        <v>151</v>
      </c>
      <c r="X264" s="497"/>
    </row>
    <row r="265" spans="1:24" ht="117" hidden="1" customHeight="1" x14ac:dyDescent="0.2">
      <c r="A265" s="725">
        <f>+A263+1</f>
        <v>168</v>
      </c>
      <c r="B265" s="592" t="s">
        <v>49</v>
      </c>
      <c r="C265" s="727" t="s">
        <v>191</v>
      </c>
      <c r="D265" s="729" t="s">
        <v>43</v>
      </c>
      <c r="E265" s="727" t="s">
        <v>0</v>
      </c>
      <c r="F265" s="721" t="s">
        <v>734</v>
      </c>
      <c r="G265" s="731">
        <v>42704</v>
      </c>
      <c r="H265" s="758" t="s">
        <v>745</v>
      </c>
      <c r="I265" s="721" t="s">
        <v>78</v>
      </c>
      <c r="J265" s="723" t="s">
        <v>134</v>
      </c>
      <c r="K265" s="758" t="s">
        <v>79</v>
      </c>
      <c r="L265" s="731">
        <v>42730</v>
      </c>
      <c r="M265" s="465" t="s">
        <v>50</v>
      </c>
      <c r="N265" s="465" t="s">
        <v>116</v>
      </c>
      <c r="O265" s="512" t="s">
        <v>755</v>
      </c>
      <c r="P265" s="470">
        <v>42794</v>
      </c>
      <c r="Q265" s="668" t="s">
        <v>1010</v>
      </c>
      <c r="R265" s="466" t="s">
        <v>55</v>
      </c>
      <c r="S265" s="470">
        <v>42886</v>
      </c>
      <c r="T265" s="466" t="s">
        <v>1009</v>
      </c>
      <c r="U265" s="551">
        <f t="shared" si="145"/>
        <v>27</v>
      </c>
      <c r="V265" s="552" t="str">
        <f t="shared" si="146"/>
        <v>Inoportuno</v>
      </c>
      <c r="W265" s="551">
        <f t="shared" si="147"/>
        <v>91</v>
      </c>
      <c r="X265" s="471"/>
    </row>
    <row r="266" spans="1:24" ht="132" hidden="1" customHeight="1" x14ac:dyDescent="0.2">
      <c r="A266" s="726"/>
      <c r="B266" s="592" t="s">
        <v>49</v>
      </c>
      <c r="C266" s="728"/>
      <c r="D266" s="730"/>
      <c r="E266" s="728"/>
      <c r="F266" s="722"/>
      <c r="G266" s="732"/>
      <c r="H266" s="759"/>
      <c r="I266" s="722"/>
      <c r="J266" s="724"/>
      <c r="K266" s="759"/>
      <c r="L266" s="732"/>
      <c r="M266" s="488" t="s">
        <v>104</v>
      </c>
      <c r="N266" s="488" t="s">
        <v>116</v>
      </c>
      <c r="O266" s="512" t="s">
        <v>795</v>
      </c>
      <c r="P266" s="490">
        <v>42794</v>
      </c>
      <c r="Q266" s="654" t="s">
        <v>1011</v>
      </c>
      <c r="R266" s="491" t="s">
        <v>55</v>
      </c>
      <c r="S266" s="490">
        <v>42886</v>
      </c>
      <c r="T266" s="491" t="s">
        <v>1009</v>
      </c>
      <c r="U266" s="551">
        <f t="shared" si="145"/>
        <v>1</v>
      </c>
      <c r="V266" s="552" t="str">
        <f t="shared" si="146"/>
        <v>Oportuno</v>
      </c>
      <c r="W266" s="551">
        <f t="shared" si="147"/>
        <v>91</v>
      </c>
      <c r="X266" s="497"/>
    </row>
    <row r="267" spans="1:24" ht="71.25" hidden="1" customHeight="1" x14ac:dyDescent="0.2">
      <c r="A267" s="725">
        <f>+A265+1</f>
        <v>169</v>
      </c>
      <c r="B267" s="592" t="s">
        <v>49</v>
      </c>
      <c r="C267" s="727" t="s">
        <v>191</v>
      </c>
      <c r="D267" s="729" t="s">
        <v>43</v>
      </c>
      <c r="E267" s="727" t="s">
        <v>0</v>
      </c>
      <c r="F267" s="721" t="s">
        <v>734</v>
      </c>
      <c r="G267" s="731">
        <v>42704</v>
      </c>
      <c r="H267" s="758" t="s">
        <v>746</v>
      </c>
      <c r="I267" s="721" t="s">
        <v>78</v>
      </c>
      <c r="J267" s="723" t="s">
        <v>134</v>
      </c>
      <c r="K267" s="758" t="s">
        <v>79</v>
      </c>
      <c r="L267" s="731">
        <v>42730</v>
      </c>
      <c r="M267" s="465" t="s">
        <v>50</v>
      </c>
      <c r="N267" s="727" t="s">
        <v>116</v>
      </c>
      <c r="O267" s="512" t="s">
        <v>756</v>
      </c>
      <c r="P267" s="470">
        <v>42766</v>
      </c>
      <c r="Q267" s="720" t="s">
        <v>1012</v>
      </c>
      <c r="R267" s="652" t="s">
        <v>55</v>
      </c>
      <c r="S267" s="470">
        <v>42886</v>
      </c>
      <c r="T267" s="535" t="s">
        <v>1009</v>
      </c>
      <c r="U267" s="551">
        <f t="shared" si="145"/>
        <v>27</v>
      </c>
      <c r="V267" s="552" t="str">
        <f t="shared" si="146"/>
        <v>Inoportuno</v>
      </c>
      <c r="W267" s="551">
        <f t="shared" si="147"/>
        <v>121</v>
      </c>
      <c r="X267" s="471"/>
    </row>
    <row r="268" spans="1:24" ht="19.5" hidden="1" customHeight="1" x14ac:dyDescent="0.2">
      <c r="A268" s="726"/>
      <c r="B268" s="594" t="s">
        <v>49</v>
      </c>
      <c r="C268" s="728"/>
      <c r="D268" s="730"/>
      <c r="E268" s="728"/>
      <c r="F268" s="722"/>
      <c r="G268" s="732"/>
      <c r="H268" s="759"/>
      <c r="I268" s="722"/>
      <c r="J268" s="724"/>
      <c r="K268" s="759"/>
      <c r="L268" s="732"/>
      <c r="M268" s="465" t="s">
        <v>104</v>
      </c>
      <c r="N268" s="728"/>
      <c r="O268" s="489" t="s">
        <v>796</v>
      </c>
      <c r="P268" s="470">
        <v>42766</v>
      </c>
      <c r="Q268" s="720"/>
      <c r="R268" s="652" t="s">
        <v>55</v>
      </c>
      <c r="S268" s="470">
        <v>42886</v>
      </c>
      <c r="T268" s="466" t="s">
        <v>1009</v>
      </c>
      <c r="U268" s="551">
        <f t="shared" si="145"/>
        <v>1</v>
      </c>
      <c r="V268" s="552" t="str">
        <f t="shared" si="146"/>
        <v>Oportuno</v>
      </c>
      <c r="W268" s="551">
        <f t="shared" si="147"/>
        <v>121</v>
      </c>
      <c r="X268" s="471"/>
    </row>
    <row r="269" spans="1:24" ht="47.25" hidden="1" customHeight="1" x14ac:dyDescent="0.2">
      <c r="A269" s="466">
        <v>170</v>
      </c>
      <c r="B269" s="465" t="s">
        <v>65</v>
      </c>
      <c r="C269" s="465" t="s">
        <v>668</v>
      </c>
      <c r="D269" s="467" t="s">
        <v>43</v>
      </c>
      <c r="E269" s="472" t="s">
        <v>0</v>
      </c>
      <c r="F269" s="468"/>
      <c r="G269" s="470">
        <v>42704</v>
      </c>
      <c r="H269" s="548" t="s">
        <v>840</v>
      </c>
      <c r="I269" s="468" t="s">
        <v>78</v>
      </c>
      <c r="J269" s="469" t="s">
        <v>133</v>
      </c>
      <c r="K269" s="159" t="s">
        <v>79</v>
      </c>
      <c r="L269" s="470">
        <v>42706</v>
      </c>
      <c r="M269" s="465" t="s">
        <v>50</v>
      </c>
      <c r="N269" s="465" t="s">
        <v>65</v>
      </c>
      <c r="O269" s="502" t="s">
        <v>842</v>
      </c>
      <c r="P269" s="470">
        <v>42766</v>
      </c>
      <c r="Q269" s="654"/>
      <c r="R269" s="652" t="s">
        <v>51</v>
      </c>
      <c r="S269" s="470"/>
      <c r="T269" s="466"/>
      <c r="U269" s="551">
        <f t="shared" si="145"/>
        <v>3</v>
      </c>
      <c r="V269" s="552" t="str">
        <f t="shared" si="146"/>
        <v>Oportuno</v>
      </c>
      <c r="W269" s="551">
        <f t="shared" si="147"/>
        <v>-42149</v>
      </c>
      <c r="X269" s="471"/>
    </row>
    <row r="270" spans="1:24" ht="45.75" hidden="1" customHeight="1" x14ac:dyDescent="0.2">
      <c r="A270" s="466">
        <f t="shared" si="131"/>
        <v>171</v>
      </c>
      <c r="B270" s="465" t="s">
        <v>65</v>
      </c>
      <c r="C270" s="465" t="s">
        <v>668</v>
      </c>
      <c r="D270" s="467" t="s">
        <v>43</v>
      </c>
      <c r="E270" s="472" t="s">
        <v>0</v>
      </c>
      <c r="F270" s="468"/>
      <c r="G270" s="470">
        <v>42704</v>
      </c>
      <c r="H270" s="548" t="s">
        <v>841</v>
      </c>
      <c r="I270" s="468" t="s">
        <v>78</v>
      </c>
      <c r="J270" s="469" t="s">
        <v>133</v>
      </c>
      <c r="K270" s="159" t="s">
        <v>79</v>
      </c>
      <c r="L270" s="470">
        <v>42706</v>
      </c>
      <c r="M270" s="465" t="s">
        <v>50</v>
      </c>
      <c r="N270" s="500" t="s">
        <v>65</v>
      </c>
      <c r="O270" s="502" t="s">
        <v>843</v>
      </c>
      <c r="P270" s="470">
        <v>42719</v>
      </c>
      <c r="Q270" s="654"/>
      <c r="R270" s="652" t="s">
        <v>51</v>
      </c>
      <c r="S270" s="470"/>
      <c r="T270" s="466"/>
      <c r="U270" s="551">
        <f t="shared" si="145"/>
        <v>3</v>
      </c>
      <c r="V270" s="552" t="str">
        <f t="shared" si="146"/>
        <v>Oportuno</v>
      </c>
      <c r="W270" s="551">
        <f t="shared" si="147"/>
        <v>-42104</v>
      </c>
      <c r="X270" s="471"/>
    </row>
    <row r="271" spans="1:24" ht="105" customHeight="1" x14ac:dyDescent="0.2">
      <c r="A271" s="466">
        <f t="shared" si="131"/>
        <v>172</v>
      </c>
      <c r="B271" s="465" t="s">
        <v>25</v>
      </c>
      <c r="C271" s="465" t="s">
        <v>191</v>
      </c>
      <c r="D271" s="467" t="s">
        <v>43</v>
      </c>
      <c r="E271" s="472" t="s">
        <v>0</v>
      </c>
      <c r="F271" s="468" t="s">
        <v>737</v>
      </c>
      <c r="G271" s="470">
        <v>42780</v>
      </c>
      <c r="H271" s="598" t="s">
        <v>893</v>
      </c>
      <c r="I271" s="468" t="s">
        <v>78</v>
      </c>
      <c r="J271" s="469" t="s">
        <v>134</v>
      </c>
      <c r="K271" s="159" t="s">
        <v>79</v>
      </c>
      <c r="L271" s="470">
        <v>42795</v>
      </c>
      <c r="M271" s="465" t="s">
        <v>50</v>
      </c>
      <c r="N271" s="465" t="s">
        <v>459</v>
      </c>
      <c r="O271" s="598" t="s">
        <v>895</v>
      </c>
      <c r="P271" s="470">
        <v>42809</v>
      </c>
      <c r="Q271" s="654" t="s">
        <v>1085</v>
      </c>
      <c r="R271" s="652" t="s">
        <v>55</v>
      </c>
      <c r="S271" s="470">
        <v>42916</v>
      </c>
      <c r="T271" s="688" t="s">
        <v>1086</v>
      </c>
      <c r="U271" s="551">
        <f t="shared" si="145"/>
        <v>18</v>
      </c>
      <c r="V271" s="640" t="str">
        <f t="shared" si="146"/>
        <v>Inoportuno</v>
      </c>
      <c r="W271" s="551">
        <f t="shared" si="147"/>
        <v>106</v>
      </c>
      <c r="X271" s="471"/>
    </row>
    <row r="272" spans="1:24" ht="105" customHeight="1" x14ac:dyDescent="0.2">
      <c r="A272" s="725">
        <f>+A271+1</f>
        <v>173</v>
      </c>
      <c r="B272" s="727" t="s">
        <v>25</v>
      </c>
      <c r="C272" s="727" t="s">
        <v>191</v>
      </c>
      <c r="D272" s="729" t="s">
        <v>43</v>
      </c>
      <c r="E272" s="727" t="s">
        <v>0</v>
      </c>
      <c r="F272" s="721" t="s">
        <v>736</v>
      </c>
      <c r="G272" s="731">
        <v>42946</v>
      </c>
      <c r="H272" s="727" t="s">
        <v>894</v>
      </c>
      <c r="I272" s="721" t="s">
        <v>78</v>
      </c>
      <c r="J272" s="723" t="s">
        <v>133</v>
      </c>
      <c r="K272" s="725" t="s">
        <v>79</v>
      </c>
      <c r="L272" s="731">
        <v>43008</v>
      </c>
      <c r="M272" s="697" t="s">
        <v>104</v>
      </c>
      <c r="N272" s="697" t="s">
        <v>459</v>
      </c>
      <c r="O272" s="697" t="s">
        <v>1093</v>
      </c>
      <c r="P272" s="698">
        <v>43008</v>
      </c>
      <c r="Q272" s="699"/>
      <c r="R272" s="696"/>
      <c r="S272" s="698"/>
      <c r="T272" s="697"/>
      <c r="U272" s="551"/>
      <c r="V272" s="701"/>
      <c r="W272" s="551"/>
      <c r="X272" s="700"/>
    </row>
    <row r="273" spans="1:24" ht="105" hidden="1" customHeight="1" x14ac:dyDescent="0.2">
      <c r="A273" s="734"/>
      <c r="B273" s="743"/>
      <c r="C273" s="743"/>
      <c r="D273" s="735"/>
      <c r="E273" s="743"/>
      <c r="F273" s="741"/>
      <c r="G273" s="760"/>
      <c r="H273" s="743"/>
      <c r="I273" s="741"/>
      <c r="J273" s="768"/>
      <c r="K273" s="734"/>
      <c r="L273" s="732"/>
      <c r="M273" s="691" t="s">
        <v>54</v>
      </c>
      <c r="N273" s="691" t="s">
        <v>474</v>
      </c>
      <c r="O273" s="691" t="s">
        <v>1092</v>
      </c>
      <c r="P273" s="692">
        <v>43008</v>
      </c>
      <c r="Q273" s="690"/>
      <c r="R273" s="693"/>
      <c r="S273" s="692"/>
      <c r="T273" s="691"/>
      <c r="U273" s="551"/>
      <c r="V273" s="695"/>
      <c r="W273" s="551"/>
      <c r="X273" s="694"/>
    </row>
    <row r="274" spans="1:24" ht="38.25" hidden="1" x14ac:dyDescent="0.2">
      <c r="A274" s="725">
        <f>+A272+1</f>
        <v>174</v>
      </c>
      <c r="B274" s="727" t="s">
        <v>10</v>
      </c>
      <c r="C274" s="727" t="s">
        <v>668</v>
      </c>
      <c r="D274" s="467" t="s">
        <v>43</v>
      </c>
      <c r="E274" s="472" t="s">
        <v>0</v>
      </c>
      <c r="F274" s="468" t="s">
        <v>737</v>
      </c>
      <c r="G274" s="731">
        <v>42817</v>
      </c>
      <c r="H274" s="727" t="s">
        <v>908</v>
      </c>
      <c r="I274" s="721" t="s">
        <v>78</v>
      </c>
      <c r="J274" s="723" t="s">
        <v>133</v>
      </c>
      <c r="K274" s="725" t="s">
        <v>79</v>
      </c>
      <c r="L274" s="731">
        <v>42845</v>
      </c>
      <c r="M274" s="465" t="s">
        <v>104</v>
      </c>
      <c r="N274" s="727" t="s">
        <v>681</v>
      </c>
      <c r="O274" s="599" t="s">
        <v>909</v>
      </c>
      <c r="P274" s="470">
        <v>42962</v>
      </c>
      <c r="Q274" s="654"/>
      <c r="R274" s="616" t="s">
        <v>51</v>
      </c>
      <c r="S274" s="470"/>
      <c r="T274" s="466"/>
      <c r="U274" s="551">
        <f t="shared" si="145"/>
        <v>28</v>
      </c>
      <c r="V274" s="640" t="str">
        <f t="shared" si="146"/>
        <v>Inoportuno</v>
      </c>
      <c r="W274" s="551">
        <f t="shared" si="147"/>
        <v>-42344</v>
      </c>
      <c r="X274" s="471"/>
    </row>
    <row r="275" spans="1:24" ht="25.5" hidden="1" x14ac:dyDescent="0.2">
      <c r="A275" s="726"/>
      <c r="B275" s="728"/>
      <c r="C275" s="728"/>
      <c r="D275" s="467" t="s">
        <v>43</v>
      </c>
      <c r="E275" s="472" t="s">
        <v>0</v>
      </c>
      <c r="F275" s="468" t="s">
        <v>737</v>
      </c>
      <c r="G275" s="732"/>
      <c r="H275" s="728"/>
      <c r="I275" s="722"/>
      <c r="J275" s="724"/>
      <c r="K275" s="726"/>
      <c r="L275" s="732"/>
      <c r="M275" s="465" t="s">
        <v>50</v>
      </c>
      <c r="N275" s="728"/>
      <c r="O275" s="599" t="s">
        <v>910</v>
      </c>
      <c r="P275" s="470">
        <v>42962</v>
      </c>
      <c r="Q275" s="654"/>
      <c r="R275" s="616" t="s">
        <v>51</v>
      </c>
      <c r="S275" s="470"/>
      <c r="T275" s="466"/>
      <c r="U275" s="551">
        <f t="shared" si="145"/>
        <v>1</v>
      </c>
      <c r="V275" s="640" t="str">
        <f t="shared" si="146"/>
        <v>Oportuno</v>
      </c>
      <c r="W275" s="551">
        <f t="shared" si="147"/>
        <v>-42344</v>
      </c>
      <c r="X275" s="471"/>
    </row>
    <row r="276" spans="1:24" ht="76.5" hidden="1" x14ac:dyDescent="0.2">
      <c r="A276" s="478">
        <v>175</v>
      </c>
      <c r="B276" s="473" t="s">
        <v>333</v>
      </c>
      <c r="C276" s="473" t="s">
        <v>710</v>
      </c>
      <c r="D276" s="477" t="s">
        <v>43</v>
      </c>
      <c r="E276" s="479" t="s">
        <v>0</v>
      </c>
      <c r="F276" s="475" t="s">
        <v>492</v>
      </c>
      <c r="G276" s="476">
        <v>42731</v>
      </c>
      <c r="H276" s="489" t="s">
        <v>914</v>
      </c>
      <c r="I276" s="475" t="s">
        <v>78</v>
      </c>
      <c r="J276" s="474" t="s">
        <v>134</v>
      </c>
      <c r="K276" s="159" t="s">
        <v>79</v>
      </c>
      <c r="L276" s="476">
        <v>42765</v>
      </c>
      <c r="M276" s="473" t="s">
        <v>104</v>
      </c>
      <c r="N276" s="473" t="s">
        <v>362</v>
      </c>
      <c r="O276" s="489" t="s">
        <v>922</v>
      </c>
      <c r="P276" s="476">
        <v>42725</v>
      </c>
      <c r="Q276" s="654" t="s">
        <v>922</v>
      </c>
      <c r="R276" s="478" t="s">
        <v>55</v>
      </c>
      <c r="S276" s="476">
        <v>42702</v>
      </c>
      <c r="T276" s="605" t="s">
        <v>923</v>
      </c>
      <c r="U276" s="551">
        <f t="shared" si="145"/>
        <v>34</v>
      </c>
      <c r="V276" s="640" t="str">
        <f t="shared" si="146"/>
        <v>Inoportuno</v>
      </c>
      <c r="W276" s="551">
        <f t="shared" si="147"/>
        <v>-22</v>
      </c>
      <c r="X276" s="480"/>
    </row>
    <row r="277" spans="1:24" ht="36" hidden="1" x14ac:dyDescent="0.2">
      <c r="A277" s="733">
        <v>176</v>
      </c>
      <c r="B277" s="727" t="s">
        <v>333</v>
      </c>
      <c r="C277" s="727" t="s">
        <v>710</v>
      </c>
      <c r="D277" s="729" t="s">
        <v>43</v>
      </c>
      <c r="E277" s="727" t="s">
        <v>0</v>
      </c>
      <c r="F277" s="721" t="s">
        <v>492</v>
      </c>
      <c r="G277" s="731">
        <v>42731</v>
      </c>
      <c r="H277" s="784" t="s">
        <v>915</v>
      </c>
      <c r="I277" s="742" t="s">
        <v>78</v>
      </c>
      <c r="J277" s="755" t="s">
        <v>133</v>
      </c>
      <c r="K277" s="733" t="s">
        <v>79</v>
      </c>
      <c r="L277" s="731">
        <v>42765</v>
      </c>
      <c r="M277" s="473" t="s">
        <v>50</v>
      </c>
      <c r="N277" s="605" t="s">
        <v>362</v>
      </c>
      <c r="O277" s="665" t="s">
        <v>924</v>
      </c>
      <c r="P277" s="604">
        <v>42725</v>
      </c>
      <c r="Q277" s="654"/>
      <c r="R277" s="478" t="s">
        <v>51</v>
      </c>
      <c r="S277" s="476"/>
      <c r="T277" s="478"/>
      <c r="U277" s="551">
        <f t="shared" si="145"/>
        <v>34</v>
      </c>
      <c r="V277" s="640" t="str">
        <f t="shared" si="146"/>
        <v>Inoportuno</v>
      </c>
      <c r="W277" s="551">
        <f t="shared" si="147"/>
        <v>-42110</v>
      </c>
      <c r="X277" s="480"/>
    </row>
    <row r="278" spans="1:24" ht="42" hidden="1" customHeight="1" x14ac:dyDescent="0.2">
      <c r="A278" s="733"/>
      <c r="B278" s="728"/>
      <c r="C278" s="728"/>
      <c r="D278" s="730"/>
      <c r="E278" s="728"/>
      <c r="F278" s="722"/>
      <c r="G278" s="732"/>
      <c r="H278" s="752"/>
      <c r="I278" s="742"/>
      <c r="J278" s="755"/>
      <c r="K278" s="733"/>
      <c r="L278" s="732"/>
      <c r="M278" s="605" t="s">
        <v>54</v>
      </c>
      <c r="N278" s="605" t="s">
        <v>362</v>
      </c>
      <c r="O278" s="606" t="s">
        <v>925</v>
      </c>
      <c r="P278" s="604">
        <v>42725</v>
      </c>
      <c r="Q278" s="654"/>
      <c r="R278" s="602" t="s">
        <v>51</v>
      </c>
      <c r="S278" s="604"/>
      <c r="T278" s="602"/>
      <c r="U278" s="551">
        <f t="shared" si="145"/>
        <v>1</v>
      </c>
      <c r="V278" s="640" t="str">
        <f t="shared" si="146"/>
        <v>Oportuno</v>
      </c>
      <c r="W278" s="551">
        <f t="shared" si="147"/>
        <v>-42110</v>
      </c>
      <c r="X278" s="613"/>
    </row>
    <row r="279" spans="1:24" ht="60.75" hidden="1" customHeight="1" x14ac:dyDescent="0.2">
      <c r="A279" s="734">
        <v>177</v>
      </c>
      <c r="B279" s="727" t="s">
        <v>333</v>
      </c>
      <c r="C279" s="727" t="s">
        <v>710</v>
      </c>
      <c r="D279" s="729" t="s">
        <v>43</v>
      </c>
      <c r="E279" s="727" t="s">
        <v>0</v>
      </c>
      <c r="F279" s="721" t="s">
        <v>492</v>
      </c>
      <c r="G279" s="731">
        <v>42731</v>
      </c>
      <c r="H279" s="751" t="s">
        <v>916</v>
      </c>
      <c r="I279" s="721" t="s">
        <v>78</v>
      </c>
      <c r="J279" s="755" t="s">
        <v>133</v>
      </c>
      <c r="K279" s="733" t="s">
        <v>79</v>
      </c>
      <c r="L279" s="731">
        <v>42765</v>
      </c>
      <c r="M279" s="605" t="s">
        <v>50</v>
      </c>
      <c r="N279" s="727" t="s">
        <v>362</v>
      </c>
      <c r="O279" s="606" t="s">
        <v>926</v>
      </c>
      <c r="P279" s="603">
        <v>42725</v>
      </c>
      <c r="Q279" s="654"/>
      <c r="R279" s="602" t="s">
        <v>51</v>
      </c>
      <c r="S279" s="604"/>
      <c r="T279" s="602"/>
      <c r="U279" s="551">
        <f t="shared" si="145"/>
        <v>34</v>
      </c>
      <c r="V279" s="640" t="str">
        <f t="shared" si="146"/>
        <v>Inoportuno</v>
      </c>
      <c r="W279" s="551">
        <f t="shared" si="147"/>
        <v>-42110</v>
      </c>
      <c r="X279" s="613"/>
    </row>
    <row r="280" spans="1:24" ht="24" hidden="1" x14ac:dyDescent="0.2">
      <c r="A280" s="726"/>
      <c r="B280" s="728"/>
      <c r="C280" s="728"/>
      <c r="D280" s="730"/>
      <c r="E280" s="728"/>
      <c r="F280" s="722"/>
      <c r="G280" s="732"/>
      <c r="H280" s="752"/>
      <c r="I280" s="722"/>
      <c r="J280" s="755"/>
      <c r="K280" s="733"/>
      <c r="L280" s="732"/>
      <c r="M280" s="473" t="s">
        <v>54</v>
      </c>
      <c r="N280" s="728"/>
      <c r="O280" s="489" t="s">
        <v>927</v>
      </c>
      <c r="P280" s="603">
        <v>42725</v>
      </c>
      <c r="Q280" s="654"/>
      <c r="R280" s="478" t="s">
        <v>51</v>
      </c>
      <c r="S280" s="476"/>
      <c r="T280" s="478"/>
      <c r="U280" s="551">
        <f t="shared" si="145"/>
        <v>1</v>
      </c>
      <c r="V280" s="640" t="str">
        <f t="shared" si="146"/>
        <v>Oportuno</v>
      </c>
      <c r="W280" s="551">
        <f t="shared" si="147"/>
        <v>-42110</v>
      </c>
      <c r="X280" s="480"/>
    </row>
    <row r="281" spans="1:24" ht="53.25" hidden="1" customHeight="1" x14ac:dyDescent="0.2">
      <c r="A281" s="725">
        <v>178</v>
      </c>
      <c r="B281" s="727" t="s">
        <v>333</v>
      </c>
      <c r="C281" s="727" t="s">
        <v>710</v>
      </c>
      <c r="D281" s="729" t="s">
        <v>43</v>
      </c>
      <c r="E281" s="727" t="s">
        <v>0</v>
      </c>
      <c r="F281" s="721" t="s">
        <v>492</v>
      </c>
      <c r="G281" s="731">
        <v>42731</v>
      </c>
      <c r="H281" s="751" t="s">
        <v>917</v>
      </c>
      <c r="I281" s="721" t="s">
        <v>78</v>
      </c>
      <c r="J281" s="723" t="s">
        <v>133</v>
      </c>
      <c r="K281" s="725" t="s">
        <v>79</v>
      </c>
      <c r="L281" s="731">
        <v>42765</v>
      </c>
      <c r="M281" s="605" t="s">
        <v>50</v>
      </c>
      <c r="N281" s="727" t="s">
        <v>362</v>
      </c>
      <c r="O281" s="606" t="s">
        <v>928</v>
      </c>
      <c r="P281" s="610">
        <v>42725</v>
      </c>
      <c r="Q281" s="654"/>
      <c r="R281" s="602" t="s">
        <v>51</v>
      </c>
      <c r="S281" s="604"/>
      <c r="T281" s="602"/>
      <c r="U281" s="551">
        <f t="shared" si="145"/>
        <v>34</v>
      </c>
      <c r="V281" s="640" t="str">
        <f t="shared" si="146"/>
        <v>Inoportuno</v>
      </c>
      <c r="W281" s="551">
        <f t="shared" si="147"/>
        <v>-42110</v>
      </c>
      <c r="X281" s="613"/>
    </row>
    <row r="282" spans="1:24" ht="36" hidden="1" x14ac:dyDescent="0.2">
      <c r="A282" s="726"/>
      <c r="B282" s="728"/>
      <c r="C282" s="728"/>
      <c r="D282" s="730"/>
      <c r="E282" s="728"/>
      <c r="F282" s="722"/>
      <c r="G282" s="732"/>
      <c r="H282" s="752"/>
      <c r="I282" s="722"/>
      <c r="J282" s="724"/>
      <c r="K282" s="726"/>
      <c r="L282" s="732"/>
      <c r="M282" s="473" t="s">
        <v>54</v>
      </c>
      <c r="N282" s="728"/>
      <c r="O282" s="489" t="s">
        <v>929</v>
      </c>
      <c r="P282" s="610">
        <v>42725</v>
      </c>
      <c r="Q282" s="654"/>
      <c r="R282" s="478" t="s">
        <v>51</v>
      </c>
      <c r="S282" s="476"/>
      <c r="T282" s="478"/>
      <c r="U282" s="551">
        <f t="shared" si="145"/>
        <v>1</v>
      </c>
      <c r="V282" s="640" t="str">
        <f t="shared" si="146"/>
        <v>Oportuno</v>
      </c>
      <c r="W282" s="551">
        <f t="shared" si="147"/>
        <v>-42110</v>
      </c>
      <c r="X282" s="480"/>
    </row>
    <row r="283" spans="1:24" ht="42" hidden="1" customHeight="1" x14ac:dyDescent="0.2">
      <c r="A283" s="725">
        <f>+A281+1</f>
        <v>179</v>
      </c>
      <c r="B283" s="727" t="s">
        <v>333</v>
      </c>
      <c r="C283" s="727" t="s">
        <v>710</v>
      </c>
      <c r="D283" s="729" t="s">
        <v>43</v>
      </c>
      <c r="E283" s="727" t="s">
        <v>0</v>
      </c>
      <c r="F283" s="721" t="s">
        <v>492</v>
      </c>
      <c r="G283" s="731">
        <v>42731</v>
      </c>
      <c r="H283" s="751" t="s">
        <v>918</v>
      </c>
      <c r="I283" s="721" t="s">
        <v>78</v>
      </c>
      <c r="J283" s="723" t="s">
        <v>133</v>
      </c>
      <c r="K283" s="725" t="s">
        <v>79</v>
      </c>
      <c r="L283" s="731">
        <v>42765</v>
      </c>
      <c r="M283" s="605" t="s">
        <v>50</v>
      </c>
      <c r="N283" s="727" t="s">
        <v>362</v>
      </c>
      <c r="O283" s="606" t="s">
        <v>927</v>
      </c>
      <c r="P283" s="731">
        <v>42725</v>
      </c>
      <c r="Q283" s="654"/>
      <c r="R283" s="602" t="s">
        <v>51</v>
      </c>
      <c r="S283" s="604"/>
      <c r="T283" s="602"/>
      <c r="U283" s="551">
        <f t="shared" si="145"/>
        <v>34</v>
      </c>
      <c r="V283" s="640" t="str">
        <f t="shared" si="146"/>
        <v>Inoportuno</v>
      </c>
      <c r="W283" s="551">
        <f t="shared" si="147"/>
        <v>-42110</v>
      </c>
      <c r="X283" s="613"/>
    </row>
    <row r="284" spans="1:24" ht="36" hidden="1" x14ac:dyDescent="0.2">
      <c r="A284" s="726"/>
      <c r="B284" s="728"/>
      <c r="C284" s="728"/>
      <c r="D284" s="730"/>
      <c r="E284" s="728"/>
      <c r="F284" s="722"/>
      <c r="G284" s="732"/>
      <c r="H284" s="752"/>
      <c r="I284" s="722"/>
      <c r="J284" s="724"/>
      <c r="K284" s="726"/>
      <c r="L284" s="732"/>
      <c r="M284" s="465" t="s">
        <v>54</v>
      </c>
      <c r="N284" s="728"/>
      <c r="O284" s="489" t="s">
        <v>929</v>
      </c>
      <c r="P284" s="732"/>
      <c r="Q284" s="654"/>
      <c r="R284" s="466" t="s">
        <v>51</v>
      </c>
      <c r="S284" s="470"/>
      <c r="T284" s="466"/>
      <c r="U284" s="551">
        <f t="shared" si="145"/>
        <v>1</v>
      </c>
      <c r="V284" s="640" t="str">
        <f t="shared" si="146"/>
        <v>Oportuno</v>
      </c>
      <c r="W284" s="551">
        <f t="shared" si="147"/>
        <v>1</v>
      </c>
      <c r="X284" s="471"/>
    </row>
    <row r="285" spans="1:24" ht="50.25" hidden="1" customHeight="1" x14ac:dyDescent="0.2">
      <c r="A285" s="725">
        <f>+A283+1</f>
        <v>180</v>
      </c>
      <c r="B285" s="727" t="s">
        <v>333</v>
      </c>
      <c r="C285" s="727" t="s">
        <v>710</v>
      </c>
      <c r="D285" s="729" t="s">
        <v>43</v>
      </c>
      <c r="E285" s="727" t="s">
        <v>0</v>
      </c>
      <c r="F285" s="721" t="s">
        <v>492</v>
      </c>
      <c r="G285" s="731">
        <v>42731</v>
      </c>
      <c r="H285" s="751" t="s">
        <v>919</v>
      </c>
      <c r="I285" s="721" t="s">
        <v>78</v>
      </c>
      <c r="J285" s="723" t="s">
        <v>133</v>
      </c>
      <c r="K285" s="725" t="s">
        <v>79</v>
      </c>
      <c r="L285" s="731">
        <v>42765</v>
      </c>
      <c r="M285" s="605" t="s">
        <v>50</v>
      </c>
      <c r="N285" s="727" t="s">
        <v>362</v>
      </c>
      <c r="O285" s="606" t="s">
        <v>927</v>
      </c>
      <c r="P285" s="731">
        <v>42725</v>
      </c>
      <c r="Q285" s="654"/>
      <c r="R285" s="602" t="s">
        <v>51</v>
      </c>
      <c r="S285" s="604"/>
      <c r="T285" s="602"/>
      <c r="U285" s="551">
        <f t="shared" si="145"/>
        <v>34</v>
      </c>
      <c r="V285" s="640" t="str">
        <f t="shared" si="146"/>
        <v>Inoportuno</v>
      </c>
      <c r="W285" s="551">
        <f t="shared" si="147"/>
        <v>-42110</v>
      </c>
      <c r="X285" s="613"/>
    </row>
    <row r="286" spans="1:24" ht="36" hidden="1" x14ac:dyDescent="0.2">
      <c r="A286" s="726"/>
      <c r="B286" s="728"/>
      <c r="C286" s="728"/>
      <c r="D286" s="730"/>
      <c r="E286" s="728"/>
      <c r="F286" s="722"/>
      <c r="G286" s="732"/>
      <c r="H286" s="752"/>
      <c r="I286" s="722"/>
      <c r="J286" s="724"/>
      <c r="K286" s="726"/>
      <c r="L286" s="732"/>
      <c r="M286" s="465" t="s">
        <v>54</v>
      </c>
      <c r="N286" s="728"/>
      <c r="O286" s="489" t="s">
        <v>929</v>
      </c>
      <c r="P286" s="732"/>
      <c r="Q286" s="654"/>
      <c r="R286" s="466" t="s">
        <v>51</v>
      </c>
      <c r="S286" s="470"/>
      <c r="T286" s="466"/>
      <c r="U286" s="551">
        <f t="shared" si="145"/>
        <v>1</v>
      </c>
      <c r="V286" s="640" t="str">
        <f t="shared" si="146"/>
        <v>Oportuno</v>
      </c>
      <c r="W286" s="551">
        <f t="shared" si="147"/>
        <v>1</v>
      </c>
      <c r="X286" s="471"/>
    </row>
    <row r="287" spans="1:24" ht="52.5" hidden="1" customHeight="1" x14ac:dyDescent="0.2">
      <c r="A287" s="725">
        <f>+A285+1</f>
        <v>181</v>
      </c>
      <c r="B287" s="727" t="s">
        <v>333</v>
      </c>
      <c r="C287" s="727" t="s">
        <v>710</v>
      </c>
      <c r="D287" s="729" t="s">
        <v>43</v>
      </c>
      <c r="E287" s="727" t="s">
        <v>0</v>
      </c>
      <c r="F287" s="721" t="s">
        <v>492</v>
      </c>
      <c r="G287" s="731">
        <v>42731</v>
      </c>
      <c r="H287" s="751" t="s">
        <v>920</v>
      </c>
      <c r="I287" s="721" t="s">
        <v>78</v>
      </c>
      <c r="J287" s="723" t="s">
        <v>133</v>
      </c>
      <c r="K287" s="725" t="s">
        <v>79</v>
      </c>
      <c r="L287" s="731">
        <v>42765</v>
      </c>
      <c r="M287" s="605" t="s">
        <v>50</v>
      </c>
      <c r="N287" s="727" t="s">
        <v>362</v>
      </c>
      <c r="O287" s="606" t="s">
        <v>930</v>
      </c>
      <c r="P287" s="731">
        <v>42725</v>
      </c>
      <c r="Q287" s="654"/>
      <c r="R287" s="602" t="s">
        <v>51</v>
      </c>
      <c r="S287" s="604"/>
      <c r="T287" s="602"/>
      <c r="U287" s="551">
        <f t="shared" si="145"/>
        <v>34</v>
      </c>
      <c r="V287" s="640" t="str">
        <f t="shared" si="146"/>
        <v>Inoportuno</v>
      </c>
      <c r="W287" s="551">
        <f t="shared" si="147"/>
        <v>-42110</v>
      </c>
      <c r="X287" s="613"/>
    </row>
    <row r="288" spans="1:24" ht="36" hidden="1" customHeight="1" x14ac:dyDescent="0.2">
      <c r="A288" s="726"/>
      <c r="B288" s="728"/>
      <c r="C288" s="728"/>
      <c r="D288" s="730"/>
      <c r="E288" s="728"/>
      <c r="F288" s="722"/>
      <c r="G288" s="732"/>
      <c r="H288" s="752"/>
      <c r="I288" s="722"/>
      <c r="J288" s="724"/>
      <c r="K288" s="726"/>
      <c r="L288" s="732"/>
      <c r="M288" s="473" t="s">
        <v>54</v>
      </c>
      <c r="N288" s="728"/>
      <c r="O288" s="489" t="s">
        <v>931</v>
      </c>
      <c r="P288" s="732"/>
      <c r="Q288" s="654"/>
      <c r="R288" s="478" t="s">
        <v>51</v>
      </c>
      <c r="S288" s="476"/>
      <c r="T288" s="478"/>
      <c r="U288" s="551">
        <f t="shared" si="145"/>
        <v>1</v>
      </c>
      <c r="V288" s="640" t="str">
        <f t="shared" si="146"/>
        <v>Oportuno</v>
      </c>
      <c r="W288" s="551">
        <f t="shared" si="147"/>
        <v>1</v>
      </c>
      <c r="X288" s="471"/>
    </row>
    <row r="289" spans="1:24" ht="65.25" hidden="1" customHeight="1" x14ac:dyDescent="0.2">
      <c r="A289" s="602">
        <v>182</v>
      </c>
      <c r="B289" s="605" t="s">
        <v>333</v>
      </c>
      <c r="C289" s="605" t="s">
        <v>710</v>
      </c>
      <c r="D289" s="607" t="s">
        <v>43</v>
      </c>
      <c r="E289" s="612" t="s">
        <v>0</v>
      </c>
      <c r="F289" s="606" t="s">
        <v>492</v>
      </c>
      <c r="G289" s="610">
        <v>42731</v>
      </c>
      <c r="H289" s="226" t="s">
        <v>921</v>
      </c>
      <c r="I289" s="611" t="s">
        <v>78</v>
      </c>
      <c r="J289" s="609" t="s">
        <v>134</v>
      </c>
      <c r="K289" s="615" t="s">
        <v>79</v>
      </c>
      <c r="L289" s="610">
        <v>42765</v>
      </c>
      <c r="M289" s="612" t="s">
        <v>104</v>
      </c>
      <c r="N289" s="612" t="s">
        <v>362</v>
      </c>
      <c r="O289" s="606" t="s">
        <v>932</v>
      </c>
      <c r="P289" s="604">
        <v>42725</v>
      </c>
      <c r="Q289" s="654" t="s">
        <v>933</v>
      </c>
      <c r="R289" s="602" t="s">
        <v>55</v>
      </c>
      <c r="S289" s="604">
        <v>42735</v>
      </c>
      <c r="T289" s="602" t="s">
        <v>990</v>
      </c>
      <c r="U289" s="551">
        <f t="shared" si="145"/>
        <v>34</v>
      </c>
      <c r="V289" s="640" t="str">
        <f t="shared" si="146"/>
        <v>Inoportuno</v>
      </c>
      <c r="W289" s="551">
        <f t="shared" si="147"/>
        <v>11</v>
      </c>
      <c r="X289" s="613"/>
    </row>
    <row r="290" spans="1:24" ht="98.25" hidden="1" customHeight="1" x14ac:dyDescent="0.2">
      <c r="A290" s="725">
        <v>183</v>
      </c>
      <c r="B290" s="727" t="s">
        <v>49</v>
      </c>
      <c r="C290" s="727" t="s">
        <v>191</v>
      </c>
      <c r="D290" s="729" t="s">
        <v>43</v>
      </c>
      <c r="E290" s="727" t="s">
        <v>0</v>
      </c>
      <c r="F290" s="721" t="s">
        <v>734</v>
      </c>
      <c r="G290" s="731">
        <v>42886</v>
      </c>
      <c r="H290" s="727" t="s">
        <v>1017</v>
      </c>
      <c r="I290" s="721" t="s">
        <v>78</v>
      </c>
      <c r="J290" s="723" t="s">
        <v>133</v>
      </c>
      <c r="K290" s="725" t="s">
        <v>79</v>
      </c>
      <c r="L290" s="653">
        <v>42933</v>
      </c>
      <c r="M290" s="651" t="s">
        <v>104</v>
      </c>
      <c r="N290" s="651" t="s">
        <v>115</v>
      </c>
      <c r="O290" s="650" t="s">
        <v>1018</v>
      </c>
      <c r="P290" s="653">
        <v>43069</v>
      </c>
      <c r="Q290" s="654"/>
      <c r="R290" s="652" t="s">
        <v>51</v>
      </c>
      <c r="S290" s="653"/>
      <c r="T290" s="652"/>
      <c r="U290" s="551"/>
      <c r="V290" s="659"/>
      <c r="W290" s="551"/>
      <c r="X290" s="658"/>
    </row>
    <row r="291" spans="1:24" ht="87.75" hidden="1" customHeight="1" x14ac:dyDescent="0.2">
      <c r="A291" s="726"/>
      <c r="B291" s="728"/>
      <c r="C291" s="728"/>
      <c r="D291" s="730"/>
      <c r="E291" s="728"/>
      <c r="F291" s="722"/>
      <c r="G291" s="732"/>
      <c r="H291" s="722"/>
      <c r="I291" s="722"/>
      <c r="J291" s="724"/>
      <c r="K291" s="726"/>
      <c r="L291" s="604">
        <v>42903</v>
      </c>
      <c r="M291" s="605" t="s">
        <v>50</v>
      </c>
      <c r="N291" s="605" t="s">
        <v>115</v>
      </c>
      <c r="O291" s="606" t="s">
        <v>1019</v>
      </c>
      <c r="P291" s="604">
        <v>43069</v>
      </c>
      <c r="Q291" s="654"/>
      <c r="R291" s="602" t="s">
        <v>51</v>
      </c>
      <c r="S291" s="604"/>
      <c r="T291" s="602"/>
      <c r="U291" s="551">
        <f>DAYS360(G290,L291,0)+1</f>
        <v>18</v>
      </c>
      <c r="V291" s="640"/>
      <c r="W291" s="551"/>
      <c r="X291" s="613"/>
    </row>
    <row r="292" spans="1:24" ht="85.5" hidden="1" customHeight="1" x14ac:dyDescent="0.2">
      <c r="A292" s="602">
        <v>184</v>
      </c>
      <c r="B292" s="605" t="s">
        <v>36</v>
      </c>
      <c r="C292" s="605" t="s">
        <v>710</v>
      </c>
      <c r="D292" s="607" t="s">
        <v>43</v>
      </c>
      <c r="E292" s="612" t="s">
        <v>0</v>
      </c>
      <c r="F292" s="606" t="s">
        <v>733</v>
      </c>
      <c r="G292" s="604">
        <v>42934</v>
      </c>
      <c r="H292" s="606" t="s">
        <v>1048</v>
      </c>
      <c r="I292" s="606" t="s">
        <v>78</v>
      </c>
      <c r="J292" s="656" t="s">
        <v>133</v>
      </c>
      <c r="K292" s="608" t="s">
        <v>79</v>
      </c>
      <c r="L292" s="604">
        <v>42965</v>
      </c>
      <c r="M292" s="605" t="s">
        <v>50</v>
      </c>
      <c r="N292" s="605" t="s">
        <v>108</v>
      </c>
      <c r="O292" s="606" t="s">
        <v>1090</v>
      </c>
      <c r="P292" s="604">
        <v>43100</v>
      </c>
      <c r="Q292" s="654" t="s">
        <v>1091</v>
      </c>
      <c r="R292" s="602" t="s">
        <v>51</v>
      </c>
      <c r="S292" s="604"/>
      <c r="T292" s="602"/>
      <c r="U292" s="551">
        <f t="shared" si="145"/>
        <v>31</v>
      </c>
      <c r="V292" s="640"/>
      <c r="W292" s="551"/>
      <c r="X292" s="613"/>
    </row>
    <row r="293" spans="1:24" ht="127.5" hidden="1" customHeight="1" x14ac:dyDescent="0.2">
      <c r="A293" s="602">
        <v>185</v>
      </c>
      <c r="B293" s="605" t="s">
        <v>37</v>
      </c>
      <c r="C293" s="605" t="s">
        <v>710</v>
      </c>
      <c r="D293" s="607" t="s">
        <v>43</v>
      </c>
      <c r="E293" s="612" t="s">
        <v>0</v>
      </c>
      <c r="F293" s="606" t="s">
        <v>733</v>
      </c>
      <c r="G293" s="604">
        <v>42732</v>
      </c>
      <c r="H293" s="680" t="s">
        <v>1074</v>
      </c>
      <c r="I293" s="606" t="s">
        <v>78</v>
      </c>
      <c r="J293" s="656" t="s">
        <v>133</v>
      </c>
      <c r="K293" s="608" t="s">
        <v>79</v>
      </c>
      <c r="L293" s="604">
        <v>42779</v>
      </c>
      <c r="M293" s="605" t="s">
        <v>104</v>
      </c>
      <c r="N293" s="605" t="s">
        <v>698</v>
      </c>
      <c r="O293" s="606" t="s">
        <v>1078</v>
      </c>
      <c r="P293" s="604">
        <v>42855</v>
      </c>
      <c r="Q293" s="654"/>
      <c r="R293" s="602" t="s">
        <v>51</v>
      </c>
      <c r="S293" s="604"/>
      <c r="T293" s="602"/>
      <c r="U293" s="551">
        <f t="shared" si="145"/>
        <v>46</v>
      </c>
      <c r="V293" s="614"/>
      <c r="W293" s="551"/>
      <c r="X293" s="613"/>
    </row>
    <row r="294" spans="1:24" ht="93" hidden="1" customHeight="1" x14ac:dyDescent="0.2">
      <c r="A294" s="602">
        <v>186</v>
      </c>
      <c r="B294" s="605" t="s">
        <v>37</v>
      </c>
      <c r="C294" s="673" t="s">
        <v>710</v>
      </c>
      <c r="D294" s="607" t="s">
        <v>43</v>
      </c>
      <c r="E294" s="612" t="s">
        <v>0</v>
      </c>
      <c r="F294" s="606" t="s">
        <v>733</v>
      </c>
      <c r="G294" s="604">
        <v>42732</v>
      </c>
      <c r="H294" s="673" t="s">
        <v>1075</v>
      </c>
      <c r="I294" s="606" t="s">
        <v>78</v>
      </c>
      <c r="J294" s="656" t="s">
        <v>133</v>
      </c>
      <c r="K294" s="608" t="s">
        <v>79</v>
      </c>
      <c r="L294" s="604">
        <v>42779</v>
      </c>
      <c r="M294" s="605" t="s">
        <v>104</v>
      </c>
      <c r="N294" s="605" t="s">
        <v>698</v>
      </c>
      <c r="O294" s="606" t="s">
        <v>1077</v>
      </c>
      <c r="P294" s="604">
        <v>42855</v>
      </c>
      <c r="Q294" s="654"/>
      <c r="R294" s="602" t="s">
        <v>51</v>
      </c>
      <c r="S294" s="604"/>
      <c r="T294" s="602"/>
      <c r="U294" s="551">
        <f t="shared" si="145"/>
        <v>46</v>
      </c>
      <c r="V294" s="614"/>
      <c r="W294" s="551"/>
      <c r="X294" s="613"/>
    </row>
    <row r="295" spans="1:24" ht="93" hidden="1" customHeight="1" x14ac:dyDescent="0.2">
      <c r="A295" s="602">
        <v>187</v>
      </c>
      <c r="B295" s="605" t="s">
        <v>37</v>
      </c>
      <c r="C295" s="673" t="s">
        <v>710</v>
      </c>
      <c r="D295" s="607" t="s">
        <v>43</v>
      </c>
      <c r="E295" s="612" t="s">
        <v>0</v>
      </c>
      <c r="F295" s="606" t="s">
        <v>736</v>
      </c>
      <c r="G295" s="604">
        <v>42880</v>
      </c>
      <c r="H295" s="453" t="s">
        <v>1076</v>
      </c>
      <c r="I295" s="606" t="s">
        <v>78</v>
      </c>
      <c r="J295" s="656" t="s">
        <v>133</v>
      </c>
      <c r="K295" s="608" t="s">
        <v>79</v>
      </c>
      <c r="L295" s="604">
        <v>42906</v>
      </c>
      <c r="M295" s="605" t="s">
        <v>104</v>
      </c>
      <c r="N295" s="605" t="s">
        <v>653</v>
      </c>
      <c r="O295" s="184" t="s">
        <v>1077</v>
      </c>
      <c r="P295" s="604">
        <v>42946</v>
      </c>
      <c r="Q295" s="654"/>
      <c r="R295" s="602" t="s">
        <v>51</v>
      </c>
      <c r="S295" s="604"/>
      <c r="T295" s="602"/>
      <c r="U295" s="551">
        <f t="shared" si="145"/>
        <v>26</v>
      </c>
      <c r="V295" s="614"/>
      <c r="W295" s="551"/>
      <c r="X295" s="613"/>
    </row>
    <row r="296" spans="1:24" ht="93" customHeight="1" x14ac:dyDescent="0.2">
      <c r="A296" s="725">
        <v>188</v>
      </c>
      <c r="B296" s="727" t="s">
        <v>25</v>
      </c>
      <c r="C296" s="727" t="s">
        <v>710</v>
      </c>
      <c r="D296" s="729" t="s">
        <v>43</v>
      </c>
      <c r="E296" s="727" t="s">
        <v>0</v>
      </c>
      <c r="F296" s="721" t="s">
        <v>736</v>
      </c>
      <c r="G296" s="731">
        <v>42916</v>
      </c>
      <c r="H296" s="721" t="s">
        <v>1087</v>
      </c>
      <c r="I296" s="721" t="s">
        <v>78</v>
      </c>
      <c r="J296" s="723" t="s">
        <v>133</v>
      </c>
      <c r="K296" s="725" t="s">
        <v>79</v>
      </c>
      <c r="L296" s="692">
        <v>42963</v>
      </c>
      <c r="M296" s="691" t="s">
        <v>104</v>
      </c>
      <c r="N296" s="691" t="s">
        <v>459</v>
      </c>
      <c r="O296" s="184" t="s">
        <v>1088</v>
      </c>
      <c r="P296" s="692">
        <v>43008</v>
      </c>
      <c r="Q296" s="690"/>
      <c r="R296" s="693" t="s">
        <v>51</v>
      </c>
      <c r="S296" s="692"/>
      <c r="T296" s="693"/>
      <c r="U296" s="551"/>
      <c r="V296" s="695"/>
      <c r="W296" s="551"/>
      <c r="X296" s="694"/>
    </row>
    <row r="297" spans="1:24" ht="63.75" hidden="1" customHeight="1" x14ac:dyDescent="0.2">
      <c r="A297" s="726"/>
      <c r="B297" s="728"/>
      <c r="C297" s="728"/>
      <c r="D297" s="730"/>
      <c r="E297" s="728"/>
      <c r="F297" s="722"/>
      <c r="G297" s="732"/>
      <c r="H297" s="722"/>
      <c r="I297" s="722"/>
      <c r="J297" s="724"/>
      <c r="K297" s="726"/>
      <c r="L297" s="470">
        <v>42963</v>
      </c>
      <c r="M297" s="465" t="s">
        <v>54</v>
      </c>
      <c r="N297" s="465" t="s">
        <v>459</v>
      </c>
      <c r="O297" s="697" t="s">
        <v>1089</v>
      </c>
      <c r="P297" s="470">
        <v>43008</v>
      </c>
      <c r="Q297" s="654"/>
      <c r="R297" s="466"/>
      <c r="S297" s="470"/>
      <c r="T297" s="466"/>
      <c r="U297" s="551">
        <f>DAYS360(G296,L297,0)+1</f>
        <v>47</v>
      </c>
      <c r="V297" s="481"/>
      <c r="W297" s="482"/>
      <c r="X297" s="471"/>
    </row>
    <row r="298" spans="1:24" hidden="1" x14ac:dyDescent="0.2">
      <c r="A298" s="478">
        <f>+A296+1</f>
        <v>189</v>
      </c>
      <c r="B298" s="363"/>
      <c r="C298" s="363"/>
      <c r="D298" s="361"/>
      <c r="E298" s="371"/>
      <c r="F298" s="364"/>
      <c r="G298" s="46"/>
      <c r="H298" s="489"/>
      <c r="I298" s="364"/>
      <c r="J298" s="365"/>
      <c r="K298" s="159"/>
      <c r="L298" s="46"/>
      <c r="M298" s="363"/>
      <c r="N298" s="363"/>
      <c r="O298" s="489"/>
      <c r="P298" s="46"/>
      <c r="Q298" s="363"/>
      <c r="R298" s="367"/>
      <c r="S298" s="46"/>
      <c r="T298" s="367"/>
      <c r="U298" s="532">
        <f t="shared" ref="U298:U306" si="148">DAYS360(G298,L298,0)+1</f>
        <v>1</v>
      </c>
      <c r="V298" s="481"/>
      <c r="W298" s="482"/>
      <c r="X298" s="374"/>
    </row>
    <row r="299" spans="1:24" hidden="1" x14ac:dyDescent="0.2">
      <c r="A299" s="478">
        <f t="shared" si="131"/>
        <v>190</v>
      </c>
      <c r="B299" s="465"/>
      <c r="C299" s="465"/>
      <c r="D299" s="467"/>
      <c r="E299" s="472"/>
      <c r="F299" s="468"/>
      <c r="G299" s="470"/>
      <c r="H299" s="489"/>
      <c r="I299" s="468"/>
      <c r="J299" s="469"/>
      <c r="K299" s="159"/>
      <c r="L299" s="470"/>
      <c r="M299" s="465"/>
      <c r="N299" s="465"/>
      <c r="O299" s="489"/>
      <c r="P299" s="470"/>
      <c r="Q299" s="465"/>
      <c r="R299" s="466"/>
      <c r="S299" s="470"/>
      <c r="T299" s="466"/>
      <c r="U299" s="532">
        <f t="shared" si="148"/>
        <v>1</v>
      </c>
      <c r="V299" s="481"/>
      <c r="W299" s="482"/>
      <c r="X299" s="471"/>
    </row>
    <row r="300" spans="1:24" hidden="1" x14ac:dyDescent="0.2">
      <c r="A300" s="672">
        <f t="shared" si="131"/>
        <v>191</v>
      </c>
      <c r="B300" s="673"/>
      <c r="C300" s="673"/>
      <c r="D300" s="674"/>
      <c r="E300" s="669"/>
      <c r="F300" s="670"/>
      <c r="G300" s="675"/>
      <c r="H300" s="670"/>
      <c r="I300" s="670"/>
      <c r="J300" s="671"/>
      <c r="K300" s="159"/>
      <c r="L300" s="675"/>
      <c r="M300" s="673"/>
      <c r="N300" s="673"/>
      <c r="O300" s="670"/>
      <c r="P300" s="675"/>
      <c r="Q300" s="673"/>
      <c r="R300" s="672"/>
      <c r="S300" s="675"/>
      <c r="T300" s="672"/>
      <c r="U300" s="532"/>
      <c r="V300" s="679"/>
      <c r="W300" s="551"/>
      <c r="X300" s="678"/>
    </row>
    <row r="301" spans="1:24" hidden="1" x14ac:dyDescent="0.2">
      <c r="A301" s="672">
        <f t="shared" si="131"/>
        <v>192</v>
      </c>
      <c r="B301" s="673"/>
      <c r="C301" s="673"/>
      <c r="D301" s="674"/>
      <c r="E301" s="669"/>
      <c r="F301" s="670"/>
      <c r="G301" s="675"/>
      <c r="H301" s="670"/>
      <c r="I301" s="670"/>
      <c r="J301" s="671"/>
      <c r="K301" s="159"/>
      <c r="L301" s="675"/>
      <c r="M301" s="673"/>
      <c r="N301" s="673"/>
      <c r="O301" s="670"/>
      <c r="P301" s="675"/>
      <c r="Q301" s="673"/>
      <c r="R301" s="672"/>
      <c r="S301" s="675"/>
      <c r="T301" s="672"/>
      <c r="U301" s="532"/>
      <c r="V301" s="679"/>
      <c r="W301" s="551"/>
      <c r="X301" s="678"/>
    </row>
    <row r="302" spans="1:24" hidden="1" x14ac:dyDescent="0.2">
      <c r="A302" s="672">
        <f t="shared" si="131"/>
        <v>193</v>
      </c>
      <c r="B302" s="673"/>
      <c r="C302" s="673"/>
      <c r="D302" s="674"/>
      <c r="E302" s="669"/>
      <c r="F302" s="670"/>
      <c r="G302" s="675"/>
      <c r="H302" s="670"/>
      <c r="I302" s="670"/>
      <c r="J302" s="671"/>
      <c r="K302" s="159"/>
      <c r="L302" s="675"/>
      <c r="M302" s="673"/>
      <c r="N302" s="673"/>
      <c r="O302" s="670"/>
      <c r="P302" s="675"/>
      <c r="Q302" s="673"/>
      <c r="R302" s="672"/>
      <c r="S302" s="675"/>
      <c r="T302" s="672"/>
      <c r="U302" s="532"/>
      <c r="V302" s="679"/>
      <c r="W302" s="551"/>
      <c r="X302" s="678"/>
    </row>
    <row r="303" spans="1:24" hidden="1" x14ac:dyDescent="0.2">
      <c r="A303" s="478">
        <f>+A299+1</f>
        <v>191</v>
      </c>
      <c r="B303" s="465"/>
      <c r="C303" s="465"/>
      <c r="D303" s="467"/>
      <c r="E303" s="472"/>
      <c r="F303" s="468"/>
      <c r="G303" s="470"/>
      <c r="H303" s="489"/>
      <c r="I303" s="468"/>
      <c r="J303" s="469"/>
      <c r="K303" s="159"/>
      <c r="L303" s="470"/>
      <c r="M303" s="465"/>
      <c r="N303" s="465"/>
      <c r="O303" s="489"/>
      <c r="P303" s="470"/>
      <c r="Q303" s="465"/>
      <c r="R303" s="466"/>
      <c r="S303" s="470"/>
      <c r="T303" s="466"/>
      <c r="U303" s="532">
        <f t="shared" si="148"/>
        <v>1</v>
      </c>
      <c r="V303" s="481"/>
      <c r="W303" s="482"/>
      <c r="X303" s="471"/>
    </row>
    <row r="304" spans="1:24" hidden="1" x14ac:dyDescent="0.2">
      <c r="A304" s="478">
        <f t="shared" si="131"/>
        <v>192</v>
      </c>
      <c r="B304" s="465"/>
      <c r="C304" s="465"/>
      <c r="D304" s="467"/>
      <c r="E304" s="472"/>
      <c r="F304" s="468"/>
      <c r="G304" s="470"/>
      <c r="H304" s="489"/>
      <c r="I304" s="468"/>
      <c r="J304" s="469"/>
      <c r="K304" s="159"/>
      <c r="L304" s="470"/>
      <c r="M304" s="465"/>
      <c r="N304" s="465"/>
      <c r="O304" s="489"/>
      <c r="P304" s="470"/>
      <c r="Q304" s="465"/>
      <c r="R304" s="466"/>
      <c r="S304" s="470"/>
      <c r="T304" s="466"/>
      <c r="U304" s="532">
        <f t="shared" si="148"/>
        <v>1</v>
      </c>
      <c r="V304" s="481"/>
      <c r="W304" s="482"/>
      <c r="X304" s="471"/>
    </row>
    <row r="305" spans="1:31" hidden="1" x14ac:dyDescent="0.2">
      <c r="A305" s="478">
        <f t="shared" si="131"/>
        <v>193</v>
      </c>
      <c r="B305" s="465"/>
      <c r="C305" s="465"/>
      <c r="D305" s="467"/>
      <c r="E305" s="472"/>
      <c r="F305" s="468"/>
      <c r="G305" s="470"/>
      <c r="H305" s="489"/>
      <c r="I305" s="468"/>
      <c r="J305" s="469"/>
      <c r="K305" s="159"/>
      <c r="L305" s="470"/>
      <c r="M305" s="465"/>
      <c r="N305" s="465"/>
      <c r="O305" s="489"/>
      <c r="P305" s="470"/>
      <c r="Q305" s="465"/>
      <c r="R305" s="466"/>
      <c r="S305" s="470"/>
      <c r="T305" s="466"/>
      <c r="U305" s="532">
        <f t="shared" si="148"/>
        <v>1</v>
      </c>
      <c r="V305" s="481"/>
      <c r="W305" s="482"/>
      <c r="X305" s="471"/>
    </row>
    <row r="306" spans="1:31" hidden="1" x14ac:dyDescent="0.2">
      <c r="A306" s="367"/>
      <c r="B306" s="53"/>
      <c r="C306" s="53"/>
      <c r="D306" s="384"/>
      <c r="E306" s="371"/>
      <c r="F306" s="364"/>
      <c r="G306" s="46"/>
      <c r="H306" s="489"/>
      <c r="I306" s="364"/>
      <c r="J306" s="373"/>
      <c r="K306" s="539"/>
      <c r="L306" s="46"/>
      <c r="M306" s="363"/>
      <c r="N306" s="363"/>
      <c r="O306" s="489"/>
      <c r="P306" s="46"/>
      <c r="Q306" s="363"/>
      <c r="R306" s="367"/>
      <c r="S306" s="46"/>
      <c r="T306" s="367"/>
      <c r="U306" s="532">
        <f t="shared" si="148"/>
        <v>1</v>
      </c>
      <c r="V306" s="482"/>
      <c r="W306" s="482"/>
      <c r="X306" s="374"/>
    </row>
    <row r="307" spans="1:31" hidden="1" x14ac:dyDescent="0.2">
      <c r="B307" s="406" t="s">
        <v>81</v>
      </c>
      <c r="W307" s="383"/>
    </row>
    <row r="308" spans="1:31" hidden="1" x14ac:dyDescent="0.2">
      <c r="B308" s="407"/>
      <c r="C308" s="32" t="s">
        <v>202</v>
      </c>
    </row>
    <row r="309" spans="1:31" ht="15.75" hidden="1" customHeight="1" thickBot="1" x14ac:dyDescent="0.25">
      <c r="C309" s="460" t="s">
        <v>129</v>
      </c>
      <c r="D309" s="460"/>
      <c r="E309" s="460"/>
      <c r="F309" s="460"/>
      <c r="G309" s="460"/>
      <c r="H309" s="520"/>
      <c r="I309" s="460"/>
      <c r="J309" s="460"/>
      <c r="K309" s="541"/>
      <c r="L309" s="460"/>
      <c r="Q309" s="810"/>
      <c r="R309" s="810"/>
      <c r="S309" s="810"/>
      <c r="T309" s="810"/>
      <c r="U309" s="810"/>
      <c r="V309" s="810"/>
      <c r="W309" s="810"/>
      <c r="Y309" s="32">
        <f>COUNTIF(X4:X140,"X")</f>
        <v>137</v>
      </c>
    </row>
    <row r="310" spans="1:31" ht="15.75" hidden="1" x14ac:dyDescent="0.2">
      <c r="C310" s="709" t="s">
        <v>83</v>
      </c>
      <c r="D310" s="710"/>
      <c r="E310" s="790" t="s">
        <v>3</v>
      </c>
      <c r="F310" s="791"/>
      <c r="G310" s="165"/>
      <c r="H310" s="193" t="s">
        <v>84</v>
      </c>
      <c r="I310" s="256" t="s">
        <v>43</v>
      </c>
      <c r="J310" s="60" t="s">
        <v>44</v>
      </c>
      <c r="K310" s="252" t="s">
        <v>46</v>
      </c>
      <c r="L310" s="61" t="s">
        <v>184</v>
      </c>
      <c r="P310" s="165"/>
      <c r="Q310" s="165"/>
      <c r="R310" s="166"/>
      <c r="S310" s="166"/>
      <c r="T310" s="167"/>
      <c r="U310" s="165"/>
      <c r="V310" s="165"/>
      <c r="W310" s="427"/>
      <c r="X310" s="166"/>
    </row>
    <row r="311" spans="1:31" hidden="1" x14ac:dyDescent="0.2">
      <c r="C311" s="428" t="s">
        <v>78</v>
      </c>
      <c r="D311" s="340">
        <f>COUNTIF($I$4:I307,"No Conformidad")</f>
        <v>188</v>
      </c>
      <c r="E311" s="70" t="s">
        <v>79</v>
      </c>
      <c r="F311" s="266">
        <f>COUNTIF($K$4:K307,"Si")</f>
        <v>187</v>
      </c>
      <c r="G311" s="99"/>
      <c r="H311" s="521" t="s">
        <v>78</v>
      </c>
      <c r="I311" s="257">
        <f>COUNTIFS($I$4:I307,"No Conformidad",$D$4:D307,"Auditoria")</f>
        <v>163</v>
      </c>
      <c r="J311" s="380">
        <f>COUNTIFS($I$4:I307,"No Conformidad",$D$4:D307,"Especial")</f>
        <v>0</v>
      </c>
      <c r="K311" s="253">
        <f>COUNTIFS($I$4:I307,"No Conformidad",$D$4:D307,"Informes")</f>
        <v>21</v>
      </c>
      <c r="L311" s="71">
        <f>COUNTIFS($I$4:J307,"No Conformidad",$D$4:E307,"Autocontrol")</f>
        <v>4</v>
      </c>
      <c r="P311" s="165"/>
      <c r="Q311" s="99"/>
      <c r="R311" s="99"/>
      <c r="S311" s="99"/>
      <c r="T311" s="99"/>
      <c r="U311" s="99"/>
      <c r="V311" s="99"/>
      <c r="X311" s="99"/>
    </row>
    <row r="312" spans="1:31" ht="15" hidden="1" thickBot="1" x14ac:dyDescent="0.25">
      <c r="C312" s="429" t="s">
        <v>53</v>
      </c>
      <c r="D312" s="340">
        <f>COUNTIF($I$4:I307,"Recomendación")</f>
        <v>0</v>
      </c>
      <c r="E312" s="79" t="s">
        <v>80</v>
      </c>
      <c r="F312" s="80">
        <f>COUNTIF($K$4:K307,"No")</f>
        <v>1</v>
      </c>
      <c r="G312" s="99"/>
      <c r="H312" s="522" t="s">
        <v>53</v>
      </c>
      <c r="I312" s="257">
        <f>COUNTIFS($I$4:I307,"Recomendación",$D$4:D307,"Auditoria")</f>
        <v>0</v>
      </c>
      <c r="J312" s="380">
        <f>COUNTIFS($I$4:I307,"Recomendación",$D$4:D307,"Especial")</f>
        <v>0</v>
      </c>
      <c r="K312" s="253">
        <f>COUNTIFS($I$4:I307,"Recomendación",$D$4:D307,"Informes")</f>
        <v>0</v>
      </c>
      <c r="L312" s="71">
        <f>COUNTIFS($I$4:J308,"Recomendación",$D$4:E308,"Autocontrol")</f>
        <v>0</v>
      </c>
      <c r="P312" s="165"/>
      <c r="Q312" s="99"/>
      <c r="R312" s="99"/>
      <c r="S312" s="99"/>
      <c r="T312" s="99"/>
      <c r="U312" s="99"/>
      <c r="V312" s="99"/>
      <c r="X312" s="99"/>
    </row>
    <row r="313" spans="1:31" ht="15" hidden="1" thickBot="1" x14ac:dyDescent="0.25">
      <c r="C313" s="336" t="s">
        <v>368</v>
      </c>
      <c r="D313" s="341">
        <f>COUNTIF($I$4:I307,"Oportunidad de mejora")</f>
        <v>0</v>
      </c>
      <c r="G313" s="165"/>
      <c r="H313" s="408" t="s">
        <v>368</v>
      </c>
      <c r="I313" s="248">
        <f>COUNTIFS($I$4:I308,"Oportunidad de mejora",$D$4:D308,"Auditoria")</f>
        <v>0</v>
      </c>
      <c r="J313" s="78">
        <f>COUNTIFS($I$4:I308,"Oportunidad de mejora",$D$4:D308,"Especial")</f>
        <v>0</v>
      </c>
      <c r="K313" s="254">
        <f>COUNTIFS($I$4:I308,"Oportunidad de mejora",$D$4:D308,"Informes")</f>
        <v>0</v>
      </c>
      <c r="L313" s="80">
        <f>COUNTIFS($I$4:J309,"Oportunidad de mejora",$D$4:E309,"Autocontrol")</f>
        <v>0</v>
      </c>
      <c r="P313" s="99"/>
      <c r="Q313" s="99"/>
      <c r="R313" s="99"/>
      <c r="S313" s="99"/>
      <c r="T313" s="99"/>
      <c r="U313" s="165"/>
      <c r="V313" s="165"/>
      <c r="X313" s="99"/>
    </row>
    <row r="314" spans="1:31" ht="19.5" hidden="1" customHeight="1" thickTop="1" thickBot="1" x14ac:dyDescent="0.25">
      <c r="C314" s="82" t="s">
        <v>86</v>
      </c>
      <c r="D314" s="347">
        <f>SUM(D311:D313)</f>
        <v>188</v>
      </c>
      <c r="E314" s="259" t="s">
        <v>86</v>
      </c>
      <c r="F314" s="260">
        <f>SUM(F311:F312)</f>
        <v>188</v>
      </c>
      <c r="G314" s="32"/>
      <c r="H314" s="523" t="s">
        <v>86</v>
      </c>
      <c r="I314" s="246">
        <f>SUM(I311:I313)</f>
        <v>163</v>
      </c>
      <c r="J314" s="246">
        <f t="shared" ref="J314:L314" si="149">SUM(J311:J313)</f>
        <v>0</v>
      </c>
      <c r="K314" s="255">
        <f t="shared" si="149"/>
        <v>21</v>
      </c>
      <c r="L314" s="258">
        <f t="shared" si="149"/>
        <v>4</v>
      </c>
      <c r="Q314" s="165"/>
      <c r="R314" s="99"/>
      <c r="S314" s="99"/>
      <c r="T314" s="99"/>
      <c r="U314" s="99"/>
      <c r="V314" s="99"/>
      <c r="W314" s="99"/>
      <c r="X314" s="166"/>
    </row>
    <row r="315" spans="1:31" ht="15" hidden="1" thickBot="1" x14ac:dyDescent="0.25">
      <c r="B315" s="32" t="s">
        <v>89</v>
      </c>
      <c r="G315" s="430"/>
      <c r="H315" s="524"/>
      <c r="I315" s="409" t="s">
        <v>88</v>
      </c>
      <c r="J315" s="98">
        <f>SUM(I314:L314)</f>
        <v>188</v>
      </c>
      <c r="K315" s="99"/>
      <c r="L315" s="99"/>
      <c r="M315" s="99"/>
      <c r="N315" s="99"/>
      <c r="P315" s="99"/>
      <c r="Q315" s="168"/>
      <c r="R315" s="166"/>
      <c r="S315" s="166"/>
      <c r="T315" s="167"/>
      <c r="U315" s="99"/>
      <c r="V315" s="99"/>
      <c r="X315" s="99"/>
    </row>
    <row r="316" spans="1:31" ht="15.75" hidden="1" thickBot="1" x14ac:dyDescent="0.25">
      <c r="C316" s="402" t="s">
        <v>91</v>
      </c>
      <c r="D316" s="350">
        <f>C1</f>
        <v>2017</v>
      </c>
      <c r="G316" s="430"/>
      <c r="N316" s="152"/>
      <c r="P316" s="99"/>
      <c r="Q316" s="99"/>
      <c r="R316" s="99"/>
      <c r="S316" s="99"/>
      <c r="T316" s="99"/>
      <c r="U316" s="99"/>
      <c r="V316" s="99"/>
      <c r="X316" s="99"/>
      <c r="Z316" s="296"/>
      <c r="AA316" s="296"/>
      <c r="AB316" s="295"/>
    </row>
    <row r="317" spans="1:31" ht="23.25" hidden="1" customHeight="1" thickBot="1" x14ac:dyDescent="0.25">
      <c r="B317" s="787" t="s">
        <v>0</v>
      </c>
      <c r="C317" s="785" t="s">
        <v>204</v>
      </c>
      <c r="D317" s="786"/>
      <c r="E317" s="787" t="s">
        <v>128</v>
      </c>
      <c r="F317" s="788"/>
      <c r="G317" s="788"/>
      <c r="H317" s="788"/>
      <c r="I317" s="789"/>
      <c r="J317" s="782" t="s">
        <v>86</v>
      </c>
      <c r="L317" s="753" t="s">
        <v>132</v>
      </c>
      <c r="M317" s="754"/>
      <c r="N317" s="813" t="s">
        <v>95</v>
      </c>
      <c r="O317" s="814"/>
      <c r="P317" s="815"/>
      <c r="Q317" s="811" t="s">
        <v>96</v>
      </c>
      <c r="R317" s="812"/>
      <c r="T317" s="431"/>
      <c r="U317" s="99"/>
      <c r="V317" s="99"/>
      <c r="W317" s="99"/>
      <c r="X317" s="99"/>
      <c r="Y317" s="99"/>
      <c r="Z317" s="99"/>
      <c r="AA317" s="99"/>
      <c r="AB317" s="295"/>
    </row>
    <row r="318" spans="1:31" ht="22.5" hidden="1" customHeight="1" thickBot="1" x14ac:dyDescent="0.25">
      <c r="B318" s="704"/>
      <c r="C318" s="187" t="s">
        <v>205</v>
      </c>
      <c r="D318" s="342" t="s">
        <v>0</v>
      </c>
      <c r="E318" s="112" t="s">
        <v>43</v>
      </c>
      <c r="F318" s="112" t="s">
        <v>44</v>
      </c>
      <c r="G318" s="112" t="s">
        <v>46</v>
      </c>
      <c r="H318" s="525"/>
      <c r="I318" s="112" t="s">
        <v>184</v>
      </c>
      <c r="J318" s="783"/>
      <c r="L318" s="291" t="s">
        <v>133</v>
      </c>
      <c r="M318" s="292" t="s">
        <v>134</v>
      </c>
      <c r="N318" s="186" t="s">
        <v>78</v>
      </c>
      <c r="O318" s="513" t="s">
        <v>53</v>
      </c>
      <c r="P318" s="336" t="s">
        <v>368</v>
      </c>
      <c r="Q318" s="115" t="s">
        <v>79</v>
      </c>
      <c r="R318" s="116" t="s">
        <v>80</v>
      </c>
      <c r="U318" s="99"/>
      <c r="V318" s="99"/>
      <c r="W318" s="165"/>
      <c r="X318" s="99"/>
      <c r="Y318" s="99"/>
      <c r="Z318" s="99"/>
      <c r="AA318" s="99"/>
      <c r="AB318" s="335"/>
    </row>
    <row r="319" spans="1:31" ht="31.5" hidden="1" customHeight="1" thickTop="1" x14ac:dyDescent="0.2">
      <c r="B319" s="410" t="s">
        <v>49</v>
      </c>
      <c r="C319" s="367">
        <f>COUNTIFS($E$4:$E306,$C$318,$B$4:$B306,$B319)</f>
        <v>27</v>
      </c>
      <c r="D319" s="343">
        <f>COUNTIFS($E$4:$E306,$D$318,$B$4:$B306,$B319)</f>
        <v>8</v>
      </c>
      <c r="E319" s="367">
        <f>COUNTIFS($D$4:$D306,"Auditoria",$B$4:$B306,$B319)</f>
        <v>26</v>
      </c>
      <c r="F319" s="367">
        <f>COUNTIFS($D$4:$D306,"Especial",$B$4:$B306,$B319)</f>
        <v>0</v>
      </c>
      <c r="G319" s="367">
        <f>COUNTIFS($D$4:$D306,"Informes",$B$4:$B306,$B319)</f>
        <v>9</v>
      </c>
      <c r="H319" s="526"/>
      <c r="I319" s="367">
        <f>COUNTIFS($D$4:$D306,"Autocontrol",$B$4:$B306,$B319)</f>
        <v>0</v>
      </c>
      <c r="J319" s="367">
        <f t="shared" ref="J319:K331" si="150">SUM(E319:I319)</f>
        <v>35</v>
      </c>
      <c r="L319" s="247">
        <f>COUNTIFS($J$4:$J306,"Hallazgo Abierto",$B$4:$B306,$B319)</f>
        <v>1</v>
      </c>
      <c r="M319" s="75">
        <f>COUNTIFS($J$4:$J306,"Hallazgo Cerrado",$B$4:$B306,$B319)</f>
        <v>34</v>
      </c>
      <c r="N319" s="372">
        <f>COUNTIFS($I$4:$I306,"No Conformidad",$B$4:$B306,$B319)</f>
        <v>35</v>
      </c>
      <c r="O319" s="514">
        <f>COUNTIFS($I$4:$I306,"Recomendación",$B$4:$B306,$B319)</f>
        <v>0</v>
      </c>
      <c r="P319" s="367">
        <f>COUNTIFS($I$4:$I306,"Oportunidad de mejora",$B$4:$B306,$B319)</f>
        <v>0</v>
      </c>
      <c r="Q319" s="367">
        <f>COUNTIFS($K$4:K306,"Si",$B$4:B306,$B319)</f>
        <v>35</v>
      </c>
      <c r="R319" s="75">
        <f>COUNTIFS($K$4:K306,"No",$B$4:B306,$B319)</f>
        <v>0</v>
      </c>
      <c r="T319" s="99"/>
      <c r="U319" s="99"/>
      <c r="V319" s="99"/>
      <c r="W319" s="165"/>
      <c r="X319" s="99"/>
      <c r="Y319" s="99"/>
      <c r="Z319" s="99"/>
      <c r="AA319" s="432"/>
      <c r="AB319" s="151"/>
    </row>
    <row r="320" spans="1:31" ht="20.25" hidden="1" customHeight="1" x14ac:dyDescent="0.2">
      <c r="B320" s="411" t="s">
        <v>10</v>
      </c>
      <c r="C320" s="367">
        <f>COUNTIFS($E$4:$E306,$C$318,$B$4:$B306,$B320)</f>
        <v>0</v>
      </c>
      <c r="D320" s="343">
        <f>COUNTIFS($E$4:$E306,$D$318,$B$4:$B306,$B320)</f>
        <v>12</v>
      </c>
      <c r="E320" s="367">
        <f>COUNTIFS($D$4:$D306,"Auditoria",$B$4:$B306,$B320)</f>
        <v>12</v>
      </c>
      <c r="F320" s="367">
        <f>COUNTIFS($D$4:$D308,"Especial",$B$4:$B308,$B320)</f>
        <v>0</v>
      </c>
      <c r="G320" s="367">
        <f>COUNTIFS($D$4:$D308,"Informes",$B$4:$B308,$B320)</f>
        <v>0</v>
      </c>
      <c r="H320" s="526"/>
      <c r="I320" s="367">
        <f>COUNTIFS($D$4:$D308,"Autocontrol",$B$4:$B308,$B320)</f>
        <v>0</v>
      </c>
      <c r="J320" s="367">
        <f t="shared" si="150"/>
        <v>12</v>
      </c>
      <c r="L320" s="247">
        <f>COUNTIFS($J$4:$J306,"Hallazgo Abierto",$B$4:$B306,$B320)</f>
        <v>4</v>
      </c>
      <c r="M320" s="75">
        <f>COUNTIFS($J$4:$J306,"Hallazgo Cerrado",$B$4:$B306,$B320)</f>
        <v>8</v>
      </c>
      <c r="N320" s="159">
        <f>COUNTIFS($I$4:$I306,"No Conformidad",$B$4:$B306,$B320)</f>
        <v>12</v>
      </c>
      <c r="O320" s="515">
        <f>COUNTIFS($I$4:$I306,"Recomendación",$B$4:$B306,$B320)</f>
        <v>0</v>
      </c>
      <c r="P320" s="380">
        <f>COUNTIFS($I$4:$I306,"Oportunidad de mejora",$B$4:$B306,$B320)</f>
        <v>0</v>
      </c>
      <c r="Q320" s="380">
        <f>COUNTIFS($K$4:$K306,"Si",$B$4:$B306,$B320)</f>
        <v>12</v>
      </c>
      <c r="R320" s="71">
        <f>COUNTIFS($K$4:$K306,"No",$B$4:$B306,$B320)</f>
        <v>0</v>
      </c>
      <c r="T320" s="151"/>
      <c r="U320" s="99"/>
      <c r="V320" s="99"/>
      <c r="W320" s="99"/>
      <c r="X320" s="99"/>
      <c r="Y320" s="99"/>
      <c r="Z320" s="99"/>
      <c r="AA320" s="432"/>
      <c r="AB320" s="151"/>
      <c r="AE320" s="32"/>
    </row>
    <row r="321" spans="1:28" ht="51" hidden="1" x14ac:dyDescent="0.2">
      <c r="A321" s="32">
        <v>205</v>
      </c>
      <c r="B321" s="257" t="s">
        <v>335</v>
      </c>
      <c r="C321" s="367">
        <f>COUNTIFS($E$4:$E306,$C$318,$B$4:$B306,$B321)</f>
        <v>0</v>
      </c>
      <c r="D321" s="343">
        <f>COUNTIFS($E$4:$E306,$D$318,$B$4:$B306,$B321)</f>
        <v>18</v>
      </c>
      <c r="E321" s="367">
        <f>COUNTIFS($D$4:$D306,"Auditoria",$B$4:$B306,$B321)</f>
        <v>17</v>
      </c>
      <c r="F321" s="367">
        <f>COUNTIFS($D$4:$D306,"Especial",$B$4:$B306,$B321)</f>
        <v>0</v>
      </c>
      <c r="G321" s="367">
        <f>COUNTIFS($D$4:$D306,"Informes",$B$4:$B306,$B321)</f>
        <v>0</v>
      </c>
      <c r="H321" s="526"/>
      <c r="I321" s="367">
        <f>COUNTIFS($D$4:$D306,"Autocontrol",$B$4:$B306,$B321)</f>
        <v>1</v>
      </c>
      <c r="J321" s="367">
        <f t="shared" si="150"/>
        <v>18</v>
      </c>
      <c r="L321" s="247">
        <f>COUNTIFS($J$4:$J306,"Hallazgo Abierto",$B$4:$B306,$B321)</f>
        <v>0</v>
      </c>
      <c r="M321" s="75">
        <f>COUNTIFS($J$4:$J306,"Hallazgo Cerrado",$B$4:$B306,$B321)</f>
        <v>18</v>
      </c>
      <c r="N321" s="159">
        <f>COUNTIFS($I$4:$I306,"No Conformidad",$B$4:$B306,$B321)</f>
        <v>18</v>
      </c>
      <c r="O321" s="515">
        <f>COUNTIFS($I$4:$I306,"Recomendación",$B$4:$B306,$B321)</f>
        <v>0</v>
      </c>
      <c r="P321" s="380">
        <f>COUNTIFS($I$4:$I306,"Oportunidad de mejora",$B$4:$B306,$B321)</f>
        <v>0</v>
      </c>
      <c r="Q321" s="380">
        <f>COUNTIFS($K$4:$K306,"Si",$B$4:$B306,$B321)</f>
        <v>18</v>
      </c>
      <c r="R321" s="71">
        <f>COUNTIFS($K$4:$K306,"No",$B$4:$B306,$B321)</f>
        <v>0</v>
      </c>
      <c r="T321" s="151"/>
      <c r="U321" s="99"/>
      <c r="V321" s="99"/>
      <c r="W321" s="165"/>
      <c r="X321" s="99"/>
      <c r="Y321" s="99"/>
      <c r="Z321" s="99"/>
      <c r="AA321" s="432"/>
      <c r="AB321" s="151"/>
    </row>
    <row r="322" spans="1:28" ht="28.5" hidden="1" x14ac:dyDescent="0.2">
      <c r="B322" s="433" t="s">
        <v>2</v>
      </c>
      <c r="C322" s="367">
        <f>COUNTIFS($E$4:$E306,$C$318,$B$4:$B306,$B322)</f>
        <v>0</v>
      </c>
      <c r="D322" s="343">
        <f>COUNTIFS($E$4:$E306,$D$318,$B$4:$B306,$B322)</f>
        <v>6</v>
      </c>
      <c r="E322" s="367">
        <f>COUNTIFS($D$4:$D306,"Auditoria",$B$4:$B306,$B322)</f>
        <v>6</v>
      </c>
      <c r="F322" s="367">
        <f>COUNTIFS($D$4:$D306,"Especial",$B$4:$B306,$B322)</f>
        <v>0</v>
      </c>
      <c r="G322" s="367">
        <f>COUNTIFS($D$4:$D306,"Informes",$B$4:$B306,$B322)</f>
        <v>0</v>
      </c>
      <c r="H322" s="526"/>
      <c r="I322" s="367">
        <f>COUNTIFS($D$4:$D306,"Autocontrol",$B$4:$B306,$B322)</f>
        <v>0</v>
      </c>
      <c r="J322" s="367">
        <f t="shared" si="150"/>
        <v>6</v>
      </c>
      <c r="L322" s="247">
        <f>COUNTIFS($J$4:$J306,"Hallazgo Abierto",$B$4:$B306,$B322)</f>
        <v>0</v>
      </c>
      <c r="M322" s="75">
        <f>COUNTIFS($J$4:$J306,"Hallazgo Cerrado",$B$4:$B306,$B322)</f>
        <v>6</v>
      </c>
      <c r="N322" s="159">
        <f>COUNTIFS($I$4:$I306,"No Conformidad",$B$4:$B306,$B322)</f>
        <v>6</v>
      </c>
      <c r="O322" s="515">
        <f>COUNTIFS($I$4:$I306,"Recomendación",$B$4:$B306,$B322)</f>
        <v>0</v>
      </c>
      <c r="P322" s="380">
        <f>COUNTIFS($I$4:$I306,"Oportunidad de mejora",$B$4:$B306,$B322)</f>
        <v>0</v>
      </c>
      <c r="Q322" s="380">
        <f>COUNTIFS($K$4:$K306,"Si",$B$4:$B306,$B322)</f>
        <v>6</v>
      </c>
      <c r="R322" s="71">
        <f>COUNTIFS($K$4:$K306,"No",$B$4:$B306,$B322)</f>
        <v>0</v>
      </c>
      <c r="T322" s="151"/>
      <c r="U322" s="99"/>
      <c r="V322" s="99"/>
      <c r="W322" s="168"/>
      <c r="X322" s="166"/>
      <c r="Y322" s="166"/>
      <c r="Z322" s="166"/>
      <c r="AA322" s="167"/>
      <c r="AB322" s="151"/>
    </row>
    <row r="323" spans="1:28" ht="28.5" x14ac:dyDescent="0.2">
      <c r="B323" s="411" t="s">
        <v>25</v>
      </c>
      <c r="C323" s="367">
        <f>COUNTIFS($E$4:$E306,$C$318,$B$4:$B306,$B323)</f>
        <v>3</v>
      </c>
      <c r="D323" s="343">
        <f>COUNTIFS($E$4:$E306,$D$318,$B$4:$B306,$B323)</f>
        <v>8</v>
      </c>
      <c r="E323" s="367">
        <f>COUNTIFS($D$4:$D306,"Auditoria",$B$4:$B306,$B323)</f>
        <v>11</v>
      </c>
      <c r="F323" s="367">
        <f>COUNTIFS($D$4:$D306,"Especial",$B$4:$B306,$B323)</f>
        <v>0</v>
      </c>
      <c r="G323" s="367">
        <f>COUNTIFS($D$4:$D306,"Informes",$B$4:$B306,$B323)</f>
        <v>0</v>
      </c>
      <c r="H323" s="526"/>
      <c r="I323" s="367">
        <f>COUNTIFS($D$4:$D306,"Autocontrol",$B$4:$B306,$B323)</f>
        <v>0</v>
      </c>
      <c r="J323" s="367">
        <f t="shared" si="150"/>
        <v>11</v>
      </c>
      <c r="L323" s="247">
        <f>COUNTIFS($J$4:$J306,"Hallazgo Abierto",$B$4:$B306,$B323)</f>
        <v>3</v>
      </c>
      <c r="M323" s="75">
        <f>COUNTIFS($J$4:$J306,"Hallazgo Cerrado",$B$4:$B306,$B323)</f>
        <v>8</v>
      </c>
      <c r="N323" s="159">
        <f>COUNTIFS($I$4:$I306,"No Conformidad",$B$4:$B306,$B323)</f>
        <v>11</v>
      </c>
      <c r="O323" s="515">
        <f>COUNTIFS($I$4:$I306,"Recomendación",$B$4:$B306,$B323)</f>
        <v>0</v>
      </c>
      <c r="P323" s="380">
        <f>COUNTIFS($I$4:$I306,"Oportunidad de mejora",$B$4:$B306,$B323)</f>
        <v>0</v>
      </c>
      <c r="Q323" s="380">
        <f>COUNTIFS($K$4:$K306,"Si",$B$4:$B306,$B323)</f>
        <v>11</v>
      </c>
      <c r="R323" s="71">
        <f>COUNTIFS($K$4:$K306,"No",$B$4:$B306,$B323)</f>
        <v>0</v>
      </c>
      <c r="T323" s="151"/>
      <c r="U323" s="99"/>
      <c r="V323" s="99"/>
      <c r="W323" s="99"/>
      <c r="X323" s="99"/>
      <c r="Y323" s="99"/>
      <c r="Z323" s="99"/>
      <c r="AA323" s="99"/>
      <c r="AB323" s="151"/>
    </row>
    <row r="324" spans="1:28" ht="28.5" hidden="1" x14ac:dyDescent="0.2">
      <c r="B324" s="433" t="s">
        <v>37</v>
      </c>
      <c r="C324" s="367">
        <f>COUNTIFS($E$4:$E306,$C$318,$B$4:$B306,$B324)</f>
        <v>0</v>
      </c>
      <c r="D324" s="343">
        <f>COUNTIFS($E$4:$E306,$D$318,$B$4:$B306,$B324)</f>
        <v>7</v>
      </c>
      <c r="E324" s="367">
        <f>COUNTIFS($D$4:$D306,"Auditoria",$B$4:$B306,$B324)</f>
        <v>7</v>
      </c>
      <c r="F324" s="367">
        <f>COUNTIFS($D$4:$D306,"Especial",$B$4:$B306,$B324)</f>
        <v>0</v>
      </c>
      <c r="G324" s="367">
        <f>COUNTIFS($D$4:$D306,"Informes",$B$4:$B306,$B324)</f>
        <v>0</v>
      </c>
      <c r="H324" s="526"/>
      <c r="I324" s="367">
        <f>COUNTIFS($D$4:$D306,"Autocontrol",$B$4:$B306,$B324)</f>
        <v>0</v>
      </c>
      <c r="J324" s="367">
        <f t="shared" si="150"/>
        <v>7</v>
      </c>
      <c r="L324" s="247">
        <f>COUNTIFS($J$4:$J306,"Hallazgo Abierto",$B$4:$B306,$B324)</f>
        <v>6</v>
      </c>
      <c r="M324" s="75">
        <f>COUNTIFS($J$4:$J306,"Hallazgo Cerrado",$B$4:$B306,$B324)</f>
        <v>1</v>
      </c>
      <c r="N324" s="159">
        <f>COUNTIFS($I$4:$I306,"No Conformidad",$B$4:$B306,$B324)</f>
        <v>7</v>
      </c>
      <c r="O324" s="515">
        <f>COUNTIFS($I$4:$I306,"Recomendación",$B$4:$B306,$B324)</f>
        <v>0</v>
      </c>
      <c r="P324" s="380">
        <f>COUNTIFS($I$4:$I306,"Oportunidad de mejora",$B$4:$B306,$B324)</f>
        <v>0</v>
      </c>
      <c r="Q324" s="380">
        <f>COUNTIFS($K$4:$K306,"Si",$B$4:$B306,$B324)</f>
        <v>7</v>
      </c>
      <c r="R324" s="71">
        <f>COUNTIFS($K$4:$K306,"No",$B$4:$B306,$B324)</f>
        <v>0</v>
      </c>
      <c r="T324" s="151"/>
      <c r="U324" s="99"/>
      <c r="V324" s="99"/>
      <c r="W324" s="99"/>
      <c r="X324" s="99"/>
      <c r="Y324" s="99"/>
      <c r="Z324" s="99"/>
      <c r="AA324" s="99"/>
      <c r="AB324" s="151"/>
    </row>
    <row r="325" spans="1:28" ht="28.5" hidden="1" x14ac:dyDescent="0.2">
      <c r="B325" s="411" t="s">
        <v>36</v>
      </c>
      <c r="C325" s="367">
        <f>COUNTIFS($E$4:$E306,$C$318,$B$4:$B306,$B325)</f>
        <v>0</v>
      </c>
      <c r="D325" s="343">
        <f>COUNTIFS($E$4:$E306,$D$318,$B$4:$B306,$B325)</f>
        <v>8</v>
      </c>
      <c r="E325" s="367">
        <f>COUNTIFS($D$4:$D306,"Auditoria",$B$4:$B306,$B325)</f>
        <v>8</v>
      </c>
      <c r="F325" s="367">
        <f>COUNTIFS($D$4:$D306,"Especial",$B$4:$B306,$B325)</f>
        <v>0</v>
      </c>
      <c r="G325" s="367">
        <f>COUNTIFS($D$4:$D306,"Informes",$B$4:$B306,$B325)</f>
        <v>0</v>
      </c>
      <c r="H325" s="526"/>
      <c r="I325" s="367">
        <f>COUNTIFS($D$4:$D306,"Autocontrol",$B$4:$B306,$B325)</f>
        <v>0</v>
      </c>
      <c r="J325" s="367">
        <f t="shared" si="150"/>
        <v>8</v>
      </c>
      <c r="K325" s="538">
        <f t="shared" si="150"/>
        <v>8</v>
      </c>
      <c r="L325" s="247">
        <f>COUNTIFS($J$4:$J306,"Hallazgo Abierto",$B$4:$B306,$B325)</f>
        <v>4</v>
      </c>
      <c r="M325" s="75">
        <f>COUNTIFS($J$4:$J306,"Hallazgo Cerrado",$B$4:$B306,$B325)</f>
        <v>4</v>
      </c>
      <c r="N325" s="159">
        <f>COUNTIFS($I$4:$I306,"No Conformidad",$B$4:$B306,$B325)</f>
        <v>8</v>
      </c>
      <c r="O325" s="515">
        <f>COUNTIFS($I$4:$I306,"Recomendación",$B$4:$B306,$B325)</f>
        <v>0</v>
      </c>
      <c r="P325" s="380">
        <f>COUNTIFS($I$4:$I306,"Oportunidad de mejora",$B$4:$B306,$B325)</f>
        <v>0</v>
      </c>
      <c r="Q325" s="380">
        <f>COUNTIFS($K$4:$K306,"Si",$B$4:$B306,$B325)</f>
        <v>8</v>
      </c>
      <c r="R325" s="71">
        <f>COUNTIFS($K$4:$K306,"No",$B$4:$B306,$B325)</f>
        <v>0</v>
      </c>
      <c r="T325" s="151"/>
      <c r="U325" s="99"/>
      <c r="V325" s="99"/>
      <c r="W325" s="165"/>
      <c r="X325" s="99"/>
      <c r="Y325" s="99"/>
      <c r="Z325" s="99"/>
      <c r="AA325" s="99"/>
      <c r="AB325" s="151"/>
    </row>
    <row r="326" spans="1:28" hidden="1" x14ac:dyDescent="0.2">
      <c r="B326" s="434" t="s">
        <v>267</v>
      </c>
      <c r="C326" s="367">
        <f>COUNTIFS($E$4:$E307,$C$318,$B$4:$B307,$B326)</f>
        <v>0</v>
      </c>
      <c r="D326" s="343">
        <f>COUNTIFS($E$4:$E307,$D$318,$B$4:$B307,$B326)</f>
        <v>8</v>
      </c>
      <c r="E326" s="367">
        <f>COUNTIFS($D$4:$D307,"Auditoria",$B$4:$B307,$B326)</f>
        <v>2</v>
      </c>
      <c r="F326" s="367">
        <f>COUNTIFS($D$4:$D307,"Especial",$B$4:$B307,$B326)</f>
        <v>0</v>
      </c>
      <c r="G326" s="367">
        <f>COUNTIFS($D$4:$D307,"Informes",$B$4:$B307,$B326)</f>
        <v>6</v>
      </c>
      <c r="H326" s="526"/>
      <c r="I326" s="367">
        <f>COUNTIFS($D$4:$D307,"Autocontrol",$B$4:$B307,$B326)</f>
        <v>0</v>
      </c>
      <c r="J326" s="367">
        <f t="shared" si="150"/>
        <v>8</v>
      </c>
      <c r="L326" s="247">
        <f>COUNTIFS($J$4:$J307,"Hallazgo Abierto",$B$4:$B307,$B326)</f>
        <v>5</v>
      </c>
      <c r="M326" s="75">
        <f>COUNTIFS($J$4:$J307,"Hallazgo Cerrado",$B$4:$B307,$B326)</f>
        <v>3</v>
      </c>
      <c r="N326" s="159">
        <f>COUNTIFS($I$4:$I307,"No Conformidad",$B$4:$B307,$B326)</f>
        <v>8</v>
      </c>
      <c r="O326" s="515">
        <f>COUNTIFS($I$4:$I307,"Recomendación",$B$4:$B307,$B326)</f>
        <v>0</v>
      </c>
      <c r="P326" s="380">
        <f>COUNTIFS($I$4:$I307,"Oportunidad de mejora",$B$4:$B307,$B326)</f>
        <v>0</v>
      </c>
      <c r="Q326" s="380">
        <f>COUNTIFS($K$4:$K307,"Si",$B$4:$B307,$B326)</f>
        <v>8</v>
      </c>
      <c r="R326" s="71">
        <f>COUNTIFS($K$4:$K307,"No",$B$4:$B307,$B326)</f>
        <v>0</v>
      </c>
      <c r="T326" s="151"/>
      <c r="U326" s="99"/>
      <c r="V326" s="99"/>
      <c r="W326" s="165"/>
      <c r="X326" s="99"/>
      <c r="Y326" s="99"/>
      <c r="Z326" s="99"/>
      <c r="AA326" s="99"/>
      <c r="AB326" s="151"/>
    </row>
    <row r="327" spans="1:28" ht="42.75" hidden="1" x14ac:dyDescent="0.2">
      <c r="B327" s="433" t="s">
        <v>62</v>
      </c>
      <c r="C327" s="367">
        <f>COUNTIFS($E$4:$E306,$C$318,$B$4:$B306,$B327)</f>
        <v>1</v>
      </c>
      <c r="D327" s="343">
        <f>COUNTIFS($E$4:$E306,$D$318,$B$4:$B306,$B327)</f>
        <v>27</v>
      </c>
      <c r="E327" s="367">
        <f>COUNTIFS($D$4:$D306,"Auditoria",$B$4:$B306,$B327)</f>
        <v>27</v>
      </c>
      <c r="F327" s="367">
        <f>COUNTIFS($D$4:$D306,"Especial",$B$4:$B306,$B327)</f>
        <v>0</v>
      </c>
      <c r="G327" s="367">
        <f>COUNTIFS($D$4:$D306,"Informes",$B$4:$B306,$B327)</f>
        <v>1</v>
      </c>
      <c r="H327" s="526"/>
      <c r="I327" s="367">
        <f>COUNTIFS($D$4:$D306,"Autocontrol",$B$4:$B306,$B327)</f>
        <v>0</v>
      </c>
      <c r="J327" s="367">
        <f t="shared" si="150"/>
        <v>28</v>
      </c>
      <c r="L327" s="247">
        <f>COUNTIFS($J$4:$J306,"Hallazgo Abierto",$B$4:$B306,$B327)</f>
        <v>16</v>
      </c>
      <c r="M327" s="75">
        <f>COUNTIFS($J$4:$J306,"Hallazgo Cerrado",$B$4:$B306,$B327)</f>
        <v>12</v>
      </c>
      <c r="N327" s="159">
        <f>COUNTIFS($I$4:$I306,"No Conformidad",$B$4:$B306,$B327)</f>
        <v>28</v>
      </c>
      <c r="O327" s="515">
        <f>COUNTIFS($I$4:$I306,"Recomendación",$B$4:$B306,$B327)</f>
        <v>0</v>
      </c>
      <c r="P327" s="380">
        <f>COUNTIFS($I$4:$I306,"Oportunidad de mejora",$B$4:$B306,$B327)</f>
        <v>0</v>
      </c>
      <c r="Q327" s="380">
        <f>COUNTIFS($K$4:$K306,"Si",$B$4:$B306,$B327)</f>
        <v>28</v>
      </c>
      <c r="R327" s="71">
        <f>COUNTIFS($K$4:$K306,"No",$B$4:$B306,$B327)</f>
        <v>0</v>
      </c>
      <c r="T327" s="151"/>
      <c r="U327" s="99"/>
      <c r="V327" s="99"/>
      <c r="W327" s="165"/>
      <c r="X327" s="99"/>
      <c r="Y327" s="99"/>
      <c r="Z327" s="99"/>
      <c r="AA327" s="432"/>
      <c r="AB327" s="151"/>
    </row>
    <row r="328" spans="1:28" ht="25.5" hidden="1" x14ac:dyDescent="0.2">
      <c r="B328" s="247" t="s">
        <v>63</v>
      </c>
      <c r="C328" s="367">
        <f>COUNTIFS($E$4:$E306,$C$318,$B$4:$B306,$B328)</f>
        <v>1</v>
      </c>
      <c r="D328" s="343">
        <f>COUNTIFS($E$4:$E306,$D$318,$B$4:$B306,$B328)</f>
        <v>8</v>
      </c>
      <c r="E328" s="367">
        <f>COUNTIFS($D$4:$D306,"Auditoria",$B$4:$B306,$B328)</f>
        <v>9</v>
      </c>
      <c r="F328" s="367">
        <f>COUNTIFS($D$4:$D306,"Especial",$B$4:$B306,$B328)</f>
        <v>0</v>
      </c>
      <c r="G328" s="367">
        <f>COUNTIFS($D$4:$D306,"Informes",$B$4:$B306,$B328)</f>
        <v>1</v>
      </c>
      <c r="H328" s="526"/>
      <c r="I328" s="367">
        <f>COUNTIFS($D$4:$D306,"Autocontrol",$B$4:$B306,$B328)</f>
        <v>0</v>
      </c>
      <c r="J328" s="367">
        <f t="shared" si="150"/>
        <v>10</v>
      </c>
      <c r="L328" s="247">
        <f>COUNTIFS($J$4:$J306,"Hallazgo Abierto",$B$4:$B306,$B328)</f>
        <v>8</v>
      </c>
      <c r="M328" s="75">
        <f>COUNTIFS($J$4:$J306,"Hallazgo Cerrado",$B$4:$B306,$B328)</f>
        <v>2</v>
      </c>
      <c r="N328" s="159">
        <f>COUNTIFS($I$4:$I306,"No Conformidad",$B$4:$B306,$B328)</f>
        <v>10</v>
      </c>
      <c r="O328" s="515">
        <f>COUNTIFS($I$4:$I306,"Recomendación",$B$4:$B306,$B328)</f>
        <v>0</v>
      </c>
      <c r="P328" s="380">
        <f>COUNTIFS($I$4:$I306,"Oportunidad de mejora",$B$4:$B306,$B328)</f>
        <v>0</v>
      </c>
      <c r="Q328" s="380">
        <f>COUNTIFS($K$4:$K306,"Si",$B$4:$B306,$B328)</f>
        <v>9</v>
      </c>
      <c r="R328" s="71">
        <f>COUNTIFS($K$4:$K306,"No",$B$4:$B306,$B328)</f>
        <v>1</v>
      </c>
      <c r="T328" s="151"/>
      <c r="U328" s="99"/>
      <c r="V328" s="99"/>
      <c r="Z328" s="151"/>
      <c r="AA328" s="296"/>
      <c r="AB328" s="151"/>
    </row>
    <row r="329" spans="1:28" ht="25.5" hidden="1" x14ac:dyDescent="0.2">
      <c r="B329" s="257" t="s">
        <v>333</v>
      </c>
      <c r="C329" s="367">
        <f>COUNTIFS($E$4:$E306,$C$318,$B$4:$B306,$B329)</f>
        <v>0</v>
      </c>
      <c r="D329" s="343">
        <f>COUNTIFS($E$4:$E306,$D$318,$B$4:$B306,$B329)</f>
        <v>28</v>
      </c>
      <c r="E329" s="367">
        <f>COUNTIFS($D$4:$D306,"Auditoria",$B$4:$B306,$B329)</f>
        <v>25</v>
      </c>
      <c r="F329" s="367">
        <f>COUNTIFS($D$4:$D306,"Especial",$B$4:$B306,$B329)</f>
        <v>0</v>
      </c>
      <c r="G329" s="367">
        <f>COUNTIFS($D$4:$D306,"Informes",$B$4:$B306,$B329)</f>
        <v>3</v>
      </c>
      <c r="H329" s="526"/>
      <c r="I329" s="367">
        <f>COUNTIFS($D$4:$D306,"Autocontrol",$B$4:$B306,$B329)</f>
        <v>0</v>
      </c>
      <c r="J329" s="367">
        <f t="shared" si="150"/>
        <v>28</v>
      </c>
      <c r="L329" s="247">
        <f>COUNTIFS($J$4:$J306,"Hallazgo Abierto",$B$4:$B306,$B329)</f>
        <v>7</v>
      </c>
      <c r="M329" s="75">
        <f>COUNTIFS($J$4:$J306,"Hallazgo Cerrado",$B$4:$B306,$B329)</f>
        <v>21</v>
      </c>
      <c r="N329" s="159">
        <f>COUNTIFS($I$4:$I306,"No Conformidad",$B$4:$B306,$B329)</f>
        <v>28</v>
      </c>
      <c r="O329" s="515">
        <f>COUNTIFS($I$4:$I306,"Recomendación",$B$4:$B306,$B329)</f>
        <v>0</v>
      </c>
      <c r="P329" s="380">
        <f>COUNTIFS($I$4:$I306,"Oportunidad de mejora",$B$4:$B306,$B329)</f>
        <v>0</v>
      </c>
      <c r="Q329" s="380">
        <f>COUNTIFS($K$4:$K306,"Si",$B$4:$B306,$B329)</f>
        <v>28</v>
      </c>
      <c r="R329" s="71">
        <f>COUNTIFS($K$4:$K306,"No",$B$4:$B306,$B329)</f>
        <v>0</v>
      </c>
      <c r="T329" s="151"/>
      <c r="U329" s="99"/>
      <c r="V329" s="99"/>
      <c r="Z329" s="99"/>
      <c r="AA329" s="432"/>
      <c r="AB329" s="99"/>
    </row>
    <row r="330" spans="1:28" hidden="1" x14ac:dyDescent="0.2">
      <c r="B330" s="434" t="s">
        <v>61</v>
      </c>
      <c r="C330" s="367">
        <f>COUNTIFS($E$4:$E306,$C$318,$B$4:$B306,$B330)</f>
        <v>0</v>
      </c>
      <c r="D330" s="343">
        <f>COUNTIFS($E$4:$E306,$D$318,$B$4:$B306,$B330)</f>
        <v>9</v>
      </c>
      <c r="E330" s="367">
        <f>COUNTIFS($D$4:$D306,"Auditoria",$B$4:$B306,$B330)</f>
        <v>9</v>
      </c>
      <c r="F330" s="367">
        <f>COUNTIFS($D$4:$D306,"Especial",$B$4:$B306,$B330)</f>
        <v>0</v>
      </c>
      <c r="G330" s="367">
        <f>COUNTIFS($D$4:$D306,"Informes",$B$4:$B306,$B330)</f>
        <v>0</v>
      </c>
      <c r="H330" s="526"/>
      <c r="I330" s="367">
        <f>COUNTIFS($D$4:$D306,"Autocontrol",$B$4:$B306,$B330)</f>
        <v>0</v>
      </c>
      <c r="J330" s="367">
        <f t="shared" si="150"/>
        <v>9</v>
      </c>
      <c r="L330" s="247">
        <f>COUNTIFS($J$4:$J306,"Hallazgo Abierto",$B$4:$B306,$B330)</f>
        <v>5</v>
      </c>
      <c r="M330" s="75">
        <f>COUNTIFS($J$4:$J306,"Hallazgo Cerrado",$B$4:$B306,$B330)</f>
        <v>4</v>
      </c>
      <c r="N330" s="159">
        <f>COUNTIFS($I$4:$I306,"No Conformidad",$B$4:$B306,$B330)</f>
        <v>9</v>
      </c>
      <c r="O330" s="515">
        <f>COUNTIFS($I$4:$I306,"Recomendación",$B$4:$B306,$B330)</f>
        <v>0</v>
      </c>
      <c r="P330" s="380">
        <f>COUNTIFS($I$4:$I306,"Oportunidad de mejora",$B$4:$B306,$B330)</f>
        <v>0</v>
      </c>
      <c r="Q330" s="380">
        <f>COUNTIFS($K$4:$K306,"Si",$B$4:$B306,$B330)</f>
        <v>9</v>
      </c>
      <c r="R330" s="71">
        <f>COUNTIFS($K$4:$K306,"No",$B$4:$B306,$B330)</f>
        <v>0</v>
      </c>
      <c r="T330" s="99"/>
      <c r="U330" s="99"/>
      <c r="V330" s="99"/>
      <c r="Z330" s="99"/>
      <c r="AA330" s="432"/>
      <c r="AB330" s="99"/>
    </row>
    <row r="331" spans="1:28" ht="29.25" hidden="1" thickBot="1" x14ac:dyDescent="0.25">
      <c r="B331" s="435" t="s">
        <v>65</v>
      </c>
      <c r="C331" s="78">
        <f>COUNTIFS($E$4:$E306,$C$318,$B$4:$B306,$B331)</f>
        <v>1</v>
      </c>
      <c r="D331" s="341">
        <f>COUNTIFS($E$4:$E306,$D$318,$B$4:$B306,$B331)</f>
        <v>7</v>
      </c>
      <c r="E331" s="78">
        <f>COUNTIFS($D$4:$D306,"Auditoria",$B$4:$B306,$B331)</f>
        <v>4</v>
      </c>
      <c r="F331" s="78">
        <f>COUNTIFS($D$4:$D306,"Especial",$B$4:$B306,$B331)</f>
        <v>0</v>
      </c>
      <c r="G331" s="78">
        <f>COUNTIFS($D$4:$D306,"Informes",$B$4:$B306,$B331)</f>
        <v>1</v>
      </c>
      <c r="H331" s="527"/>
      <c r="I331" s="78">
        <f>COUNTIFS($D$4:$D306,"Autocontrol",$B$4:$B306,$B331)</f>
        <v>3</v>
      </c>
      <c r="J331" s="367">
        <f t="shared" si="150"/>
        <v>8</v>
      </c>
      <c r="L331" s="248">
        <f>COUNTIFS($J$4:$J306,"Hallazgo Abierto",$B$4:$B306,$B331)</f>
        <v>4</v>
      </c>
      <c r="M331" s="80">
        <f>COUNTIFS($J$4:$J306,"Hallazgo Cerrado",$B$4:$B306,$B331)</f>
        <v>4</v>
      </c>
      <c r="N331" s="111">
        <f>COUNTIFS($I$4:$I306,"No Conformidad",$B$4:$B306,$B331)</f>
        <v>8</v>
      </c>
      <c r="O331" s="516">
        <f>COUNTIFS($I$4:$I306,"Recomendación",$B$4:$B306,$B331)</f>
        <v>0</v>
      </c>
      <c r="P331" s="78">
        <f>COUNTIFS($I$4:$I306,"Oportunidad de mejora",$B$4:$B306,$B331)</f>
        <v>0</v>
      </c>
      <c r="Q331" s="78">
        <f>COUNTIFS($K$4:$K306,"Si",$B$4:$B306,$B331)</f>
        <v>8</v>
      </c>
      <c r="R331" s="80">
        <f>COUNTIFS($K$4:$K306,"No",$B$4:$B306,$B331)</f>
        <v>0</v>
      </c>
      <c r="T331" s="99"/>
      <c r="U331" s="99"/>
      <c r="V331" s="99"/>
      <c r="Z331" s="99"/>
      <c r="AA331" s="432"/>
      <c r="AB331" s="99"/>
    </row>
    <row r="332" spans="1:28" ht="17.25" hidden="1" thickTop="1" thickBot="1" x14ac:dyDescent="0.25">
      <c r="B332" s="427" t="s">
        <v>86</v>
      </c>
      <c r="C332" s="146">
        <f>SUM(C319:C331)</f>
        <v>33</v>
      </c>
      <c r="D332" s="344">
        <f>SUM(D319:D331)</f>
        <v>154</v>
      </c>
      <c r="E332" s="117">
        <f>SUM(E319:E331)</f>
        <v>163</v>
      </c>
      <c r="F332" s="118">
        <f>SUM(F319:F331)</f>
        <v>0</v>
      </c>
      <c r="G332" s="118">
        <f>SUBTOTAL(9,G319:G331)</f>
        <v>0</v>
      </c>
      <c r="H332" s="517"/>
      <c r="I332" s="118">
        <f>SUBTOTAL(9,I319:I331)</f>
        <v>0</v>
      </c>
      <c r="J332" s="157">
        <f>SUM(J319:J331)</f>
        <v>188</v>
      </c>
      <c r="K332" s="541" t="s">
        <v>86</v>
      </c>
      <c r="L332" s="249">
        <f t="shared" ref="L332:R332" si="151">SUM(L319:L331)</f>
        <v>63</v>
      </c>
      <c r="M332" s="161">
        <f t="shared" si="151"/>
        <v>125</v>
      </c>
      <c r="N332" s="158">
        <f t="shared" si="151"/>
        <v>188</v>
      </c>
      <c r="O332" s="517">
        <f t="shared" si="151"/>
        <v>0</v>
      </c>
      <c r="P332" s="93">
        <f t="shared" si="151"/>
        <v>0</v>
      </c>
      <c r="Q332" s="93">
        <f t="shared" si="151"/>
        <v>187</v>
      </c>
      <c r="R332" s="94">
        <f t="shared" si="151"/>
        <v>1</v>
      </c>
      <c r="T332" s="99"/>
      <c r="U332" s="99"/>
      <c r="V332" s="99"/>
      <c r="Z332" s="99"/>
      <c r="AA332" s="432"/>
      <c r="AB332" s="165"/>
    </row>
    <row r="333" spans="1:28" ht="15" hidden="1" thickBot="1" x14ac:dyDescent="0.25">
      <c r="F333" s="402" t="s">
        <v>86</v>
      </c>
      <c r="G333" s="137">
        <f>SUM(E332:I332)</f>
        <v>163</v>
      </c>
      <c r="H333" s="528"/>
      <c r="I333" s="138"/>
      <c r="J333" s="138"/>
      <c r="K333" s="426"/>
      <c r="L333" s="265">
        <f>SUM(L332:M332)</f>
        <v>188</v>
      </c>
      <c r="Q333" s="152"/>
      <c r="R333" s="99"/>
      <c r="S333" s="99"/>
      <c r="Z333" s="432"/>
      <c r="AA333" s="432"/>
      <c r="AB333" s="103"/>
    </row>
    <row r="334" spans="1:28" x14ac:dyDescent="0.2">
      <c r="G334" s="32"/>
      <c r="H334" s="524"/>
      <c r="I334" s="32"/>
      <c r="J334" s="426"/>
      <c r="R334" s="152"/>
      <c r="Z334" s="432"/>
      <c r="AA334" s="432"/>
      <c r="AB334" s="103"/>
    </row>
    <row r="335" spans="1:28" ht="12.75" x14ac:dyDescent="0.2">
      <c r="B335" s="781" t="s">
        <v>147</v>
      </c>
      <c r="C335" s="781"/>
      <c r="D335" s="781"/>
      <c r="E335" s="781"/>
      <c r="F335" s="781"/>
      <c r="G335" s="781"/>
      <c r="H335" s="520"/>
      <c r="I335" s="402"/>
      <c r="J335" s="402"/>
      <c r="K335" s="541"/>
      <c r="L335" s="402"/>
      <c r="Z335" s="432"/>
      <c r="AA335" s="432"/>
      <c r="AB335" s="103"/>
    </row>
    <row r="336" spans="1:28" ht="15" thickBot="1" x14ac:dyDescent="0.25">
      <c r="G336" s="32"/>
      <c r="H336" s="524"/>
      <c r="I336" s="32"/>
      <c r="J336" s="426"/>
      <c r="X336" s="99"/>
      <c r="Y336" s="99"/>
      <c r="Z336" s="432"/>
      <c r="AA336" s="432"/>
      <c r="AB336" s="103"/>
    </row>
    <row r="337" spans="2:28" ht="51" customHeight="1" thickBot="1" x14ac:dyDescent="0.25">
      <c r="B337" s="825"/>
      <c r="C337" s="816" t="s">
        <v>0</v>
      </c>
      <c r="D337" s="822" t="s">
        <v>130</v>
      </c>
      <c r="E337" s="823"/>
      <c r="F337" s="823"/>
      <c r="G337" s="824"/>
      <c r="H337" s="529"/>
      <c r="I337" s="436"/>
      <c r="J337" s="747" t="s">
        <v>260</v>
      </c>
      <c r="K337" s="748"/>
      <c r="L337" s="749"/>
      <c r="X337" s="99"/>
      <c r="Y337" s="99"/>
      <c r="Z337" s="432"/>
      <c r="AA337" s="296"/>
      <c r="AB337" s="295"/>
    </row>
    <row r="338" spans="2:28" ht="26.25" thickBot="1" x14ac:dyDescent="0.25">
      <c r="B338" s="825"/>
      <c r="C338" s="817"/>
      <c r="D338" s="345" t="s">
        <v>104</v>
      </c>
      <c r="E338" s="112" t="s">
        <v>50</v>
      </c>
      <c r="F338" s="294" t="s">
        <v>54</v>
      </c>
      <c r="G338" s="293" t="s">
        <v>126</v>
      </c>
      <c r="H338" s="530"/>
      <c r="I338" s="151"/>
      <c r="J338" s="250" t="s">
        <v>127</v>
      </c>
      <c r="K338" s="155" t="s">
        <v>51</v>
      </c>
      <c r="L338" s="156" t="s">
        <v>55</v>
      </c>
      <c r="X338" s="99"/>
      <c r="Y338" s="165"/>
      <c r="Z338" s="432"/>
      <c r="AA338" s="296"/>
      <c r="AB338" s="295"/>
    </row>
    <row r="339" spans="2:28" ht="15" thickTop="1" x14ac:dyDescent="0.2">
      <c r="B339" s="412"/>
      <c r="C339" s="297" t="s">
        <v>49</v>
      </c>
      <c r="D339" s="346">
        <f>COUNTIFS($M$4:M306,"Corrección",$B$4:B306,$C339)</f>
        <v>20</v>
      </c>
      <c r="E339" s="121">
        <f>COUNTIFS($M$4:M306,"Acción Correctiva",$B$4:B306,$C339)</f>
        <v>29</v>
      </c>
      <c r="F339" s="121">
        <f>COUNTIFS($M$4:M306,"Acción Preventiva",$B$4:B306,$C339)</f>
        <v>1</v>
      </c>
      <c r="G339" s="121">
        <f>COUNTIFS($M$4:M306,"Acción Mejora",$B$4:B306,$C339)</f>
        <v>0</v>
      </c>
      <c r="H339" s="530"/>
      <c r="I339" s="151"/>
      <c r="J339" s="297">
        <f>SUM(D339:G339)</f>
        <v>50</v>
      </c>
      <c r="K339" s="121">
        <f>COUNTIFS($R$4:R306,"Abierta",$B$4:B306,$C339)</f>
        <v>1</v>
      </c>
      <c r="L339" s="163">
        <f>COUNTIFS($R$4:R306,"Cerrada",$B$4:B306,$C339)</f>
        <v>49</v>
      </c>
      <c r="X339" s="99"/>
      <c r="Y339" s="99"/>
      <c r="Z339" s="432"/>
      <c r="AA339" s="296"/>
      <c r="AB339" s="295"/>
    </row>
    <row r="340" spans="2:28" x14ac:dyDescent="0.2">
      <c r="B340" s="413"/>
      <c r="C340" s="297" t="s">
        <v>10</v>
      </c>
      <c r="D340" s="346">
        <f>COUNTIFS($M$4:M306,"Corrección",$B$4:B306,$C340)</f>
        <v>6</v>
      </c>
      <c r="E340" s="121">
        <f>COUNTIFS($M$4:M306,"Acción Correctiva",$B$4:B306,$C340)</f>
        <v>6</v>
      </c>
      <c r="F340" s="121">
        <f>COUNTIFS($M$4:M306,"Acción Preventiva",$B$4:B306,$C340)</f>
        <v>0</v>
      </c>
      <c r="G340" s="121">
        <f>COUNTIFS($M$4:M306,"Acción Mejora",$B$4:B306,$C340)</f>
        <v>0</v>
      </c>
      <c r="H340" s="530"/>
      <c r="I340" s="151"/>
      <c r="J340" s="297">
        <f t="shared" ref="J340:J351" si="152">SUM(D340:G340)</f>
        <v>12</v>
      </c>
      <c r="K340" s="121">
        <f>COUNTIFS($R$4:R306,"Abierta",$B$4:B306,$C340)</f>
        <v>4</v>
      </c>
      <c r="L340" s="163">
        <f>COUNTIFS($R$4:R306,"Cerrada",$B$4:B306,$C340)</f>
        <v>8</v>
      </c>
      <c r="X340" s="99"/>
      <c r="Y340" s="99"/>
      <c r="Z340" s="432"/>
      <c r="AA340" s="296"/>
      <c r="AB340" s="295"/>
    </row>
    <row r="341" spans="2:28" ht="38.25" x14ac:dyDescent="0.2">
      <c r="B341" s="414"/>
      <c r="C341" s="297" t="s">
        <v>335</v>
      </c>
      <c r="D341" s="346">
        <f>COUNTIFS($M$4:M306,"Corrección",$B$4:B306,$C341)</f>
        <v>14</v>
      </c>
      <c r="E341" s="121">
        <f>COUNTIFS($M$4:M306,"Acción Correctiva",$B$4:B306,$C341)</f>
        <v>16</v>
      </c>
      <c r="F341" s="121">
        <f>COUNTIFS($M$4:M306,"Acción Preventiva",$B$4:B306,$C341)</f>
        <v>0</v>
      </c>
      <c r="G341" s="121">
        <f>COUNTIFS($M$4:M306,"Acción Mejora",$B$4:B306,$C341)</f>
        <v>0</v>
      </c>
      <c r="H341" s="530"/>
      <c r="I341" s="151"/>
      <c r="J341" s="297">
        <f t="shared" si="152"/>
        <v>30</v>
      </c>
      <c r="K341" s="121">
        <f>COUNTIFS($R$4:R306,"Abierta",$B$4:B306,$C341)</f>
        <v>0</v>
      </c>
      <c r="L341" s="163">
        <f>COUNTIFS($R$4:R306,"Cerrada",$B$4:B306,$C341)</f>
        <v>30</v>
      </c>
      <c r="X341" s="99"/>
      <c r="Y341" s="99"/>
      <c r="Z341" s="432"/>
      <c r="AA341" s="296"/>
      <c r="AB341" s="295"/>
    </row>
    <row r="342" spans="2:28" x14ac:dyDescent="0.2">
      <c r="B342" s="412"/>
      <c r="C342" s="297" t="s">
        <v>2</v>
      </c>
      <c r="D342" s="346">
        <f>COUNTIFS($M$4:M306,"Corrección",$B$4:B306,$C342)</f>
        <v>1</v>
      </c>
      <c r="E342" s="121">
        <f>COUNTIFS($M$4:M306,"Acción Correctiva",$B$4:B306,$C342)</f>
        <v>6</v>
      </c>
      <c r="F342" s="121">
        <f>COUNTIFS($M$4:M306,"Acción Preventiva",$B$4:B306,$C342)</f>
        <v>0</v>
      </c>
      <c r="G342" s="121">
        <f>COUNTIFS($M$4:M306,"Acción Mejora",$B$4:B306,$C342)</f>
        <v>0</v>
      </c>
      <c r="H342" s="530"/>
      <c r="I342" s="151"/>
      <c r="J342" s="298">
        <f t="shared" si="152"/>
        <v>7</v>
      </c>
      <c r="K342" s="121">
        <f>COUNTIFS($R$4:R306,"Abierta",$B$4:B306,$C342)</f>
        <v>1</v>
      </c>
      <c r="L342" s="163">
        <f>COUNTIFS($R$4:R306,"Cerrada",$B$4:B306,$C342)</f>
        <v>6</v>
      </c>
      <c r="X342" s="99"/>
      <c r="Y342" s="99"/>
      <c r="Z342" s="432"/>
      <c r="AA342" s="296"/>
      <c r="AB342" s="295"/>
    </row>
    <row r="343" spans="2:28" x14ac:dyDescent="0.2">
      <c r="B343" s="413"/>
      <c r="C343" s="297" t="s">
        <v>25</v>
      </c>
      <c r="D343" s="346">
        <f>COUNTIFS($M$4:M306,"Corrección",$B$4:B306,$C343)</f>
        <v>3</v>
      </c>
      <c r="E343" s="121">
        <f>COUNTIFS($M$4:M306,"Acción Correctiva",$B$4:B306,$C343)</f>
        <v>8</v>
      </c>
      <c r="F343" s="121">
        <f>COUNTIFS($M$4:M306,"Acción Preventiva",$B$4:B306,$C343)</f>
        <v>0</v>
      </c>
      <c r="G343" s="121">
        <f>COUNTIFS($M$4:M306,"Acción Mejora",$B$4:B306,$C343)</f>
        <v>0</v>
      </c>
      <c r="H343" s="530"/>
      <c r="I343" s="151"/>
      <c r="J343" s="297">
        <f t="shared" si="152"/>
        <v>11</v>
      </c>
      <c r="K343" s="121">
        <f>COUNTIFS($R$4:R306,"Abierta",$B$4:B306,$C343)</f>
        <v>2</v>
      </c>
      <c r="L343" s="163">
        <f>COUNTIFS($R$4:R306,"Cerrada",$B$4:B306,$C343)</f>
        <v>8</v>
      </c>
      <c r="X343" s="99"/>
      <c r="Y343" s="99"/>
      <c r="Z343" s="432"/>
      <c r="AA343" s="296"/>
      <c r="AB343" s="295"/>
    </row>
    <row r="344" spans="2:28" x14ac:dyDescent="0.2">
      <c r="B344" s="412"/>
      <c r="C344" s="297" t="s">
        <v>37</v>
      </c>
      <c r="D344" s="346">
        <f>COUNTIFS($M$4:M306,"Corrección",$B$4:B306,$C344)</f>
        <v>4</v>
      </c>
      <c r="E344" s="121">
        <f>COUNTIFS($M$4:M306,"Acción Correctiva",$B$4:B306,$C344)</f>
        <v>4</v>
      </c>
      <c r="F344" s="121">
        <f>COUNTIFS($M$4:M306,"Acción Preventiva",$B$4:B306,$C344)</f>
        <v>0</v>
      </c>
      <c r="G344" s="121">
        <f>COUNTIFS($M$4:M306,"Acción Mejora",$B$4:B306,$C344)</f>
        <v>0</v>
      </c>
      <c r="H344" s="530"/>
      <c r="I344" s="151"/>
      <c r="J344" s="297">
        <f t="shared" si="152"/>
        <v>8</v>
      </c>
      <c r="K344" s="121">
        <f>COUNTIFS($R$4:R306,"Abierta",$B$4:B306,$C344)</f>
        <v>6</v>
      </c>
      <c r="L344" s="163">
        <f>COUNTIFS($R$4:R306,"Cerrada",$B$4:B306,$C344)</f>
        <v>2</v>
      </c>
      <c r="X344" s="99"/>
      <c r="Y344" s="99"/>
      <c r="Z344" s="432"/>
      <c r="AA344" s="296"/>
      <c r="AB344" s="295"/>
    </row>
    <row r="345" spans="2:28" x14ac:dyDescent="0.2">
      <c r="B345" s="413"/>
      <c r="C345" s="297" t="s">
        <v>36</v>
      </c>
      <c r="D345" s="346">
        <f>COUNTIFS($M$4:M306,"Corrección",$B$4:B306,$C345)</f>
        <v>0</v>
      </c>
      <c r="E345" s="121">
        <f>COUNTIFS($M$4:M306,"Acción Correctiva",$B$4:B306,$C345)</f>
        <v>3</v>
      </c>
      <c r="F345" s="121">
        <f>COUNTIFS($M$4:M306,"Acción Preventiva",$B$4:B306,$C345)</f>
        <v>5</v>
      </c>
      <c r="G345" s="121">
        <f>COUNTIFS($M$4:M306,"Acción Mejora",$B$4:B306,$C345)</f>
        <v>0</v>
      </c>
      <c r="H345" s="530"/>
      <c r="I345" s="151"/>
      <c r="J345" s="297">
        <f t="shared" si="152"/>
        <v>8</v>
      </c>
      <c r="K345" s="121">
        <f>COUNTIFS($R$4:R306,"Abierta",$B$4:B306,$C345)</f>
        <v>4</v>
      </c>
      <c r="L345" s="163">
        <f>COUNTIFS($R$4:R306,"Cerrada",$B$4:B306,$C345)</f>
        <v>4</v>
      </c>
      <c r="X345" s="99"/>
      <c r="Y345" s="99"/>
      <c r="Z345" s="432"/>
      <c r="AA345" s="296"/>
      <c r="AB345" s="295"/>
    </row>
    <row r="346" spans="2:28" x14ac:dyDescent="0.2">
      <c r="B346" s="437"/>
      <c r="C346" s="297" t="s">
        <v>267</v>
      </c>
      <c r="D346" s="346">
        <f>COUNTIFS($M$4:M307,"Corrección",$B$4:B307,$C346)</f>
        <v>5</v>
      </c>
      <c r="E346" s="121">
        <f>COUNTIFS($M$4:M307,"Acción Correctiva",$B$4:B307,$C346)</f>
        <v>8</v>
      </c>
      <c r="F346" s="121">
        <f>COUNTIFS($M$4:M307,"Acción Preventiva",$B$4:B307,$C346)</f>
        <v>0</v>
      </c>
      <c r="G346" s="121">
        <f>COUNTIFS($M$4:M307,"Acción Mejora",$B$4:B307,$C346)</f>
        <v>0</v>
      </c>
      <c r="H346" s="530"/>
      <c r="I346" s="151"/>
      <c r="J346" s="297">
        <f t="shared" si="152"/>
        <v>13</v>
      </c>
      <c r="K346" s="121">
        <f>COUNTIFS($R$4:R307,"Abierta",$B$4:B307,$C346)</f>
        <v>5</v>
      </c>
      <c r="L346" s="163">
        <f>COUNTIFS($R$4:R307,"Cerrada",$B$4:B307,$C346)</f>
        <v>8</v>
      </c>
      <c r="X346" s="99"/>
      <c r="Y346" s="99"/>
      <c r="Z346" s="432"/>
      <c r="AA346" s="296"/>
      <c r="AB346" s="295"/>
    </row>
    <row r="347" spans="2:28" ht="25.5" x14ac:dyDescent="0.2">
      <c r="B347" s="412"/>
      <c r="C347" s="297" t="s">
        <v>62</v>
      </c>
      <c r="D347" s="346">
        <f>COUNTIFS($M$4:M306,"Corrección",$B$4:B306,$C347)</f>
        <v>22</v>
      </c>
      <c r="E347" s="121">
        <f>COUNTIFS($M$4:M306,"Acción Correctiva",$B$4:B306,$C347)</f>
        <v>16</v>
      </c>
      <c r="F347" s="121">
        <f>COUNTIFS($M$4:M306,"Acción Preventiva",$B$4:B306,$C347)</f>
        <v>0</v>
      </c>
      <c r="G347" s="121">
        <f>COUNTIFS($M$4:M306,"Acción Mejora",$B$4:B306,$C347)</f>
        <v>0</v>
      </c>
      <c r="H347" s="530"/>
      <c r="I347" s="151"/>
      <c r="J347" s="297">
        <f t="shared" si="152"/>
        <v>38</v>
      </c>
      <c r="K347" s="121">
        <f>COUNTIFS($R$4:R308,"Abierta",$B$4:B308,$C347)</f>
        <v>21</v>
      </c>
      <c r="L347" s="163">
        <f>COUNTIFS($R$4:R308,"Cerrada",$B$4:B308,$C347)</f>
        <v>17</v>
      </c>
      <c r="X347" s="99"/>
      <c r="Y347" s="99"/>
      <c r="Z347" s="432"/>
      <c r="AA347" s="296"/>
      <c r="AB347" s="295"/>
    </row>
    <row r="348" spans="2:28" ht="25.5" x14ac:dyDescent="0.2">
      <c r="B348" s="414"/>
      <c r="C348" s="297" t="s">
        <v>63</v>
      </c>
      <c r="D348" s="346">
        <f>COUNTIFS($M$4:M306,"Corrección",$B$4:B306,$C348)</f>
        <v>3</v>
      </c>
      <c r="E348" s="121">
        <f>COUNTIFS($M$4:M306,"Acción Correctiva",$B$4:B306,$C348)</f>
        <v>6</v>
      </c>
      <c r="F348" s="121">
        <f>COUNTIFS($M$4:M306,"Acción Preventiva",$B$4:B306,$C348)</f>
        <v>0</v>
      </c>
      <c r="G348" s="121">
        <f>COUNTIFS($M$4:M306,"Acción Mejora",$B$4:B306,$C348)</f>
        <v>0</v>
      </c>
      <c r="H348" s="530"/>
      <c r="I348" s="151"/>
      <c r="J348" s="297">
        <f t="shared" si="152"/>
        <v>9</v>
      </c>
      <c r="K348" s="121">
        <f>COUNTIFS($R$4:R309,"Abierta",$B$4:B309,$C348)</f>
        <v>8</v>
      </c>
      <c r="L348" s="163">
        <f>COUNTIFS($R$4:R309,"Cerrada",$B$4:B309,$C348)</f>
        <v>2</v>
      </c>
      <c r="X348" s="99"/>
      <c r="Y348" s="99"/>
      <c r="Z348" s="432"/>
      <c r="AA348" s="296"/>
      <c r="AB348" s="295"/>
    </row>
    <row r="349" spans="2:28" ht="25.5" x14ac:dyDescent="0.2">
      <c r="B349" s="414"/>
      <c r="C349" s="297" t="s">
        <v>333</v>
      </c>
      <c r="D349" s="346">
        <f>COUNTIFS($M$4:M306,"Corrección",$B$4:B306,$C349)</f>
        <v>10</v>
      </c>
      <c r="E349" s="121">
        <f>COUNTIFS($M$4:M306,"Acción Correctiva",$B$4:B306,$C349)</f>
        <v>18</v>
      </c>
      <c r="F349" s="121">
        <f>COUNTIFS($M$4:M306,"Acción Preventiva",$B$4:B306,$C349)</f>
        <v>0</v>
      </c>
      <c r="G349" s="121">
        <f>COUNTIFS($M$4:M306,"Acción Mejora",$B$4:B306,$C349)</f>
        <v>0</v>
      </c>
      <c r="H349" s="530"/>
      <c r="I349" s="151"/>
      <c r="J349" s="297">
        <f t="shared" si="152"/>
        <v>28</v>
      </c>
      <c r="K349" s="121">
        <f>COUNTIFS($R$4:R310,"Abierta",$B$4:B310,$C349)</f>
        <v>6</v>
      </c>
      <c r="L349" s="163">
        <f>COUNTIFS($R$4:R310,"Cerrada",$B$4:B310,$C349)</f>
        <v>22</v>
      </c>
      <c r="X349" s="99"/>
      <c r="Y349" s="99"/>
      <c r="Z349" s="432"/>
      <c r="AA349" s="296"/>
      <c r="AB349" s="295"/>
    </row>
    <row r="350" spans="2:28" x14ac:dyDescent="0.2">
      <c r="B350" s="437"/>
      <c r="C350" s="297" t="s">
        <v>61</v>
      </c>
      <c r="D350" s="346">
        <f>COUNTIFS($M$4:M306,"Corrección",$B$4:B306,$C350)</f>
        <v>8</v>
      </c>
      <c r="E350" s="121">
        <f>COUNTIFS($M$4:M306,"Acción Correctiva",$B$4:B306,$C350)</f>
        <v>10</v>
      </c>
      <c r="F350" s="121">
        <f>COUNTIFS($M$4:M306,"Acción Preventiva",$B$4:B306,$C350)</f>
        <v>1</v>
      </c>
      <c r="G350" s="121">
        <f>COUNTIFS($M$4:M306,"Acción Mejora",$B$4:B306,$C350)</f>
        <v>0</v>
      </c>
      <c r="H350" s="530"/>
      <c r="I350" s="151"/>
      <c r="J350" s="297">
        <f t="shared" si="152"/>
        <v>19</v>
      </c>
      <c r="K350" s="121">
        <f>COUNTIFS($R$4:R311,"Abierta",$B$4:B311,$C350)</f>
        <v>14</v>
      </c>
      <c r="L350" s="163">
        <f>COUNTIFS($R$4:R311,"Cerrada",$B$4:B311,$C350)</f>
        <v>5</v>
      </c>
      <c r="X350" s="99"/>
      <c r="Y350" s="99"/>
      <c r="Z350" s="432"/>
      <c r="AA350" s="296"/>
      <c r="AB350" s="295"/>
    </row>
    <row r="351" spans="2:28" ht="15" thickBot="1" x14ac:dyDescent="0.25">
      <c r="B351" s="412"/>
      <c r="C351" s="415" t="s">
        <v>65</v>
      </c>
      <c r="D351" s="346">
        <f>COUNTIFS($M$4:M306,"Corrección",$B$4:B306,$C351)</f>
        <v>2</v>
      </c>
      <c r="E351" s="131">
        <f>COUNTIFS($M$4:M306,"Acción Correctiva",$B$4:B306,$C351)</f>
        <v>9</v>
      </c>
      <c r="F351" s="131">
        <f>COUNTIFS($M$4:M306,"Acción Preventiva",$B$4:B306,$C351)</f>
        <v>0</v>
      </c>
      <c r="G351" s="131">
        <f>COUNTIFS($M$4:M306,"Acción Mejora",$B$4:B306,$C351)</f>
        <v>0</v>
      </c>
      <c r="H351" s="530"/>
      <c r="I351" s="151"/>
      <c r="J351" s="300">
        <f t="shared" si="152"/>
        <v>11</v>
      </c>
      <c r="K351" s="131">
        <f>COUNTIFS($R$4:R312,"Abierta",$B$4:B312,$C351)</f>
        <v>6</v>
      </c>
      <c r="L351" s="299">
        <f>COUNTIFS($R$4:R312,"Cerrada",$B$4:B312,$C351)</f>
        <v>5</v>
      </c>
      <c r="X351" s="99"/>
      <c r="Y351" s="99"/>
      <c r="Z351" s="432"/>
      <c r="AA351" s="296"/>
      <c r="AB351" s="295"/>
    </row>
    <row r="352" spans="2:28" ht="17.25" thickTop="1" thickBot="1" x14ac:dyDescent="0.25">
      <c r="B352" s="99"/>
      <c r="C352" s="438" t="s">
        <v>86</v>
      </c>
      <c r="D352" s="351">
        <f>SUM(D339:D351)</f>
        <v>98</v>
      </c>
      <c r="E352" s="352">
        <f>SUM(E339:E351)</f>
        <v>139</v>
      </c>
      <c r="F352" s="546">
        <f>SUM(F339:F351)</f>
        <v>7</v>
      </c>
      <c r="G352" s="352">
        <f>SUM(G339:G351)</f>
        <v>0</v>
      </c>
      <c r="H352" s="524"/>
      <c r="I352" s="32"/>
      <c r="J352" s="251">
        <f>SUM(J339:J351)</f>
        <v>244</v>
      </c>
      <c r="K352" s="162">
        <f>SUM(K339:K351)</f>
        <v>78</v>
      </c>
      <c r="L352" s="162">
        <f>SUM(L339:L351)</f>
        <v>166</v>
      </c>
      <c r="X352" s="99"/>
      <c r="Y352" s="165"/>
      <c r="Z352" s="432"/>
      <c r="AA352" s="296"/>
      <c r="AB352" s="295"/>
    </row>
    <row r="353" spans="2:28" ht="15" thickBot="1" x14ac:dyDescent="0.25">
      <c r="B353" s="99"/>
      <c r="F353" s="539" t="s">
        <v>203</v>
      </c>
      <c r="G353" s="545">
        <f>SUM(D352:G352)</f>
        <v>244</v>
      </c>
      <c r="H353" s="524"/>
      <c r="I353" s="32"/>
      <c r="J353" s="426"/>
      <c r="X353" s="99"/>
      <c r="Y353" s="99"/>
      <c r="Z353" s="432"/>
      <c r="AA353" s="296"/>
      <c r="AB353" s="295"/>
    </row>
    <row r="354" spans="2:28" ht="36.75" customHeight="1" x14ac:dyDescent="0.2">
      <c r="G354" s="32"/>
      <c r="H354" s="531"/>
      <c r="I354" s="32"/>
      <c r="J354" s="750" t="s">
        <v>854</v>
      </c>
      <c r="K354" s="750"/>
      <c r="L354" s="750"/>
      <c r="X354" s="99"/>
      <c r="Y354" s="99"/>
      <c r="Z354" s="432"/>
      <c r="AA354" s="296"/>
      <c r="AB354" s="295"/>
    </row>
    <row r="355" spans="2:28" x14ac:dyDescent="0.2">
      <c r="G355" s="32"/>
      <c r="H355" s="524"/>
      <c r="I355" s="32"/>
      <c r="J355" s="426"/>
      <c r="X355" s="99"/>
      <c r="Y355" s="99"/>
      <c r="Z355" s="432"/>
      <c r="AA355" s="296"/>
      <c r="AB355" s="295"/>
    </row>
    <row r="356" spans="2:28" x14ac:dyDescent="0.2">
      <c r="G356" s="32"/>
      <c r="H356" s="524"/>
      <c r="I356" s="32"/>
      <c r="J356" s="426"/>
      <c r="X356" s="99"/>
      <c r="Y356" s="99"/>
      <c r="Z356" s="432"/>
      <c r="AA356" s="296"/>
      <c r="AB356" s="295"/>
    </row>
    <row r="357" spans="2:28" x14ac:dyDescent="0.2">
      <c r="G357" s="32"/>
      <c r="H357" s="524"/>
      <c r="I357" s="32"/>
      <c r="J357" s="426"/>
      <c r="X357" s="99"/>
      <c r="Y357" s="99"/>
      <c r="Z357" s="432"/>
      <c r="AA357" s="296"/>
      <c r="AB357" s="295"/>
    </row>
    <row r="358" spans="2:28" x14ac:dyDescent="0.2">
      <c r="G358" s="32"/>
      <c r="H358" s="524"/>
      <c r="I358" s="32"/>
      <c r="J358" s="426"/>
      <c r="Z358" s="296"/>
      <c r="AA358" s="296"/>
      <c r="AB358" s="295"/>
    </row>
    <row r="359" spans="2:28" x14ac:dyDescent="0.2">
      <c r="G359" s="32"/>
      <c r="H359" s="524"/>
      <c r="I359" s="32"/>
      <c r="J359" s="426"/>
      <c r="Z359" s="296"/>
      <c r="AA359" s="296"/>
      <c r="AB359" s="295"/>
    </row>
    <row r="360" spans="2:28" x14ac:dyDescent="0.2">
      <c r="G360" s="32"/>
      <c r="H360" s="524"/>
      <c r="I360" s="32"/>
      <c r="J360" s="426"/>
      <c r="Z360" s="296"/>
      <c r="AA360" s="296"/>
      <c r="AB360" s="295"/>
    </row>
    <row r="361" spans="2:28" x14ac:dyDescent="0.2">
      <c r="G361" s="32"/>
      <c r="H361" s="524"/>
      <c r="I361" s="32"/>
      <c r="J361" s="426"/>
      <c r="Z361" s="296"/>
      <c r="AA361" s="296"/>
      <c r="AB361" s="295"/>
    </row>
  </sheetData>
  <autoFilter ref="A3:Y333">
    <filterColumn colId="1">
      <filters>
        <filter val="Mejoramiento de Vivienda"/>
      </filters>
    </filterColumn>
  </autoFilter>
  <mergeCells count="840">
    <mergeCell ref="J272:J273"/>
    <mergeCell ref="A272:A273"/>
    <mergeCell ref="B272:B273"/>
    <mergeCell ref="C272:C273"/>
    <mergeCell ref="D272:D273"/>
    <mergeCell ref="E272:E273"/>
    <mergeCell ref="F272:F273"/>
    <mergeCell ref="H272:H273"/>
    <mergeCell ref="G272:G273"/>
    <mergeCell ref="I272:I273"/>
    <mergeCell ref="A296:A297"/>
    <mergeCell ref="B296:B297"/>
    <mergeCell ref="C296:C297"/>
    <mergeCell ref="D296:D297"/>
    <mergeCell ref="E296:E297"/>
    <mergeCell ref="F296:F297"/>
    <mergeCell ref="G296:G297"/>
    <mergeCell ref="H296:H297"/>
    <mergeCell ref="I296:I297"/>
    <mergeCell ref="Q238:Q239"/>
    <mergeCell ref="Q246:Q247"/>
    <mergeCell ref="Q248:Q249"/>
    <mergeCell ref="Q250:Q251"/>
    <mergeCell ref="D238:D239"/>
    <mergeCell ref="E238:E239"/>
    <mergeCell ref="F238:F239"/>
    <mergeCell ref="G238:G239"/>
    <mergeCell ref="H238:H239"/>
    <mergeCell ref="I238:I239"/>
    <mergeCell ref="J238:J239"/>
    <mergeCell ref="K238:K239"/>
    <mergeCell ref="D250:D251"/>
    <mergeCell ref="G250:G251"/>
    <mergeCell ref="E250:E251"/>
    <mergeCell ref="F250:F251"/>
    <mergeCell ref="G243:G244"/>
    <mergeCell ref="Q243:Q244"/>
    <mergeCell ref="G248:G249"/>
    <mergeCell ref="K243:K244"/>
    <mergeCell ref="F246:F247"/>
    <mergeCell ref="E248:E249"/>
    <mergeCell ref="F248:F249"/>
    <mergeCell ref="F243:F244"/>
    <mergeCell ref="Q226:Q227"/>
    <mergeCell ref="Q228:Q230"/>
    <mergeCell ref="Q232:Q233"/>
    <mergeCell ref="Q234:Q235"/>
    <mergeCell ref="A236:A237"/>
    <mergeCell ref="B236:B237"/>
    <mergeCell ref="C236:C237"/>
    <mergeCell ref="D236:D237"/>
    <mergeCell ref="E236:E237"/>
    <mergeCell ref="F236:F237"/>
    <mergeCell ref="G236:G237"/>
    <mergeCell ref="H236:H237"/>
    <mergeCell ref="I236:I237"/>
    <mergeCell ref="J236:J237"/>
    <mergeCell ref="K236:K237"/>
    <mergeCell ref="L236:L237"/>
    <mergeCell ref="Q236:Q237"/>
    <mergeCell ref="A234:A235"/>
    <mergeCell ref="J234:J235"/>
    <mergeCell ref="J232:J233"/>
    <mergeCell ref="A232:A233"/>
    <mergeCell ref="G234:G235"/>
    <mergeCell ref="F234:F235"/>
    <mergeCell ref="G228:G230"/>
    <mergeCell ref="N283:N284"/>
    <mergeCell ref="N285:N286"/>
    <mergeCell ref="P285:P286"/>
    <mergeCell ref="N287:N288"/>
    <mergeCell ref="P287:P288"/>
    <mergeCell ref="P283:P284"/>
    <mergeCell ref="J287:J288"/>
    <mergeCell ref="K283:K284"/>
    <mergeCell ref="K285:K286"/>
    <mergeCell ref="K287:K288"/>
    <mergeCell ref="L283:L284"/>
    <mergeCell ref="L285:L286"/>
    <mergeCell ref="L287:L288"/>
    <mergeCell ref="N279:N280"/>
    <mergeCell ref="H281:H282"/>
    <mergeCell ref="G281:G282"/>
    <mergeCell ref="I281:I282"/>
    <mergeCell ref="J281:J282"/>
    <mergeCell ref="K281:K282"/>
    <mergeCell ref="L281:L282"/>
    <mergeCell ref="N281:N282"/>
    <mergeCell ref="N274:N275"/>
    <mergeCell ref="G274:G275"/>
    <mergeCell ref="H274:H275"/>
    <mergeCell ref="I274:I275"/>
    <mergeCell ref="J274:J275"/>
    <mergeCell ref="C263:C264"/>
    <mergeCell ref="D263:D264"/>
    <mergeCell ref="C267:C268"/>
    <mergeCell ref="D267:D268"/>
    <mergeCell ref="E267:E268"/>
    <mergeCell ref="F267:F268"/>
    <mergeCell ref="G267:G268"/>
    <mergeCell ref="C265:C266"/>
    <mergeCell ref="D265:D266"/>
    <mergeCell ref="E265:E266"/>
    <mergeCell ref="F265:F266"/>
    <mergeCell ref="G265:G266"/>
    <mergeCell ref="C250:C251"/>
    <mergeCell ref="G246:G247"/>
    <mergeCell ref="D246:D247"/>
    <mergeCell ref="E246:E247"/>
    <mergeCell ref="C238:C239"/>
    <mergeCell ref="T171:T173"/>
    <mergeCell ref="S171:S173"/>
    <mergeCell ref="K189:K190"/>
    <mergeCell ref="K171:K173"/>
    <mergeCell ref="K176:K178"/>
    <mergeCell ref="K187:K188"/>
    <mergeCell ref="G185:G186"/>
    <mergeCell ref="F185:F186"/>
    <mergeCell ref="H191:H192"/>
    <mergeCell ref="H189:H190"/>
    <mergeCell ref="I176:I178"/>
    <mergeCell ref="J176:J178"/>
    <mergeCell ref="L171:L173"/>
    <mergeCell ref="I171:I173"/>
    <mergeCell ref="J171:J173"/>
    <mergeCell ref="J193:J195"/>
    <mergeCell ref="E191:E192"/>
    <mergeCell ref="G191:G192"/>
    <mergeCell ref="G226:G227"/>
    <mergeCell ref="K183:K184"/>
    <mergeCell ref="L187:L188"/>
    <mergeCell ref="G187:G188"/>
    <mergeCell ref="F187:F188"/>
    <mergeCell ref="G189:G190"/>
    <mergeCell ref="J187:J188"/>
    <mergeCell ref="K193:K195"/>
    <mergeCell ref="L222:L223"/>
    <mergeCell ref="H228:H230"/>
    <mergeCell ref="I228:I230"/>
    <mergeCell ref="L226:L227"/>
    <mergeCell ref="J226:J227"/>
    <mergeCell ref="K226:K227"/>
    <mergeCell ref="J183:J184"/>
    <mergeCell ref="J228:J230"/>
    <mergeCell ref="I183:I184"/>
    <mergeCell ref="I211:I212"/>
    <mergeCell ref="A53:A54"/>
    <mergeCell ref="D102:D105"/>
    <mergeCell ref="D84:D85"/>
    <mergeCell ref="T73:T74"/>
    <mergeCell ref="S73:S74"/>
    <mergeCell ref="H75:H76"/>
    <mergeCell ref="H146:H147"/>
    <mergeCell ref="E120:E123"/>
    <mergeCell ref="K84:K85"/>
    <mergeCell ref="K67:K68"/>
    <mergeCell ref="K69:K70"/>
    <mergeCell ref="K79:K80"/>
    <mergeCell ref="K73:K74"/>
    <mergeCell ref="K98:K99"/>
    <mergeCell ref="J84:J85"/>
    <mergeCell ref="J106:J108"/>
    <mergeCell ref="I120:I123"/>
    <mergeCell ref="L141:L142"/>
    <mergeCell ref="D120:D123"/>
    <mergeCell ref="D146:D147"/>
    <mergeCell ref="E146:E147"/>
    <mergeCell ref="I146:I147"/>
    <mergeCell ref="J146:J147"/>
    <mergeCell ref="D117:D118"/>
    <mergeCell ref="A18:A19"/>
    <mergeCell ref="H28:H31"/>
    <mergeCell ref="A28:A31"/>
    <mergeCell ref="H33:H35"/>
    <mergeCell ref="H49:H52"/>
    <mergeCell ref="I86:I88"/>
    <mergeCell ref="J86:J88"/>
    <mergeCell ref="I109:I114"/>
    <mergeCell ref="I79:I80"/>
    <mergeCell ref="J79:J80"/>
    <mergeCell ref="I73:I74"/>
    <mergeCell ref="J73:J74"/>
    <mergeCell ref="I69:I70"/>
    <mergeCell ref="J69:J70"/>
    <mergeCell ref="J59:J63"/>
    <mergeCell ref="I84:I85"/>
    <mergeCell ref="D98:D99"/>
    <mergeCell ref="D75:D76"/>
    <mergeCell ref="E75:E76"/>
    <mergeCell ref="A33:A35"/>
    <mergeCell ref="A49:A52"/>
    <mergeCell ref="G53:G54"/>
    <mergeCell ref="E106:E108"/>
    <mergeCell ref="G55:G58"/>
    <mergeCell ref="A4:A6"/>
    <mergeCell ref="H12:H17"/>
    <mergeCell ref="A12:A17"/>
    <mergeCell ref="D49:D52"/>
    <mergeCell ref="D28:D31"/>
    <mergeCell ref="D337:G337"/>
    <mergeCell ref="B337:B338"/>
    <mergeCell ref="D176:D178"/>
    <mergeCell ref="E176:E178"/>
    <mergeCell ref="E69:E70"/>
    <mergeCell ref="D73:D74"/>
    <mergeCell ref="H73:H74"/>
    <mergeCell ref="D59:D63"/>
    <mergeCell ref="D79:D80"/>
    <mergeCell ref="D67:D68"/>
    <mergeCell ref="D69:D70"/>
    <mergeCell ref="E79:E80"/>
    <mergeCell ref="H59:H63"/>
    <mergeCell ref="E59:E63"/>
    <mergeCell ref="E73:E74"/>
    <mergeCell ref="E67:E68"/>
    <mergeCell ref="E226:E227"/>
    <mergeCell ref="F226:F227"/>
    <mergeCell ref="E228:E230"/>
    <mergeCell ref="C337:C338"/>
    <mergeCell ref="G254:G256"/>
    <mergeCell ref="F254:F256"/>
    <mergeCell ref="J141:J142"/>
    <mergeCell ref="D141:D142"/>
    <mergeCell ref="E141:E142"/>
    <mergeCell ref="I141:I142"/>
    <mergeCell ref="G222:G223"/>
    <mergeCell ref="H141:H142"/>
    <mergeCell ref="H148:H153"/>
    <mergeCell ref="H176:H178"/>
    <mergeCell ref="H185:H186"/>
    <mergeCell ref="D189:D190"/>
    <mergeCell ref="E189:E190"/>
    <mergeCell ref="C187:C188"/>
    <mergeCell ref="C228:C230"/>
    <mergeCell ref="C191:C192"/>
    <mergeCell ref="I189:I190"/>
    <mergeCell ref="D187:D188"/>
    <mergeCell ref="E187:E188"/>
    <mergeCell ref="I187:I188"/>
    <mergeCell ref="H211:H212"/>
    <mergeCell ref="J222:J223"/>
    <mergeCell ref="F191:F192"/>
    <mergeCell ref="N317:P317"/>
    <mergeCell ref="D148:D153"/>
    <mergeCell ref="E148:E153"/>
    <mergeCell ref="D185:D186"/>
    <mergeCell ref="G219:G221"/>
    <mergeCell ref="F219:F221"/>
    <mergeCell ref="E219:E221"/>
    <mergeCell ref="D219:D221"/>
    <mergeCell ref="L148:L153"/>
    <mergeCell ref="L166:L167"/>
    <mergeCell ref="L176:L178"/>
    <mergeCell ref="L183:L184"/>
    <mergeCell ref="L185:L186"/>
    <mergeCell ref="J211:J212"/>
    <mergeCell ref="K211:K212"/>
    <mergeCell ref="L211:L212"/>
    <mergeCell ref="L189:L190"/>
    <mergeCell ref="L191:L192"/>
    <mergeCell ref="D228:D230"/>
    <mergeCell ref="G193:G195"/>
    <mergeCell ref="H193:H195"/>
    <mergeCell ref="L193:L195"/>
    <mergeCell ref="G211:G212"/>
    <mergeCell ref="E193:E195"/>
    <mergeCell ref="Q309:W309"/>
    <mergeCell ref="K185:K186"/>
    <mergeCell ref="H158:H159"/>
    <mergeCell ref="H160:H161"/>
    <mergeCell ref="H162:H163"/>
    <mergeCell ref="H164:H165"/>
    <mergeCell ref="H171:H173"/>
    <mergeCell ref="Q317:R317"/>
    <mergeCell ref="I191:I192"/>
    <mergeCell ref="J191:J192"/>
    <mergeCell ref="K191:K192"/>
    <mergeCell ref="L219:L221"/>
    <mergeCell ref="K219:K221"/>
    <mergeCell ref="N222:N223"/>
    <mergeCell ref="P222:P223"/>
    <mergeCell ref="K222:K223"/>
    <mergeCell ref="N219:N220"/>
    <mergeCell ref="J219:J221"/>
    <mergeCell ref="I219:I221"/>
    <mergeCell ref="H219:H221"/>
    <mergeCell ref="L158:L159"/>
    <mergeCell ref="L160:L161"/>
    <mergeCell ref="L162:L163"/>
    <mergeCell ref="L164:L165"/>
    <mergeCell ref="X4:X6"/>
    <mergeCell ref="X28:X31"/>
    <mergeCell ref="X49:X52"/>
    <mergeCell ref="X53:X54"/>
    <mergeCell ref="X55:X58"/>
    <mergeCell ref="X59:X63"/>
    <mergeCell ref="X67:X68"/>
    <mergeCell ref="J4:J6"/>
    <mergeCell ref="X102:X105"/>
    <mergeCell ref="X73:X74"/>
    <mergeCell ref="X75:X76"/>
    <mergeCell ref="X93:X96"/>
    <mergeCell ref="J75:J76"/>
    <mergeCell ref="K75:K76"/>
    <mergeCell ref="J93:J96"/>
    <mergeCell ref="X98:X99"/>
    <mergeCell ref="K102:K105"/>
    <mergeCell ref="K49:K52"/>
    <mergeCell ref="J102:J105"/>
    <mergeCell ref="J98:J99"/>
    <mergeCell ref="X12:X17"/>
    <mergeCell ref="J28:J31"/>
    <mergeCell ref="K28:K31"/>
    <mergeCell ref="X69:X70"/>
    <mergeCell ref="L12:L17"/>
    <mergeCell ref="L28:L31"/>
    <mergeCell ref="L33:L35"/>
    <mergeCell ref="K18:K19"/>
    <mergeCell ref="L18:L19"/>
    <mergeCell ref="I55:I58"/>
    <mergeCell ref="J55:J58"/>
    <mergeCell ref="I59:I63"/>
    <mergeCell ref="I53:I54"/>
    <mergeCell ref="J53:J54"/>
    <mergeCell ref="I12:I17"/>
    <mergeCell ref="J12:J17"/>
    <mergeCell ref="I28:I31"/>
    <mergeCell ref="I49:I52"/>
    <mergeCell ref="J49:J52"/>
    <mergeCell ref="L49:L52"/>
    <mergeCell ref="L53:L54"/>
    <mergeCell ref="X126:X128"/>
    <mergeCell ref="V126:V128"/>
    <mergeCell ref="V124:V125"/>
    <mergeCell ref="V120:V123"/>
    <mergeCell ref="X124:X125"/>
    <mergeCell ref="X120:X123"/>
    <mergeCell ref="X106:X108"/>
    <mergeCell ref="X109:X114"/>
    <mergeCell ref="X117:X118"/>
    <mergeCell ref="K4:K6"/>
    <mergeCell ref="D4:D6"/>
    <mergeCell ref="I4:I6"/>
    <mergeCell ref="K12:K17"/>
    <mergeCell ref="E4:E6"/>
    <mergeCell ref="E12:E17"/>
    <mergeCell ref="E49:E52"/>
    <mergeCell ref="E28:E31"/>
    <mergeCell ref="E55:E58"/>
    <mergeCell ref="D53:D54"/>
    <mergeCell ref="D12:D17"/>
    <mergeCell ref="H18:H19"/>
    <mergeCell ref="E53:E54"/>
    <mergeCell ref="D55:D58"/>
    <mergeCell ref="J18:J19"/>
    <mergeCell ref="H4:H6"/>
    <mergeCell ref="K33:K35"/>
    <mergeCell ref="G33:G35"/>
    <mergeCell ref="I33:I35"/>
    <mergeCell ref="J33:J35"/>
    <mergeCell ref="K53:K54"/>
    <mergeCell ref="I18:I19"/>
    <mergeCell ref="K55:K58"/>
    <mergeCell ref="H53:H54"/>
    <mergeCell ref="A164:A165"/>
    <mergeCell ref="A166:A167"/>
    <mergeCell ref="H166:H167"/>
    <mergeCell ref="E317:I317"/>
    <mergeCell ref="A219:A221"/>
    <mergeCell ref="B317:B318"/>
    <mergeCell ref="D191:D192"/>
    <mergeCell ref="E254:E256"/>
    <mergeCell ref="D254:D256"/>
    <mergeCell ref="C254:C256"/>
    <mergeCell ref="A254:A256"/>
    <mergeCell ref="C219:C221"/>
    <mergeCell ref="E183:E184"/>
    <mergeCell ref="A222:A223"/>
    <mergeCell ref="I193:I195"/>
    <mergeCell ref="H222:H223"/>
    <mergeCell ref="I222:I223"/>
    <mergeCell ref="C310:D310"/>
    <mergeCell ref="E310:F310"/>
    <mergeCell ref="I254:I256"/>
    <mergeCell ref="H187:H188"/>
    <mergeCell ref="A274:A275"/>
    <mergeCell ref="C164:C165"/>
    <mergeCell ref="D164:D165"/>
    <mergeCell ref="B335:G335"/>
    <mergeCell ref="E185:E186"/>
    <mergeCell ref="I185:I186"/>
    <mergeCell ref="J185:J186"/>
    <mergeCell ref="J254:J256"/>
    <mergeCell ref="J317:J318"/>
    <mergeCell ref="H277:H278"/>
    <mergeCell ref="G277:G278"/>
    <mergeCell ref="H279:H280"/>
    <mergeCell ref="G279:G280"/>
    <mergeCell ref="G283:G284"/>
    <mergeCell ref="H283:H284"/>
    <mergeCell ref="G285:G286"/>
    <mergeCell ref="H285:H286"/>
    <mergeCell ref="G287:G288"/>
    <mergeCell ref="J189:J190"/>
    <mergeCell ref="F232:F233"/>
    <mergeCell ref="C317:D317"/>
    <mergeCell ref="F189:F190"/>
    <mergeCell ref="F263:F264"/>
    <mergeCell ref="G263:G264"/>
    <mergeCell ref="H263:H264"/>
    <mergeCell ref="I263:I264"/>
    <mergeCell ref="J263:J264"/>
    <mergeCell ref="I117:I118"/>
    <mergeCell ref="J158:J159"/>
    <mergeCell ref="C162:C163"/>
    <mergeCell ref="D162:D163"/>
    <mergeCell ref="E162:E163"/>
    <mergeCell ref="F162:F163"/>
    <mergeCell ref="G162:G163"/>
    <mergeCell ref="I162:I163"/>
    <mergeCell ref="J162:J163"/>
    <mergeCell ref="C148:C153"/>
    <mergeCell ref="F148:F153"/>
    <mergeCell ref="G148:G153"/>
    <mergeCell ref="C141:C142"/>
    <mergeCell ref="F141:F142"/>
    <mergeCell ref="G141:G142"/>
    <mergeCell ref="C158:C159"/>
    <mergeCell ref="D158:D159"/>
    <mergeCell ref="J120:J123"/>
    <mergeCell ref="D160:D161"/>
    <mergeCell ref="E117:E118"/>
    <mergeCell ref="I124:I125"/>
    <mergeCell ref="J124:J125"/>
    <mergeCell ref="J126:J128"/>
    <mergeCell ref="K141:K142"/>
    <mergeCell ref="I148:I153"/>
    <mergeCell ref="J148:J153"/>
    <mergeCell ref="E158:E159"/>
    <mergeCell ref="F158:F159"/>
    <mergeCell ref="G158:G159"/>
    <mergeCell ref="I158:I159"/>
    <mergeCell ref="K158:K159"/>
    <mergeCell ref="E160:E161"/>
    <mergeCell ref="F160:F161"/>
    <mergeCell ref="G160:G161"/>
    <mergeCell ref="I160:I161"/>
    <mergeCell ref="J160:J161"/>
    <mergeCell ref="K160:K161"/>
    <mergeCell ref="K148:K153"/>
    <mergeCell ref="F146:F147"/>
    <mergeCell ref="G146:G147"/>
    <mergeCell ref="K146:K147"/>
    <mergeCell ref="C4:C6"/>
    <mergeCell ref="F4:F6"/>
    <mergeCell ref="G4:G6"/>
    <mergeCell ref="C12:C17"/>
    <mergeCell ref="F12:F17"/>
    <mergeCell ref="G12:G17"/>
    <mergeCell ref="I75:I76"/>
    <mergeCell ref="C18:C19"/>
    <mergeCell ref="D18:D19"/>
    <mergeCell ref="E18:E19"/>
    <mergeCell ref="F18:F19"/>
    <mergeCell ref="G18:G19"/>
    <mergeCell ref="C28:C31"/>
    <mergeCell ref="F28:F31"/>
    <mergeCell ref="G28:G31"/>
    <mergeCell ref="F33:F35"/>
    <mergeCell ref="D33:D35"/>
    <mergeCell ref="E33:E35"/>
    <mergeCell ref="C33:C35"/>
    <mergeCell ref="C49:C52"/>
    <mergeCell ref="F49:F52"/>
    <mergeCell ref="G49:G52"/>
    <mergeCell ref="C53:C54"/>
    <mergeCell ref="F53:F54"/>
    <mergeCell ref="H55:H58"/>
    <mergeCell ref="L55:L58"/>
    <mergeCell ref="F59:F63"/>
    <mergeCell ref="G59:G63"/>
    <mergeCell ref="C59:C63"/>
    <mergeCell ref="K59:K63"/>
    <mergeCell ref="L73:L74"/>
    <mergeCell ref="L75:L76"/>
    <mergeCell ref="H69:H70"/>
    <mergeCell ref="H67:H68"/>
    <mergeCell ref="F55:F58"/>
    <mergeCell ref="A59:A63"/>
    <mergeCell ref="L59:L63"/>
    <mergeCell ref="B67:B68"/>
    <mergeCell ref="C67:C68"/>
    <mergeCell ref="F67:F68"/>
    <mergeCell ref="G67:G68"/>
    <mergeCell ref="L67:L68"/>
    <mergeCell ref="B69:B70"/>
    <mergeCell ref="C69:C70"/>
    <mergeCell ref="F69:F70"/>
    <mergeCell ref="G69:G70"/>
    <mergeCell ref="L69:L70"/>
    <mergeCell ref="A69:A70"/>
    <mergeCell ref="J67:J68"/>
    <mergeCell ref="I67:I68"/>
    <mergeCell ref="F79:F80"/>
    <mergeCell ref="G79:G80"/>
    <mergeCell ref="H79:H80"/>
    <mergeCell ref="B87:B88"/>
    <mergeCell ref="C87:C88"/>
    <mergeCell ref="H87:H88"/>
    <mergeCell ref="D86:D88"/>
    <mergeCell ref="E86:E88"/>
    <mergeCell ref="A73:A74"/>
    <mergeCell ref="B73:B74"/>
    <mergeCell ref="C73:C74"/>
    <mergeCell ref="F73:F74"/>
    <mergeCell ref="G73:G74"/>
    <mergeCell ref="A79:A80"/>
    <mergeCell ref="A75:A76"/>
    <mergeCell ref="C75:C76"/>
    <mergeCell ref="F75:F76"/>
    <mergeCell ref="G75:G76"/>
    <mergeCell ref="F84:F85"/>
    <mergeCell ref="G84:G85"/>
    <mergeCell ref="H84:H85"/>
    <mergeCell ref="B84:B85"/>
    <mergeCell ref="C84:C85"/>
    <mergeCell ref="E84:E85"/>
    <mergeCell ref="L93:L96"/>
    <mergeCell ref="B98:B99"/>
    <mergeCell ref="A98:A99"/>
    <mergeCell ref="C98:C99"/>
    <mergeCell ref="F98:F99"/>
    <mergeCell ref="G98:G99"/>
    <mergeCell ref="H98:H99"/>
    <mergeCell ref="L98:L99"/>
    <mergeCell ref="D93:D96"/>
    <mergeCell ref="E93:E96"/>
    <mergeCell ref="K93:K96"/>
    <mergeCell ref="K86:K88"/>
    <mergeCell ref="I93:I96"/>
    <mergeCell ref="E98:E99"/>
    <mergeCell ref="I98:I99"/>
    <mergeCell ref="A93:A96"/>
    <mergeCell ref="L102:L105"/>
    <mergeCell ref="A106:A108"/>
    <mergeCell ref="B106:B108"/>
    <mergeCell ref="C106:C108"/>
    <mergeCell ref="F106:F108"/>
    <mergeCell ref="G106:G108"/>
    <mergeCell ref="H106:H108"/>
    <mergeCell ref="L106:L108"/>
    <mergeCell ref="D106:D108"/>
    <mergeCell ref="K106:K108"/>
    <mergeCell ref="I102:I105"/>
    <mergeCell ref="E102:E105"/>
    <mergeCell ref="I106:I108"/>
    <mergeCell ref="H102:H105"/>
    <mergeCell ref="C93:C96"/>
    <mergeCell ref="F93:F96"/>
    <mergeCell ref="G93:G96"/>
    <mergeCell ref="H93:H96"/>
    <mergeCell ref="C102:C105"/>
    <mergeCell ref="L109:L114"/>
    <mergeCell ref="A117:A118"/>
    <mergeCell ref="C117:C118"/>
    <mergeCell ref="F117:F118"/>
    <mergeCell ref="G117:G118"/>
    <mergeCell ref="H117:H118"/>
    <mergeCell ref="L117:L118"/>
    <mergeCell ref="H120:H123"/>
    <mergeCell ref="G120:G123"/>
    <mergeCell ref="F120:F123"/>
    <mergeCell ref="C120:C123"/>
    <mergeCell ref="L120:L123"/>
    <mergeCell ref="H109:H114"/>
    <mergeCell ref="G109:G114"/>
    <mergeCell ref="F109:F114"/>
    <mergeCell ref="C109:C114"/>
    <mergeCell ref="A109:A114"/>
    <mergeCell ref="D109:D114"/>
    <mergeCell ref="J109:J114"/>
    <mergeCell ref="K109:K114"/>
    <mergeCell ref="E109:E114"/>
    <mergeCell ref="K120:K123"/>
    <mergeCell ref="K117:K118"/>
    <mergeCell ref="J117:J118"/>
    <mergeCell ref="L126:L128"/>
    <mergeCell ref="D124:D125"/>
    <mergeCell ref="E124:E125"/>
    <mergeCell ref="D126:D128"/>
    <mergeCell ref="H124:H125"/>
    <mergeCell ref="G124:G125"/>
    <mergeCell ref="F124:F125"/>
    <mergeCell ref="E126:E128"/>
    <mergeCell ref="I126:I128"/>
    <mergeCell ref="H126:H128"/>
    <mergeCell ref="F126:F128"/>
    <mergeCell ref="G126:G128"/>
    <mergeCell ref="K124:K125"/>
    <mergeCell ref="K126:K128"/>
    <mergeCell ref="E164:E165"/>
    <mergeCell ref="F164:F165"/>
    <mergeCell ref="G164:G165"/>
    <mergeCell ref="I164:I165"/>
    <mergeCell ref="J164:J165"/>
    <mergeCell ref="K164:K165"/>
    <mergeCell ref="C166:C167"/>
    <mergeCell ref="D166:D167"/>
    <mergeCell ref="E166:E167"/>
    <mergeCell ref="F166:F167"/>
    <mergeCell ref="G166:G167"/>
    <mergeCell ref="I166:I167"/>
    <mergeCell ref="J166:J167"/>
    <mergeCell ref="K166:K167"/>
    <mergeCell ref="L146:L147"/>
    <mergeCell ref="F222:F223"/>
    <mergeCell ref="E222:E223"/>
    <mergeCell ref="A211:A212"/>
    <mergeCell ref="L84:L85"/>
    <mergeCell ref="A84:A85"/>
    <mergeCell ref="A182:A184"/>
    <mergeCell ref="A187:A188"/>
    <mergeCell ref="A176:A178"/>
    <mergeCell ref="F176:F178"/>
    <mergeCell ref="C176:C178"/>
    <mergeCell ref="G176:G178"/>
    <mergeCell ref="H183:H184"/>
    <mergeCell ref="C183:C184"/>
    <mergeCell ref="F183:F184"/>
    <mergeCell ref="G183:G184"/>
    <mergeCell ref="E171:E173"/>
    <mergeCell ref="F171:F173"/>
    <mergeCell ref="G171:G173"/>
    <mergeCell ref="F102:F105"/>
    <mergeCell ref="G102:G105"/>
    <mergeCell ref="A120:A123"/>
    <mergeCell ref="A148:A153"/>
    <mergeCell ref="K162:K163"/>
    <mergeCell ref="A55:A58"/>
    <mergeCell ref="A67:A68"/>
    <mergeCell ref="A87:A88"/>
    <mergeCell ref="A141:A142"/>
    <mergeCell ref="A102:A105"/>
    <mergeCell ref="C189:C190"/>
    <mergeCell ref="A189:A190"/>
    <mergeCell ref="B171:B173"/>
    <mergeCell ref="C171:C173"/>
    <mergeCell ref="C79:C80"/>
    <mergeCell ref="C55:C58"/>
    <mergeCell ref="A171:A173"/>
    <mergeCell ref="A185:A186"/>
    <mergeCell ref="A124:A125"/>
    <mergeCell ref="A126:A128"/>
    <mergeCell ref="B126:B128"/>
    <mergeCell ref="C126:C128"/>
    <mergeCell ref="C124:C125"/>
    <mergeCell ref="A146:A147"/>
    <mergeCell ref="C146:C147"/>
    <mergeCell ref="C160:C161"/>
    <mergeCell ref="A158:A159"/>
    <mergeCell ref="A160:A161"/>
    <mergeCell ref="A162:A163"/>
    <mergeCell ref="I248:I249"/>
    <mergeCell ref="H246:H247"/>
    <mergeCell ref="D248:D249"/>
    <mergeCell ref="H234:H235"/>
    <mergeCell ref="J267:J268"/>
    <mergeCell ref="H265:H266"/>
    <mergeCell ref="L248:L249"/>
    <mergeCell ref="J248:J249"/>
    <mergeCell ref="K248:K249"/>
    <mergeCell ref="J250:J251"/>
    <mergeCell ref="K250:K251"/>
    <mergeCell ref="J246:J247"/>
    <mergeCell ref="I250:I251"/>
    <mergeCell ref="H267:H268"/>
    <mergeCell ref="I267:I268"/>
    <mergeCell ref="I265:I266"/>
    <mergeCell ref="H248:H249"/>
    <mergeCell ref="H250:H251"/>
    <mergeCell ref="H243:H244"/>
    <mergeCell ref="J243:J244"/>
    <mergeCell ref="H254:H256"/>
    <mergeCell ref="I246:I247"/>
    <mergeCell ref="I234:I235"/>
    <mergeCell ref="I243:I244"/>
    <mergeCell ref="N267:N268"/>
    <mergeCell ref="L263:L264"/>
    <mergeCell ref="K254:K256"/>
    <mergeCell ref="L254:L256"/>
    <mergeCell ref="L250:L251"/>
    <mergeCell ref="K265:K266"/>
    <mergeCell ref="L265:L266"/>
    <mergeCell ref="K263:K264"/>
    <mergeCell ref="L228:L230"/>
    <mergeCell ref="K246:K247"/>
    <mergeCell ref="L246:L247"/>
    <mergeCell ref="K234:K235"/>
    <mergeCell ref="L234:L235"/>
    <mergeCell ref="L232:L233"/>
    <mergeCell ref="K232:K233"/>
    <mergeCell ref="K228:K230"/>
    <mergeCell ref="L243:L244"/>
    <mergeCell ref="K267:K268"/>
    <mergeCell ref="L267:L268"/>
    <mergeCell ref="J337:L337"/>
    <mergeCell ref="J354:L354"/>
    <mergeCell ref="J265:J266"/>
    <mergeCell ref="L274:L275"/>
    <mergeCell ref="L277:L278"/>
    <mergeCell ref="L279:L280"/>
    <mergeCell ref="H287:H288"/>
    <mergeCell ref="I283:I284"/>
    <mergeCell ref="I285:I286"/>
    <mergeCell ref="I287:I288"/>
    <mergeCell ref="J283:J284"/>
    <mergeCell ref="J285:J286"/>
    <mergeCell ref="L317:M317"/>
    <mergeCell ref="K274:K275"/>
    <mergeCell ref="I277:I278"/>
    <mergeCell ref="I279:I280"/>
    <mergeCell ref="J277:J278"/>
    <mergeCell ref="J279:J280"/>
    <mergeCell ref="K277:K278"/>
    <mergeCell ref="K279:K280"/>
    <mergeCell ref="J296:J297"/>
    <mergeCell ref="K296:K297"/>
    <mergeCell ref="K272:K273"/>
    <mergeCell ref="L272:L273"/>
    <mergeCell ref="B28:B31"/>
    <mergeCell ref="B120:B123"/>
    <mergeCell ref="B55:B58"/>
    <mergeCell ref="B93:B96"/>
    <mergeCell ref="B183:B184"/>
    <mergeCell ref="B185:B186"/>
    <mergeCell ref="B33:B34"/>
    <mergeCell ref="B79:B80"/>
    <mergeCell ref="C246:C247"/>
    <mergeCell ref="C234:C235"/>
    <mergeCell ref="C222:C223"/>
    <mergeCell ref="C185:C186"/>
    <mergeCell ref="B124:B125"/>
    <mergeCell ref="C232:C233"/>
    <mergeCell ref="C193:C195"/>
    <mergeCell ref="C211:C212"/>
    <mergeCell ref="C226:C227"/>
    <mergeCell ref="B238:B239"/>
    <mergeCell ref="B158:B159"/>
    <mergeCell ref="B160:B161"/>
    <mergeCell ref="B162:B163"/>
    <mergeCell ref="B164:B165"/>
    <mergeCell ref="B166:B167"/>
    <mergeCell ref="B211:B212"/>
    <mergeCell ref="D171:D173"/>
    <mergeCell ref="H226:H227"/>
    <mergeCell ref="I226:I227"/>
    <mergeCell ref="D232:D233"/>
    <mergeCell ref="F193:F195"/>
    <mergeCell ref="D211:D212"/>
    <mergeCell ref="E211:E212"/>
    <mergeCell ref="F211:F212"/>
    <mergeCell ref="I232:I233"/>
    <mergeCell ref="H232:H233"/>
    <mergeCell ref="E232:E233"/>
    <mergeCell ref="G232:G233"/>
    <mergeCell ref="D222:D223"/>
    <mergeCell ref="D193:D195"/>
    <mergeCell ref="F228:F230"/>
    <mergeCell ref="B274:B275"/>
    <mergeCell ref="C274:C275"/>
    <mergeCell ref="D234:D235"/>
    <mergeCell ref="D183:D184"/>
    <mergeCell ref="A243:A244"/>
    <mergeCell ref="B243:B244"/>
    <mergeCell ref="C243:C244"/>
    <mergeCell ref="D243:D244"/>
    <mergeCell ref="E243:E244"/>
    <mergeCell ref="A191:A192"/>
    <mergeCell ref="A228:A230"/>
    <mergeCell ref="A193:A195"/>
    <mergeCell ref="A226:A227"/>
    <mergeCell ref="D226:D227"/>
    <mergeCell ref="A250:A251"/>
    <mergeCell ref="A267:A268"/>
    <mergeCell ref="A263:A264"/>
    <mergeCell ref="A265:A266"/>
    <mergeCell ref="E263:E264"/>
    <mergeCell ref="A238:A239"/>
    <mergeCell ref="A246:A247"/>
    <mergeCell ref="A248:A249"/>
    <mergeCell ref="E234:E235"/>
    <mergeCell ref="C248:C249"/>
    <mergeCell ref="F277:F278"/>
    <mergeCell ref="E277:E278"/>
    <mergeCell ref="D277:D278"/>
    <mergeCell ref="A277:A278"/>
    <mergeCell ref="A279:A280"/>
    <mergeCell ref="B277:B278"/>
    <mergeCell ref="C277:C278"/>
    <mergeCell ref="F279:F280"/>
    <mergeCell ref="E279:E280"/>
    <mergeCell ref="D279:D280"/>
    <mergeCell ref="C279:C280"/>
    <mergeCell ref="B279:B280"/>
    <mergeCell ref="A281:A282"/>
    <mergeCell ref="B281:B282"/>
    <mergeCell ref="C281:C282"/>
    <mergeCell ref="D281:D282"/>
    <mergeCell ref="E281:E282"/>
    <mergeCell ref="F281:F282"/>
    <mergeCell ref="F283:F284"/>
    <mergeCell ref="E283:E284"/>
    <mergeCell ref="D283:D284"/>
    <mergeCell ref="C283:C284"/>
    <mergeCell ref="B283:B284"/>
    <mergeCell ref="A283:A284"/>
    <mergeCell ref="Q267:Q268"/>
    <mergeCell ref="I290:I291"/>
    <mergeCell ref="J290:J291"/>
    <mergeCell ref="K290:K291"/>
    <mergeCell ref="H290:H291"/>
    <mergeCell ref="A290:A291"/>
    <mergeCell ref="B290:B291"/>
    <mergeCell ref="C290:C291"/>
    <mergeCell ref="D290:D291"/>
    <mergeCell ref="E290:E291"/>
    <mergeCell ref="F290:F291"/>
    <mergeCell ref="G290:G291"/>
    <mergeCell ref="F285:F286"/>
    <mergeCell ref="E285:E286"/>
    <mergeCell ref="D285:D286"/>
    <mergeCell ref="C285:C286"/>
    <mergeCell ref="B285:B286"/>
    <mergeCell ref="A285:A286"/>
    <mergeCell ref="F287:F288"/>
    <mergeCell ref="E287:E288"/>
    <mergeCell ref="D287:D288"/>
    <mergeCell ref="C287:C288"/>
    <mergeCell ref="B287:B288"/>
    <mergeCell ref="A287:A288"/>
  </mergeCells>
  <conditionalFormatting sqref="K124:N124 L125:N125 K129:K133 K134:N136 K180:M180 H48 H10 K100:N101 M81:N81 K86:N86 H20:H21 H28 H36:H41 P49:P52 N59:N69 L79:L81 M102:N106 N107:N115 T38 T45:T46 N117:N118 L82:N82 K79 K77:M78 T59:T61 T98 T100 T102:T103 T106:T110 T112 K138:N138 K137 K306:O306 M79:M80 K179:O179 L201:N201 D338:G338 Q32:Q43 Q45:Q48 T63 H171:H172 O173 H211 K3:K5 Q4:Q7 L4:O8 Q11:Q30 K7:K12 N75:N80 K81:K82 M126:N133 K126 K143:N143 O168 H174:H176 K174:O175 O189:O190 H196 K196:O196 Q196 H198:H201 K204:O206 Q204:Q206 H204:H206 Q208 H208 K208 K211 Q211:Q213 H179:H183 Q144:Q157 H7 H4 H12 K224:O224 M221:O222 K222:L222 M223 O223 O220 K219 M220 L213:O219 K197:N198 H75 H64:H67 H71:H73 H69 L9:N12 M13:N17 K32:N32 K18:N18 M29:N31 L33:N33 M34:N35 L44:N49 H53 K53:L53 H59 H55 M50:N58 K55:L55 K59:M59 M60:M63 K64:M67 M68:M69 M70:N70 K69:L69 M74:N74 K71:N73 M76 K75:M75 H77:H79 H81:H84 M88:N88 L87:N87 H89:H93 K89:N93 M94:N96 H100:H102 H97:H98 M99:N99 K97:N98 K102:L102 H109 H106 K106:L106 M107:M114 K109:L109 H115:H117 M118 K115:M117 H119:H120 K119:N120 M121:N123 H124 H126 H143 H129:H141 F143 F139:F141 M142 K139:M141 K144:M146 M147:M153 K148:L148 K154:M158 K160:L160 K162:L162 K164:L164 M159:M167 K166:L166 K168:M171 M172:M173 K176:N176 M177:N178 H185 K181:O183 M184:O186 K185:L185 M188:N188 L187 L189 H193 L193 H86:H87 M85:N85 K83:N84 K20:N28 M19:N19 Q159 Q164:Q168 K36:K49 L36:N42 Q215:Q224 Q170:Q188 H279 N279 H281 K281 N281 H283 H285 H287 K283:L283 K285:L285 K287:L287 N283 N285 N287 N289:N296 Q297:Q306 K276:K277 Q228 Q226 Q231:Q232 Q234 Q240:Q243 Q248 Q250 M227:M253 Q252:Q253 Q245:Q246 M259 Q259 N227:N267 K292:K296 K289:K290 H292:H294 H289:H290 H274 H272 H298:H306 H296 K298:K305 Q269:Q287 K274:O274">
    <cfRule type="cellIs" dxfId="960" priority="8785" operator="equal">
      <formula>"Plan Mejoramiento"</formula>
    </cfRule>
    <cfRule type="cellIs" dxfId="959" priority="8786" operator="equal">
      <formula>"Acción Preventiva"</formula>
    </cfRule>
    <cfRule type="cellIs" dxfId="958" priority="8787" operator="equal">
      <formula>"Acción Correctiva"</formula>
    </cfRule>
  </conditionalFormatting>
  <conditionalFormatting sqref="K338:L338 P311:P312 T38 T45:T46 Q4:R7 T59:T61 T98 T100 T102:T103 T106:T110 T112 R201 R44:R67 T63 R69:R83 R86:R123 R204:R206 R208 R211:R224 R138:R188 R196:R198 R126:R136 R8:R42 R297:R306 R227:R267">
    <cfRule type="cellIs" dxfId="957" priority="8781" operator="equal">
      <formula>"Cerrada"</formula>
    </cfRule>
    <cfRule type="cellIs" dxfId="956" priority="8782" operator="equal">
      <formula>"Abierta"</formula>
    </cfRule>
  </conditionalFormatting>
  <conditionalFormatting sqref="K124 M139:M142 K148 M180 H48 H10 K69 K71:K73 K100:K102 K106 K109 K86 H20:H21 H28 H36:H41 P49:P52 N59:N73 K97:K98 N107:N115 T38 T45:T46 N117:N119 M107:M119 K89:K93 K115:K117 K77:K79 T59:T61 T98 T100 T102:T103 T106:T110 T112 M306:O306 M176:N178 M179:O179 M201:N201 D338:G338 Q32:Q43 Q45:Q48 T63 H171:H172 O173 H211 K3:K5 Q4:Q7 L4:O8 Q11:Q30 K7:K12 K75 K81:K84 M74:N106 K119:K120 K126 M120:N136 K129:K141 M138:N138 M143:N143 K143:K146 O168 M144:M173 M174:O175 H174:H176 O189:O190 H196 M196:O196 K196:K198 Q196 H198:H201 M204:O206 Q204:Q206 H204:H206 K204:K206 Q208 M208:O208 H208 K208 K211 Q211:Q213 K179:K183 K185 M181:O186 H179:H183 Q144:Q157 H7 H4 H12 K219 K224 K222 M224:O224 M223 O223 M221:O222 M220 O220 M211:O219 M197:N198 H75 H64:H67 H71:H73 H69 L9:N12 M13:N17 K32:N32 K18:N18 M29:N31 L33:N33 M34:N35 L44:N49 H53 K53:L53 H59 H55 M50:N58 K55:L55 K59:M59 M60:M73 K64:L67 H77:H79 H81:H84 H89:H93 H100:H102 H97:H98 H109 H106 H115:H117 H119:H120 H124 H126 H143 H129:H141 F143 F139:F141 K154:K158 K160 K162 K164 K166 K174:K176 K168:K171 H185 H193 H86:H87 K20:N28 M19:N19 Q159 Q164:Q168 K36:K49 L36:N42 Q215:Q224 Q170:Q188 H279 N279 H281 K281 N281 H283 H285 H287 K283 K285 K287 N283 N285 N287 N289:N296 Q297:Q306 K276:K277 K274 Q228 Q226 Q231:Q232 Q234 Q240:Q243 Q248 Q250 M227:M253 Q252:Q253 Q245:Q246 M259 Q259 N227:N267 K292:K296 K289:K290 H292:H294 H289:H290 H274 H272 H298:H306 H296 K298:K306 Q269:Q287 M269:O274">
    <cfRule type="cellIs" dxfId="955" priority="8780" operator="equal">
      <formula>"Corrección"</formula>
    </cfRule>
  </conditionalFormatting>
  <conditionalFormatting sqref="J124 L318:M318 AB318 J148 J53 J69 J71:J73 J100:J102 J106 J109 J86 J32 J59 J97:J98 J55 J64:J67 J89:J93 J115:J117 J77:J79 J201 J4:J18 J75 J81:J84 J119:J120 J126 J143:J146 J204:J206 J208 J211 J179:J183 J185 J219 J224 J222 J196:J198 J129:J141 J20:J28 J154:J158 J160 J162 J164 J166 J174:J176 J168:J171 J232 J234 J248 J250 J254 J252 J228 J226 J257:J263 J36:J50 J281 J283 J285 J287 J236 J238 J245:J246 J240:J243 J289:J290 J274 J272 J298:J306 J292:J296">
    <cfRule type="cellIs" dxfId="954" priority="8668" operator="equal">
      <formula>"Hallazgo Cerrado"</formula>
    </cfRule>
    <cfRule type="cellIs" dxfId="953" priority="8669" operator="equal">
      <formula>"Hallazgo Abierto"</formula>
    </cfRule>
  </conditionalFormatting>
  <conditionalFormatting sqref="E124 C318:D318 E148 E69 E71:E73 E100:E102 E106 E109 E53 E59 E86 E32 E97:E98 E55 E64:E67 E89:E93 E115:E117 E77:E79 E4 E7:E12 E75 E81:E84 E119:E120 E126 E129:E141 E143:E146 E196:E198 E204:E206 E208 E211 E179:E183 E185 E219 E222 E20:E28 E18 E154:E158 E160 E162 E164 E166 E174:E176 E168:E171 E254 E228 E224:E226 E257:E263 E36:E49 E279 E281 E283 E285 E287 E289:E290 E274:E277 E272 E298:E306 E292:E296">
    <cfRule type="cellIs" dxfId="952" priority="8777" operator="equal">
      <formula>"Institucional"</formula>
    </cfRule>
    <cfRule type="cellIs" dxfId="951" priority="8778" operator="equal">
      <formula>"Proceso"</formula>
    </cfRule>
  </conditionalFormatting>
  <conditionalFormatting sqref="AB318 X306 X129:X130 X134 J141 X24:X30 X32 X77 H7 J97:K97 X53 X22 X69 X71:X73 X59 X65:X67 X18:X19 X100:X102 X106 X109 X92 X97:X98 X115:X117 J90:K93 X90 X4:X5 X8:X12 X82:X84 X120 X139:X143 X36:X49 X226:X236 X238 X240:X243 X245:X262">
    <cfRule type="cellIs" dxfId="950" priority="6911" operator="equal">
      <formula>"Recomendación"</formula>
    </cfRule>
    <cfRule type="cellIs" dxfId="949" priority="6912" operator="equal">
      <formula>"No Conformidad"</formula>
    </cfRule>
  </conditionalFormatting>
  <conditionalFormatting sqref="V141 V81:V84 V90:V120 V129:V138 V196:V206 V208 V179:V186 V143:V176 V4:V32 V36:V79 V297:V302 V212:V292">
    <cfRule type="cellIs" dxfId="948" priority="4957" operator="equal">
      <formula>"No ha formulado PM"</formula>
    </cfRule>
    <cfRule type="cellIs" dxfId="947" priority="4958" operator="equal">
      <formula>"Oportuno"</formula>
    </cfRule>
    <cfRule type="cellIs" dxfId="946" priority="4960" operator="equal">
      <formula>"Inoportuno"</formula>
    </cfRule>
  </conditionalFormatting>
  <conditionalFormatting sqref="H313 C313 P318 I148 I32 I97:I117 I77:I79 I201 I59:I75 I81:I93 I119:I124 I126 I129:I146 I196:I198 I204:I206 I208 I211 I179:I183 I185 I219 I224 I222 I20:I28 I4:I18 I174:I176 I154:I158 I160 I162 I164 I168:I171 I166 I232 I234 I248 I250 I254 I252 I228 I226 I257:I263 I36:I55 I281 I283 I285 I287 I236 I238 I245:I246 I240:I243 I289:I290 I274 I272 I298:I305 I292:I296">
    <cfRule type="cellIs" dxfId="945" priority="3036" operator="equal">
      <formula>"Oportunidad de mejora"</formula>
    </cfRule>
    <cfRule type="cellIs" dxfId="944" priority="3290" operator="equal">
      <formula>"Recomendación"</formula>
    </cfRule>
    <cfRule type="cellIs" dxfId="943" priority="3291" operator="equal">
      <formula>"No Conformidad"</formula>
    </cfRule>
  </conditionalFormatting>
  <conditionalFormatting sqref="T40">
    <cfRule type="cellIs" dxfId="942" priority="1275" operator="equal">
      <formula>"Plan Mejoramiento"</formula>
    </cfRule>
    <cfRule type="cellIs" dxfId="941" priority="1276" operator="equal">
      <formula>"Acción Preventiva"</formula>
    </cfRule>
    <cfRule type="cellIs" dxfId="940" priority="1277" operator="equal">
      <formula>"Acción Correctiva"</formula>
    </cfRule>
  </conditionalFormatting>
  <conditionalFormatting sqref="T40">
    <cfRule type="cellIs" dxfId="939" priority="1274" operator="equal">
      <formula>"Corrección"</formula>
    </cfRule>
  </conditionalFormatting>
  <conditionalFormatting sqref="L137:N137">
    <cfRule type="cellIs" dxfId="938" priority="1271" operator="equal">
      <formula>"Plan Mejoramiento"</formula>
    </cfRule>
    <cfRule type="cellIs" dxfId="937" priority="1272" operator="equal">
      <formula>"Acción Preventiva"</formula>
    </cfRule>
    <cfRule type="cellIs" dxfId="936" priority="1273" operator="equal">
      <formula>"Acción Correctiva"</formula>
    </cfRule>
  </conditionalFormatting>
  <conditionalFormatting sqref="R137">
    <cfRule type="cellIs" dxfId="935" priority="1269" operator="equal">
      <formula>"Cerrada"</formula>
    </cfRule>
    <cfRule type="cellIs" dxfId="934" priority="1270" operator="equal">
      <formula>"Abierta"</formula>
    </cfRule>
  </conditionalFormatting>
  <conditionalFormatting sqref="M137:N137">
    <cfRule type="cellIs" dxfId="933" priority="1268" operator="equal">
      <formula>"Corrección"</formula>
    </cfRule>
  </conditionalFormatting>
  <conditionalFormatting sqref="T28">
    <cfRule type="cellIs" dxfId="932" priority="1250" operator="equal">
      <formula>"Plan Mejoramiento"</formula>
    </cfRule>
    <cfRule type="cellIs" dxfId="931" priority="1251" operator="equal">
      <formula>"Acción Preventiva"</formula>
    </cfRule>
    <cfRule type="cellIs" dxfId="930" priority="1252" operator="equal">
      <formula>"Acción Correctiva"</formula>
    </cfRule>
  </conditionalFormatting>
  <conditionalFormatting sqref="T28">
    <cfRule type="cellIs" dxfId="929" priority="1248" operator="equal">
      <formula>"Cerrada"</formula>
    </cfRule>
    <cfRule type="cellIs" dxfId="928" priority="1249" operator="equal">
      <formula>"Abierta"</formula>
    </cfRule>
  </conditionalFormatting>
  <conditionalFormatting sqref="T28">
    <cfRule type="cellIs" dxfId="927" priority="1247" operator="equal">
      <formula>"Corrección"</formula>
    </cfRule>
  </conditionalFormatting>
  <conditionalFormatting sqref="R124">
    <cfRule type="cellIs" dxfId="926" priority="1225" operator="equal">
      <formula>"Cerrada"</formula>
    </cfRule>
    <cfRule type="cellIs" dxfId="925" priority="1226" operator="equal">
      <formula>"Abierta"</formula>
    </cfRule>
  </conditionalFormatting>
  <conditionalFormatting sqref="R125">
    <cfRule type="cellIs" dxfId="924" priority="1215" operator="equal">
      <formula>"Cerrada"</formula>
    </cfRule>
    <cfRule type="cellIs" dxfId="923" priority="1216" operator="equal">
      <formula>"Abierta"</formula>
    </cfRule>
  </conditionalFormatting>
  <conditionalFormatting sqref="Q31">
    <cfRule type="cellIs" dxfId="922" priority="1212" operator="equal">
      <formula>"Plan Mejoramiento"</formula>
    </cfRule>
    <cfRule type="cellIs" dxfId="921" priority="1213" operator="equal">
      <formula>"Acción Preventiva"</formula>
    </cfRule>
    <cfRule type="cellIs" dxfId="920" priority="1214" operator="equal">
      <formula>"Acción Correctiva"</formula>
    </cfRule>
  </conditionalFormatting>
  <conditionalFormatting sqref="Q31">
    <cfRule type="cellIs" dxfId="919" priority="1211" operator="equal">
      <formula>"Corrección"</formula>
    </cfRule>
  </conditionalFormatting>
  <conditionalFormatting sqref="I187">
    <cfRule type="cellIs" dxfId="918" priority="1195" operator="equal">
      <formula>"Oportunidad de mejora"</formula>
    </cfRule>
    <cfRule type="cellIs" dxfId="917" priority="1196" operator="equal">
      <formula>"Recomendación"</formula>
    </cfRule>
    <cfRule type="cellIs" dxfId="916" priority="1197" operator="equal">
      <formula>"No Conformidad"</formula>
    </cfRule>
  </conditionalFormatting>
  <conditionalFormatting sqref="J187">
    <cfRule type="cellIs" dxfId="915" priority="1193" operator="equal">
      <formula>"Hallazgo Cerrado"</formula>
    </cfRule>
    <cfRule type="cellIs" dxfId="914" priority="1194" operator="equal">
      <formula>"Hallazgo Abierto"</formula>
    </cfRule>
  </conditionalFormatting>
  <conditionalFormatting sqref="K187 M187:N187">
    <cfRule type="cellIs" dxfId="913" priority="1190" operator="equal">
      <formula>"Plan Mejoramiento"</formula>
    </cfRule>
    <cfRule type="cellIs" dxfId="912" priority="1191" operator="equal">
      <formula>"Acción Preventiva"</formula>
    </cfRule>
    <cfRule type="cellIs" dxfId="911" priority="1192" operator="equal">
      <formula>"Acción Correctiva"</formula>
    </cfRule>
  </conditionalFormatting>
  <conditionalFormatting sqref="M187:N188 K187">
    <cfRule type="cellIs" dxfId="910" priority="1187" operator="equal">
      <formula>"Corrección"</formula>
    </cfRule>
  </conditionalFormatting>
  <conditionalFormatting sqref="V187">
    <cfRule type="cellIs" dxfId="909" priority="1184" operator="equal">
      <formula>"No ha formulado PM"</formula>
    </cfRule>
    <cfRule type="cellIs" dxfId="908" priority="1185" operator="equal">
      <formula>"Oportuno"</formula>
    </cfRule>
    <cfRule type="cellIs" dxfId="907" priority="1186" operator="equal">
      <formula>"Inoportuno"</formula>
    </cfRule>
  </conditionalFormatting>
  <conditionalFormatting sqref="E187">
    <cfRule type="cellIs" dxfId="906" priority="1182" operator="equal">
      <formula>"Institucional"</formula>
    </cfRule>
    <cfRule type="cellIs" dxfId="905" priority="1183" operator="equal">
      <formula>"Proceso"</formula>
    </cfRule>
  </conditionalFormatting>
  <conditionalFormatting sqref="H187">
    <cfRule type="cellIs" dxfId="904" priority="1179" operator="equal">
      <formula>"Plan Mejoramiento"</formula>
    </cfRule>
    <cfRule type="cellIs" dxfId="903" priority="1180" operator="equal">
      <formula>"Acción Preventiva"</formula>
    </cfRule>
    <cfRule type="cellIs" dxfId="902" priority="1181" operator="equal">
      <formula>"Acción Correctiva"</formula>
    </cfRule>
  </conditionalFormatting>
  <conditionalFormatting sqref="H187">
    <cfRule type="cellIs" dxfId="901" priority="1178" operator="equal">
      <formula>"Corrección"</formula>
    </cfRule>
  </conditionalFormatting>
  <conditionalFormatting sqref="V188">
    <cfRule type="cellIs" dxfId="900" priority="1173" operator="equal">
      <formula>"No ha formulado PM"</formula>
    </cfRule>
    <cfRule type="cellIs" dxfId="899" priority="1174" operator="equal">
      <formula>"Oportuno"</formula>
    </cfRule>
    <cfRule type="cellIs" dxfId="898" priority="1175" operator="equal">
      <formula>"Inoportuno"</formula>
    </cfRule>
  </conditionalFormatting>
  <conditionalFormatting sqref="O187:O188">
    <cfRule type="cellIs" dxfId="897" priority="1170" operator="equal">
      <formula>"Plan Mejoramiento"</formula>
    </cfRule>
    <cfRule type="cellIs" dxfId="896" priority="1171" operator="equal">
      <formula>"Acción Preventiva"</formula>
    </cfRule>
    <cfRule type="cellIs" dxfId="895" priority="1172" operator="equal">
      <formula>"Acción Correctiva"</formula>
    </cfRule>
  </conditionalFormatting>
  <conditionalFormatting sqref="O187:O188">
    <cfRule type="cellIs" dxfId="894" priority="1169" operator="equal">
      <formula>"Corrección"</formula>
    </cfRule>
  </conditionalFormatting>
  <conditionalFormatting sqref="H189">
    <cfRule type="cellIs" dxfId="893" priority="1091" operator="equal">
      <formula>"Plan Mejoramiento"</formula>
    </cfRule>
    <cfRule type="cellIs" dxfId="892" priority="1092" operator="equal">
      <formula>"Acción Preventiva"</formula>
    </cfRule>
    <cfRule type="cellIs" dxfId="891" priority="1093" operator="equal">
      <formula>"Acción Correctiva"</formula>
    </cfRule>
  </conditionalFormatting>
  <conditionalFormatting sqref="H189">
    <cfRule type="cellIs" dxfId="890" priority="1090" operator="equal">
      <formula>"Corrección"</formula>
    </cfRule>
  </conditionalFormatting>
  <conditionalFormatting sqref="E189 E193 E191">
    <cfRule type="cellIs" dxfId="889" priority="1084" operator="equal">
      <formula>"Institucional"</formula>
    </cfRule>
    <cfRule type="cellIs" dxfId="888" priority="1085" operator="equal">
      <formula>"Proceso"</formula>
    </cfRule>
  </conditionalFormatting>
  <conditionalFormatting sqref="I189 I193 I191">
    <cfRule type="cellIs" dxfId="887" priority="1081" operator="equal">
      <formula>"Oportunidad de mejora"</formula>
    </cfRule>
    <cfRule type="cellIs" dxfId="886" priority="1082" operator="equal">
      <formula>"Recomendación"</formula>
    </cfRule>
    <cfRule type="cellIs" dxfId="885" priority="1083" operator="equal">
      <formula>"No Conformidad"</formula>
    </cfRule>
  </conditionalFormatting>
  <conditionalFormatting sqref="J189 J193 J191">
    <cfRule type="cellIs" dxfId="884" priority="1079" operator="equal">
      <formula>"Hallazgo Cerrado"</formula>
    </cfRule>
    <cfRule type="cellIs" dxfId="883" priority="1080" operator="equal">
      <formula>"Hallazgo Abierto"</formula>
    </cfRule>
  </conditionalFormatting>
  <conditionalFormatting sqref="K189 M193 K193 K191 M189:N191">
    <cfRule type="cellIs" dxfId="882" priority="1076" operator="equal">
      <formula>"Plan Mejoramiento"</formula>
    </cfRule>
    <cfRule type="cellIs" dxfId="881" priority="1077" operator="equal">
      <formula>"Acción Preventiva"</formula>
    </cfRule>
    <cfRule type="cellIs" dxfId="880" priority="1078" operator="equal">
      <formula>"Acción Correctiva"</formula>
    </cfRule>
  </conditionalFormatting>
  <conditionalFormatting sqref="K189 M193 K193 K191 M189:N191">
    <cfRule type="cellIs" dxfId="879" priority="1073" operator="equal">
      <formula>"Corrección"</formula>
    </cfRule>
  </conditionalFormatting>
  <conditionalFormatting sqref="V189 V193 V191">
    <cfRule type="cellIs" dxfId="878" priority="1070" operator="equal">
      <formula>"No ha formulado PM"</formula>
    </cfRule>
    <cfRule type="cellIs" dxfId="877" priority="1071" operator="equal">
      <formula>"Oportuno"</formula>
    </cfRule>
    <cfRule type="cellIs" dxfId="876" priority="1072" operator="equal">
      <formula>"Inoportuno"</formula>
    </cfRule>
  </conditionalFormatting>
  <conditionalFormatting sqref="R193 R189:R191">
    <cfRule type="cellIs" dxfId="875" priority="1065" operator="equal">
      <formula>"Cerrada"</formula>
    </cfRule>
    <cfRule type="cellIs" dxfId="874" priority="1066" operator="equal">
      <formula>"Abierta"</formula>
    </cfRule>
  </conditionalFormatting>
  <conditionalFormatting sqref="H191">
    <cfRule type="cellIs" dxfId="873" priority="1035" operator="equal">
      <formula>"Plan Mejoramiento"</formula>
    </cfRule>
    <cfRule type="cellIs" dxfId="872" priority="1036" operator="equal">
      <formula>"Acción Preventiva"</formula>
    </cfRule>
    <cfRule type="cellIs" dxfId="871" priority="1037" operator="equal">
      <formula>"Acción Correctiva"</formula>
    </cfRule>
  </conditionalFormatting>
  <conditionalFormatting sqref="H191">
    <cfRule type="cellIs" dxfId="870" priority="1034" operator="equal">
      <formula>"Corrección"</formula>
    </cfRule>
  </conditionalFormatting>
  <conditionalFormatting sqref="M192:N192">
    <cfRule type="cellIs" dxfId="869" priority="1024" operator="equal">
      <formula>"Plan Mejoramiento"</formula>
    </cfRule>
    <cfRule type="cellIs" dxfId="868" priority="1025" operator="equal">
      <formula>"Acción Preventiva"</formula>
    </cfRule>
    <cfRule type="cellIs" dxfId="867" priority="1026" operator="equal">
      <formula>"Acción Correctiva"</formula>
    </cfRule>
  </conditionalFormatting>
  <conditionalFormatting sqref="M192:N192">
    <cfRule type="cellIs" dxfId="866" priority="1023" operator="equal">
      <formula>"Corrección"</formula>
    </cfRule>
  </conditionalFormatting>
  <conditionalFormatting sqref="V192">
    <cfRule type="cellIs" dxfId="865" priority="1020" operator="equal">
      <formula>"No ha formulado PM"</formula>
    </cfRule>
    <cfRule type="cellIs" dxfId="864" priority="1021" operator="equal">
      <formula>"Oportuno"</formula>
    </cfRule>
    <cfRule type="cellIs" dxfId="863" priority="1022" operator="equal">
      <formula>"Inoportuno"</formula>
    </cfRule>
  </conditionalFormatting>
  <conditionalFormatting sqref="L191">
    <cfRule type="cellIs" dxfId="862" priority="1017" operator="equal">
      <formula>"Plan Mejoramiento"</formula>
    </cfRule>
    <cfRule type="cellIs" dxfId="861" priority="1018" operator="equal">
      <formula>"Acción Preventiva"</formula>
    </cfRule>
    <cfRule type="cellIs" dxfId="860" priority="1019" operator="equal">
      <formula>"Acción Correctiva"</formula>
    </cfRule>
  </conditionalFormatting>
  <conditionalFormatting sqref="R192">
    <cfRule type="cellIs" dxfId="859" priority="1015" operator="equal">
      <formula>"Cerrada"</formula>
    </cfRule>
    <cfRule type="cellIs" dxfId="858" priority="1016" operator="equal">
      <formula>"Abierta"</formula>
    </cfRule>
  </conditionalFormatting>
  <conditionalFormatting sqref="O192">
    <cfRule type="cellIs" dxfId="857" priority="1012" operator="equal">
      <formula>"Plan Mejoramiento"</formula>
    </cfRule>
    <cfRule type="cellIs" dxfId="856" priority="1013" operator="equal">
      <formula>"Acción Preventiva"</formula>
    </cfRule>
    <cfRule type="cellIs" dxfId="855" priority="1014" operator="equal">
      <formula>"Acción Correctiva"</formula>
    </cfRule>
  </conditionalFormatting>
  <conditionalFormatting sqref="O192">
    <cfRule type="cellIs" dxfId="854" priority="1011" operator="equal">
      <formula>"Corrección"</formula>
    </cfRule>
  </conditionalFormatting>
  <conditionalFormatting sqref="M194:M195">
    <cfRule type="cellIs" dxfId="853" priority="997" operator="equal">
      <formula>"Plan Mejoramiento"</formula>
    </cfRule>
    <cfRule type="cellIs" dxfId="852" priority="998" operator="equal">
      <formula>"Acción Preventiva"</formula>
    </cfRule>
    <cfRule type="cellIs" dxfId="851" priority="999" operator="equal">
      <formula>"Acción Correctiva"</formula>
    </cfRule>
  </conditionalFormatting>
  <conditionalFormatting sqref="M194:M195">
    <cfRule type="cellIs" dxfId="850" priority="996" operator="equal">
      <formula>"Corrección"</formula>
    </cfRule>
  </conditionalFormatting>
  <conditionalFormatting sqref="V194">
    <cfRule type="cellIs" dxfId="849" priority="993" operator="equal">
      <formula>"No ha formulado PM"</formula>
    </cfRule>
    <cfRule type="cellIs" dxfId="848" priority="994" operator="equal">
      <formula>"Oportuno"</formula>
    </cfRule>
    <cfRule type="cellIs" dxfId="847" priority="995" operator="equal">
      <formula>"Inoportuno"</formula>
    </cfRule>
  </conditionalFormatting>
  <conditionalFormatting sqref="R194:R195">
    <cfRule type="cellIs" dxfId="846" priority="988" operator="equal">
      <formula>"Cerrada"</formula>
    </cfRule>
    <cfRule type="cellIs" dxfId="845" priority="989" operator="equal">
      <formula>"Abierta"</formula>
    </cfRule>
  </conditionalFormatting>
  <conditionalFormatting sqref="O193:O195">
    <cfRule type="cellIs" dxfId="844" priority="985" operator="equal">
      <formula>"Plan Mejoramiento"</formula>
    </cfRule>
    <cfRule type="cellIs" dxfId="843" priority="986" operator="equal">
      <formula>"Acción Preventiva"</formula>
    </cfRule>
    <cfRule type="cellIs" dxfId="842" priority="987" operator="equal">
      <formula>"Acción Correctiva"</formula>
    </cfRule>
  </conditionalFormatting>
  <conditionalFormatting sqref="O193:O195">
    <cfRule type="cellIs" dxfId="841" priority="984" operator="equal">
      <formula>"Corrección"</formula>
    </cfRule>
  </conditionalFormatting>
  <conditionalFormatting sqref="T36">
    <cfRule type="cellIs" dxfId="840" priority="954" operator="equal">
      <formula>"Plan Mejoramiento"</formula>
    </cfRule>
    <cfRule type="cellIs" dxfId="839" priority="955" operator="equal">
      <formula>"Acción Preventiva"</formula>
    </cfRule>
    <cfRule type="cellIs" dxfId="838" priority="956" operator="equal">
      <formula>"Acción Correctiva"</formula>
    </cfRule>
  </conditionalFormatting>
  <conditionalFormatting sqref="T36">
    <cfRule type="cellIs" dxfId="837" priority="953" operator="equal">
      <formula>"Corrección"</formula>
    </cfRule>
  </conditionalFormatting>
  <conditionalFormatting sqref="T39">
    <cfRule type="cellIs" dxfId="836" priority="950" operator="equal">
      <formula>"Plan Mejoramiento"</formula>
    </cfRule>
    <cfRule type="cellIs" dxfId="835" priority="951" operator="equal">
      <formula>"Acción Preventiva"</formula>
    </cfRule>
    <cfRule type="cellIs" dxfId="834" priority="952" operator="equal">
      <formula>"Acción Correctiva"</formula>
    </cfRule>
  </conditionalFormatting>
  <conditionalFormatting sqref="T39">
    <cfRule type="cellIs" dxfId="833" priority="949" operator="equal">
      <formula>"Corrección"</formula>
    </cfRule>
  </conditionalFormatting>
  <conditionalFormatting sqref="T81">
    <cfRule type="cellIs" dxfId="832" priority="946" operator="equal">
      <formula>"Plan Mejoramiento"</formula>
    </cfRule>
    <cfRule type="cellIs" dxfId="831" priority="947" operator="equal">
      <formula>"Acción Preventiva"</formula>
    </cfRule>
    <cfRule type="cellIs" dxfId="830" priority="948" operator="equal">
      <formula>"Acción Correctiva"</formula>
    </cfRule>
  </conditionalFormatting>
  <conditionalFormatting sqref="T81">
    <cfRule type="cellIs" dxfId="829" priority="945" operator="equal">
      <formula>"Corrección"</formula>
    </cfRule>
  </conditionalFormatting>
  <conditionalFormatting sqref="T77">
    <cfRule type="cellIs" dxfId="828" priority="942" operator="equal">
      <formula>"Plan Mejoramiento"</formula>
    </cfRule>
    <cfRule type="cellIs" dxfId="827" priority="943" operator="equal">
      <formula>"Acción Preventiva"</formula>
    </cfRule>
    <cfRule type="cellIs" dxfId="826" priority="944" operator="equal">
      <formula>"Acción Correctiva"</formula>
    </cfRule>
  </conditionalFormatting>
  <conditionalFormatting sqref="T77">
    <cfRule type="cellIs" dxfId="825" priority="940" operator="equal">
      <formula>"Cerrada"</formula>
    </cfRule>
    <cfRule type="cellIs" dxfId="824" priority="941" operator="equal">
      <formula>"Abierta"</formula>
    </cfRule>
  </conditionalFormatting>
  <conditionalFormatting sqref="T77">
    <cfRule type="cellIs" dxfId="823" priority="939" operator="equal">
      <formula>"Corrección"</formula>
    </cfRule>
  </conditionalFormatting>
  <conditionalFormatting sqref="T78">
    <cfRule type="cellIs" dxfId="822" priority="936" operator="equal">
      <formula>"Plan Mejoramiento"</formula>
    </cfRule>
    <cfRule type="cellIs" dxfId="821" priority="937" operator="equal">
      <formula>"Acción Preventiva"</formula>
    </cfRule>
    <cfRule type="cellIs" dxfId="820" priority="938" operator="equal">
      <formula>"Acción Correctiva"</formula>
    </cfRule>
  </conditionalFormatting>
  <conditionalFormatting sqref="T78">
    <cfRule type="cellIs" dxfId="819" priority="934" operator="equal">
      <formula>"Cerrada"</formula>
    </cfRule>
    <cfRule type="cellIs" dxfId="818" priority="935" operator="equal">
      <formula>"Abierta"</formula>
    </cfRule>
  </conditionalFormatting>
  <conditionalFormatting sqref="T78">
    <cfRule type="cellIs" dxfId="817" priority="933" operator="equal">
      <formula>"Corrección"</formula>
    </cfRule>
  </conditionalFormatting>
  <conditionalFormatting sqref="E201">
    <cfRule type="cellIs" dxfId="816" priority="902" operator="equal">
      <formula>"Institucional"</formula>
    </cfRule>
    <cfRule type="cellIs" dxfId="815" priority="903" operator="equal">
      <formula>"Proceso"</formula>
    </cfRule>
  </conditionalFormatting>
  <conditionalFormatting sqref="K201">
    <cfRule type="cellIs" dxfId="814" priority="896" operator="equal">
      <formula>"Plan Mejoramiento"</formula>
    </cfRule>
    <cfRule type="cellIs" dxfId="813" priority="897" operator="equal">
      <formula>"Acción Preventiva"</formula>
    </cfRule>
    <cfRule type="cellIs" dxfId="812" priority="898" operator="equal">
      <formula>"Acción Correctiva"</formula>
    </cfRule>
  </conditionalFormatting>
  <conditionalFormatting sqref="K201">
    <cfRule type="cellIs" dxfId="811" priority="895" operator="equal">
      <formula>"Corrección"</formula>
    </cfRule>
  </conditionalFormatting>
  <conditionalFormatting sqref="T32">
    <cfRule type="cellIs" dxfId="810" priority="882" operator="equal">
      <formula>"Plan Mejoramiento"</formula>
    </cfRule>
    <cfRule type="cellIs" dxfId="809" priority="883" operator="equal">
      <formula>"Acción Preventiva"</formula>
    </cfRule>
    <cfRule type="cellIs" dxfId="808" priority="884" operator="equal">
      <formula>"Acción Correctiva"</formula>
    </cfRule>
  </conditionalFormatting>
  <conditionalFormatting sqref="T32">
    <cfRule type="cellIs" dxfId="807" priority="881" operator="equal">
      <formula>"Corrección"</formula>
    </cfRule>
  </conditionalFormatting>
  <conditionalFormatting sqref="X33:X35">
    <cfRule type="cellIs" dxfId="806" priority="879" operator="equal">
      <formula>"Recomendación"</formula>
    </cfRule>
    <cfRule type="cellIs" dxfId="805" priority="880" operator="equal">
      <formula>"No Conformidad"</formula>
    </cfRule>
  </conditionalFormatting>
  <conditionalFormatting sqref="V33:V35">
    <cfRule type="cellIs" dxfId="804" priority="876" operator="equal">
      <formula>"No ha formulado PM"</formula>
    </cfRule>
    <cfRule type="cellIs" dxfId="803" priority="877" operator="equal">
      <formula>"Oportuno"</formula>
    </cfRule>
    <cfRule type="cellIs" dxfId="802" priority="878" operator="equal">
      <formula>"Inoportuno"</formula>
    </cfRule>
  </conditionalFormatting>
  <conditionalFormatting sqref="V80">
    <cfRule type="cellIs" dxfId="801" priority="873" operator="equal">
      <formula>"No ha formulado PM"</formula>
    </cfRule>
    <cfRule type="cellIs" dxfId="800" priority="874" operator="equal">
      <formula>"Oportuno"</formula>
    </cfRule>
    <cfRule type="cellIs" dxfId="799" priority="875" operator="equal">
      <formula>"Inoportuno"</formula>
    </cfRule>
  </conditionalFormatting>
  <conditionalFormatting sqref="V190">
    <cfRule type="cellIs" dxfId="798" priority="811" operator="equal">
      <formula>"No ha formulado PM"</formula>
    </cfRule>
    <cfRule type="cellIs" dxfId="797" priority="812" operator="equal">
      <formula>"Oportuno"</formula>
    </cfRule>
    <cfRule type="cellIs" dxfId="796" priority="813" operator="equal">
      <formula>"Inoportuno"</formula>
    </cfRule>
  </conditionalFormatting>
  <conditionalFormatting sqref="O191">
    <cfRule type="cellIs" dxfId="795" priority="808" operator="equal">
      <formula>"Plan Mejoramiento"</formula>
    </cfRule>
    <cfRule type="cellIs" dxfId="794" priority="809" operator="equal">
      <formula>"Acción Preventiva"</formula>
    </cfRule>
    <cfRule type="cellIs" dxfId="793" priority="810" operator="equal">
      <formula>"Acción Correctiva"</formula>
    </cfRule>
  </conditionalFormatting>
  <conditionalFormatting sqref="O191">
    <cfRule type="cellIs" dxfId="792" priority="807" operator="equal">
      <formula>"Corrección"</formula>
    </cfRule>
  </conditionalFormatting>
  <conditionalFormatting sqref="V195">
    <cfRule type="cellIs" dxfId="791" priority="804" operator="equal">
      <formula>"No ha formulado PM"</formula>
    </cfRule>
    <cfRule type="cellIs" dxfId="790" priority="805" operator="equal">
      <formula>"Oportuno"</formula>
    </cfRule>
    <cfRule type="cellIs" dxfId="789" priority="806" operator="equal">
      <formula>"Inoportuno"</formula>
    </cfRule>
  </conditionalFormatting>
  <conditionalFormatting sqref="V177:V178">
    <cfRule type="cellIs" dxfId="788" priority="794" operator="equal">
      <formula>"No ha formulado PM"</formula>
    </cfRule>
    <cfRule type="cellIs" dxfId="787" priority="795" operator="equal">
      <formula>"Oportuno"</formula>
    </cfRule>
    <cfRule type="cellIs" dxfId="786" priority="796" operator="equal">
      <formula>"Inoportuno"</formula>
    </cfRule>
  </conditionalFormatting>
  <conditionalFormatting sqref="T54">
    <cfRule type="cellIs" dxfId="785" priority="791" operator="equal">
      <formula>"Plan Mejoramiento"</formula>
    </cfRule>
    <cfRule type="cellIs" dxfId="784" priority="792" operator="equal">
      <formula>"Acción Preventiva"</formula>
    </cfRule>
    <cfRule type="cellIs" dxfId="783" priority="793" operator="equal">
      <formula>"Acción Correctiva"</formula>
    </cfRule>
  </conditionalFormatting>
  <conditionalFormatting sqref="T54">
    <cfRule type="cellIs" dxfId="782" priority="790" operator="equal">
      <formula>"Corrección"</formula>
    </cfRule>
  </conditionalFormatting>
  <conditionalFormatting sqref="T53">
    <cfRule type="cellIs" dxfId="781" priority="787" operator="equal">
      <formula>"Plan Mejoramiento"</formula>
    </cfRule>
    <cfRule type="cellIs" dxfId="780" priority="788" operator="equal">
      <formula>"Acción Preventiva"</formula>
    </cfRule>
    <cfRule type="cellIs" dxfId="779" priority="789" operator="equal">
      <formula>"Acción Correctiva"</formula>
    </cfRule>
  </conditionalFormatting>
  <conditionalFormatting sqref="T53">
    <cfRule type="cellIs" dxfId="778" priority="786" operator="equal">
      <formula>"Corrección"</formula>
    </cfRule>
  </conditionalFormatting>
  <conditionalFormatting sqref="T126">
    <cfRule type="cellIs" dxfId="777" priority="783" operator="equal">
      <formula>"Plan Mejoramiento"</formula>
    </cfRule>
    <cfRule type="cellIs" dxfId="776" priority="784" operator="equal">
      <formula>"Acción Preventiva"</formula>
    </cfRule>
    <cfRule type="cellIs" dxfId="775" priority="785" operator="equal">
      <formula>"Acción Correctiva"</formula>
    </cfRule>
  </conditionalFormatting>
  <conditionalFormatting sqref="T126">
    <cfRule type="cellIs" dxfId="774" priority="782" operator="equal">
      <formula>"Corrección"</formula>
    </cfRule>
  </conditionalFormatting>
  <conditionalFormatting sqref="T127">
    <cfRule type="cellIs" dxfId="773" priority="779" operator="equal">
      <formula>"Plan Mejoramiento"</formula>
    </cfRule>
    <cfRule type="cellIs" dxfId="772" priority="780" operator="equal">
      <formula>"Acción Preventiva"</formula>
    </cfRule>
    <cfRule type="cellIs" dxfId="771" priority="781" operator="equal">
      <formula>"Acción Correctiva"</formula>
    </cfRule>
  </conditionalFormatting>
  <conditionalFormatting sqref="T127">
    <cfRule type="cellIs" dxfId="770" priority="778" operator="equal">
      <formula>"Corrección"</formula>
    </cfRule>
  </conditionalFormatting>
  <conditionalFormatting sqref="T128">
    <cfRule type="cellIs" dxfId="769" priority="775" operator="equal">
      <formula>"Plan Mejoramiento"</formula>
    </cfRule>
    <cfRule type="cellIs" dxfId="768" priority="776" operator="equal">
      <formula>"Acción Preventiva"</formula>
    </cfRule>
    <cfRule type="cellIs" dxfId="767" priority="777" operator="equal">
      <formula>"Acción Correctiva"</formula>
    </cfRule>
  </conditionalFormatting>
  <conditionalFormatting sqref="T128">
    <cfRule type="cellIs" dxfId="766" priority="774" operator="equal">
      <formula>"Corrección"</formula>
    </cfRule>
  </conditionalFormatting>
  <conditionalFormatting sqref="T129">
    <cfRule type="cellIs" dxfId="765" priority="771" operator="equal">
      <formula>"Plan Mejoramiento"</formula>
    </cfRule>
    <cfRule type="cellIs" dxfId="764" priority="772" operator="equal">
      <formula>"Acción Preventiva"</formula>
    </cfRule>
    <cfRule type="cellIs" dxfId="763" priority="773" operator="equal">
      <formula>"Acción Correctiva"</formula>
    </cfRule>
  </conditionalFormatting>
  <conditionalFormatting sqref="T129">
    <cfRule type="cellIs" dxfId="762" priority="770" operator="equal">
      <formula>"Corrección"</formula>
    </cfRule>
  </conditionalFormatting>
  <conditionalFormatting sqref="T130">
    <cfRule type="cellIs" dxfId="761" priority="767" operator="equal">
      <formula>"Plan Mejoramiento"</formula>
    </cfRule>
    <cfRule type="cellIs" dxfId="760" priority="768" operator="equal">
      <formula>"Acción Preventiva"</formula>
    </cfRule>
    <cfRule type="cellIs" dxfId="759" priority="769" operator="equal">
      <formula>"Acción Correctiva"</formula>
    </cfRule>
  </conditionalFormatting>
  <conditionalFormatting sqref="T130">
    <cfRule type="cellIs" dxfId="758" priority="766" operator="equal">
      <formula>"Corrección"</formula>
    </cfRule>
  </conditionalFormatting>
  <conditionalFormatting sqref="Q203 L202:O203 H202:H203 H207 M207:O207 Q207">
    <cfRule type="cellIs" dxfId="757" priority="763" operator="equal">
      <formula>"Plan Mejoramiento"</formula>
    </cfRule>
    <cfRule type="cellIs" dxfId="756" priority="764" operator="equal">
      <formula>"Acción Preventiva"</formula>
    </cfRule>
    <cfRule type="cellIs" dxfId="755" priority="765" operator="equal">
      <formula>"Acción Correctiva"</formula>
    </cfRule>
  </conditionalFormatting>
  <conditionalFormatting sqref="R202:R203 R207">
    <cfRule type="cellIs" dxfId="754" priority="761" operator="equal">
      <formula>"Cerrada"</formula>
    </cfRule>
    <cfRule type="cellIs" dxfId="753" priority="762" operator="equal">
      <formula>"Abierta"</formula>
    </cfRule>
  </conditionalFormatting>
  <conditionalFormatting sqref="Q203 M202:O203 H202:H203 H207 M207:O207 Q207">
    <cfRule type="cellIs" dxfId="752" priority="760" operator="equal">
      <formula>"Corrección"</formula>
    </cfRule>
  </conditionalFormatting>
  <conditionalFormatting sqref="J207">
    <cfRule type="cellIs" dxfId="751" priority="758" operator="equal">
      <formula>"Hallazgo Cerrado"</formula>
    </cfRule>
    <cfRule type="cellIs" dxfId="750" priority="759" operator="equal">
      <formula>"Hallazgo Abierto"</formula>
    </cfRule>
  </conditionalFormatting>
  <conditionalFormatting sqref="I207">
    <cfRule type="cellIs" dxfId="749" priority="752" operator="equal">
      <formula>"Oportunidad de mejora"</formula>
    </cfRule>
    <cfRule type="cellIs" dxfId="748" priority="753" operator="equal">
      <formula>"Recomendación"</formula>
    </cfRule>
    <cfRule type="cellIs" dxfId="747" priority="754" operator="equal">
      <formula>"No Conformidad"</formula>
    </cfRule>
  </conditionalFormatting>
  <conditionalFormatting sqref="E207">
    <cfRule type="cellIs" dxfId="746" priority="750" operator="equal">
      <formula>"Institucional"</formula>
    </cfRule>
    <cfRule type="cellIs" dxfId="745" priority="751" operator="equal">
      <formula>"Proceso"</formula>
    </cfRule>
  </conditionalFormatting>
  <conditionalFormatting sqref="K207">
    <cfRule type="cellIs" dxfId="744" priority="747" operator="equal">
      <formula>"Plan Mejoramiento"</formula>
    </cfRule>
    <cfRule type="cellIs" dxfId="743" priority="748" operator="equal">
      <formula>"Acción Preventiva"</formula>
    </cfRule>
    <cfRule type="cellIs" dxfId="742" priority="749" operator="equal">
      <formula>"Acción Correctiva"</formula>
    </cfRule>
  </conditionalFormatting>
  <conditionalFormatting sqref="K207">
    <cfRule type="cellIs" dxfId="741" priority="746" operator="equal">
      <formula>"Corrección"</formula>
    </cfRule>
  </conditionalFormatting>
  <conditionalFormatting sqref="O201">
    <cfRule type="cellIs" dxfId="740" priority="724" operator="equal">
      <formula>"Plan Mejoramiento"</formula>
    </cfRule>
    <cfRule type="cellIs" dxfId="739" priority="725" operator="equal">
      <formula>"Acción Preventiva"</formula>
    </cfRule>
    <cfRule type="cellIs" dxfId="738" priority="726" operator="equal">
      <formula>"Acción Correctiva"</formula>
    </cfRule>
  </conditionalFormatting>
  <conditionalFormatting sqref="O201">
    <cfRule type="cellIs" dxfId="737" priority="723" operator="equal">
      <formula>"Corrección"</formula>
    </cfRule>
  </conditionalFormatting>
  <conditionalFormatting sqref="T124">
    <cfRule type="cellIs" dxfId="736" priority="720" operator="equal">
      <formula>"Plan Mejoramiento"</formula>
    </cfRule>
    <cfRule type="cellIs" dxfId="735" priority="721" operator="equal">
      <formula>"Acción Preventiva"</formula>
    </cfRule>
    <cfRule type="cellIs" dxfId="734" priority="722" operator="equal">
      <formula>"Acción Correctiva"</formula>
    </cfRule>
  </conditionalFormatting>
  <conditionalFormatting sqref="T124">
    <cfRule type="cellIs" dxfId="733" priority="719" operator="equal">
      <formula>"Corrección"</formula>
    </cfRule>
  </conditionalFormatting>
  <conditionalFormatting sqref="T125">
    <cfRule type="cellIs" dxfId="732" priority="716" operator="equal">
      <formula>"Plan Mejoramiento"</formula>
    </cfRule>
    <cfRule type="cellIs" dxfId="731" priority="717" operator="equal">
      <formula>"Acción Preventiva"</formula>
    </cfRule>
    <cfRule type="cellIs" dxfId="730" priority="718" operator="equal">
      <formula>"Acción Correctiva"</formula>
    </cfRule>
  </conditionalFormatting>
  <conditionalFormatting sqref="T125">
    <cfRule type="cellIs" dxfId="729" priority="715" operator="equal">
      <formula>"Corrección"</formula>
    </cfRule>
  </conditionalFormatting>
  <conditionalFormatting sqref="E202:E203">
    <cfRule type="cellIs" dxfId="728" priority="709" operator="equal">
      <formula>"Institucional"</formula>
    </cfRule>
    <cfRule type="cellIs" dxfId="727" priority="710" operator="equal">
      <formula>"Proceso"</formula>
    </cfRule>
  </conditionalFormatting>
  <conditionalFormatting sqref="J202:J203">
    <cfRule type="cellIs" dxfId="726" priority="707" operator="equal">
      <formula>"Hallazgo Cerrado"</formula>
    </cfRule>
    <cfRule type="cellIs" dxfId="725" priority="708" operator="equal">
      <formula>"Hallazgo Abierto"</formula>
    </cfRule>
  </conditionalFormatting>
  <conditionalFormatting sqref="I202:I203">
    <cfRule type="cellIs" dxfId="724" priority="704" operator="equal">
      <formula>"Oportunidad de mejora"</formula>
    </cfRule>
    <cfRule type="cellIs" dxfId="723" priority="705" operator="equal">
      <formula>"Recomendación"</formula>
    </cfRule>
    <cfRule type="cellIs" dxfId="722" priority="706" operator="equal">
      <formula>"No Conformidad"</formula>
    </cfRule>
  </conditionalFormatting>
  <conditionalFormatting sqref="K202:K203">
    <cfRule type="cellIs" dxfId="721" priority="701" operator="equal">
      <formula>"Plan Mejoramiento"</formula>
    </cfRule>
    <cfRule type="cellIs" dxfId="720" priority="702" operator="equal">
      <formula>"Acción Preventiva"</formula>
    </cfRule>
    <cfRule type="cellIs" dxfId="719" priority="703" operator="equal">
      <formula>"Acción Correctiva"</formula>
    </cfRule>
  </conditionalFormatting>
  <conditionalFormatting sqref="K202:K203">
    <cfRule type="cellIs" dxfId="718" priority="700" operator="equal">
      <formula>"Corrección"</formula>
    </cfRule>
  </conditionalFormatting>
  <conditionalFormatting sqref="H269:H271 L225:O225 Q225 L297:O305 M268 O268 M226 O226 L269:O272 H276:H277 L276:O276 M275 O275 M277:M287 O277:O287 M273:O273">
    <cfRule type="cellIs" dxfId="717" priority="697" operator="equal">
      <formula>"Plan Mejoramiento"</formula>
    </cfRule>
    <cfRule type="cellIs" dxfId="716" priority="698" operator="equal">
      <formula>"Acción Preventiva"</formula>
    </cfRule>
    <cfRule type="cellIs" dxfId="715" priority="699" operator="equal">
      <formula>"Acción Correctiva"</formula>
    </cfRule>
  </conditionalFormatting>
  <conditionalFormatting sqref="R225:R226 R268:R270 R276:R287">
    <cfRule type="cellIs" dxfId="714" priority="695" operator="equal">
      <formula>"Cerrada"</formula>
    </cfRule>
    <cfRule type="cellIs" dxfId="713" priority="696" operator="equal">
      <formula>"Abierta"</formula>
    </cfRule>
  </conditionalFormatting>
  <conditionalFormatting sqref="H269:H271 M225:O225 Q225 M297:O305 M268 O268 M226 O226 H276:H277 M276:O276 M275 O275 M277:M287 O277:O287">
    <cfRule type="cellIs" dxfId="712" priority="694" operator="equal">
      <formula>"Corrección"</formula>
    </cfRule>
  </conditionalFormatting>
  <conditionalFormatting sqref="J225 J269:J271 J276:J277">
    <cfRule type="cellIs" dxfId="711" priority="692" operator="equal">
      <formula>"Hallazgo Cerrado"</formula>
    </cfRule>
    <cfRule type="cellIs" dxfId="710" priority="693" operator="equal">
      <formula>"Hallazgo Abierto"</formula>
    </cfRule>
  </conditionalFormatting>
  <conditionalFormatting sqref="I225 I269:I271 I276:I277">
    <cfRule type="cellIs" dxfId="709" priority="686" operator="equal">
      <formula>"Oportunidad de mejora"</formula>
    </cfRule>
    <cfRule type="cellIs" dxfId="708" priority="687" operator="equal">
      <formula>"Recomendación"</formula>
    </cfRule>
    <cfRule type="cellIs" dxfId="707" priority="688" operator="equal">
      <formula>"No Conformidad"</formula>
    </cfRule>
  </conditionalFormatting>
  <conditionalFormatting sqref="E265 E267 E269:E271">
    <cfRule type="cellIs" dxfId="706" priority="684" operator="equal">
      <formula>"Institucional"</formula>
    </cfRule>
    <cfRule type="cellIs" dxfId="705" priority="685" operator="equal">
      <formula>"Proceso"</formula>
    </cfRule>
  </conditionalFormatting>
  <conditionalFormatting sqref="K225 K269:K272">
    <cfRule type="cellIs" dxfId="704" priority="681" operator="equal">
      <formula>"Plan Mejoramiento"</formula>
    </cfRule>
    <cfRule type="cellIs" dxfId="703" priority="682" operator="equal">
      <formula>"Acción Preventiva"</formula>
    </cfRule>
    <cfRule type="cellIs" dxfId="702" priority="683" operator="equal">
      <formula>"Acción Correctiva"</formula>
    </cfRule>
  </conditionalFormatting>
  <conditionalFormatting sqref="K225 K269:K272">
    <cfRule type="cellIs" dxfId="701" priority="680" operator="equal">
      <formula>"Corrección"</formula>
    </cfRule>
  </conditionalFormatting>
  <conditionalFormatting sqref="E199">
    <cfRule type="cellIs" dxfId="700" priority="678" operator="equal">
      <formula>"Institucional"</formula>
    </cfRule>
    <cfRule type="cellIs" dxfId="699" priority="679" operator="equal">
      <formula>"Proceso"</formula>
    </cfRule>
  </conditionalFormatting>
  <conditionalFormatting sqref="E200">
    <cfRule type="cellIs" dxfId="698" priority="676" operator="equal">
      <formula>"Institucional"</formula>
    </cfRule>
    <cfRule type="cellIs" dxfId="697" priority="677" operator="equal">
      <formula>"Proceso"</formula>
    </cfRule>
  </conditionalFormatting>
  <conditionalFormatting sqref="Q199:Q200 L199:N200">
    <cfRule type="cellIs" dxfId="696" priority="651" operator="equal">
      <formula>"Plan Mejoramiento"</formula>
    </cfRule>
    <cfRule type="cellIs" dxfId="695" priority="652" operator="equal">
      <formula>"Acción Preventiva"</formula>
    </cfRule>
    <cfRule type="cellIs" dxfId="694" priority="653" operator="equal">
      <formula>"Acción Correctiva"</formula>
    </cfRule>
  </conditionalFormatting>
  <conditionalFormatting sqref="R199:R200">
    <cfRule type="cellIs" dxfId="693" priority="649" operator="equal">
      <formula>"Cerrada"</formula>
    </cfRule>
    <cfRule type="cellIs" dxfId="692" priority="650" operator="equal">
      <formula>"Abierta"</formula>
    </cfRule>
  </conditionalFormatting>
  <conditionalFormatting sqref="M199:N200 Q199:Q200">
    <cfRule type="cellIs" dxfId="691" priority="648" operator="equal">
      <formula>"Corrección"</formula>
    </cfRule>
  </conditionalFormatting>
  <conditionalFormatting sqref="J199:J200">
    <cfRule type="cellIs" dxfId="690" priority="646" operator="equal">
      <formula>"Hallazgo Cerrado"</formula>
    </cfRule>
    <cfRule type="cellIs" dxfId="689" priority="647" operator="equal">
      <formula>"Hallazgo Abierto"</formula>
    </cfRule>
  </conditionalFormatting>
  <conditionalFormatting sqref="I199:I200">
    <cfRule type="cellIs" dxfId="688" priority="640" operator="equal">
      <formula>"Oportunidad de mejora"</formula>
    </cfRule>
    <cfRule type="cellIs" dxfId="687" priority="641" operator="equal">
      <formula>"Recomendación"</formula>
    </cfRule>
    <cfRule type="cellIs" dxfId="686" priority="642" operator="equal">
      <formula>"No Conformidad"</formula>
    </cfRule>
  </conditionalFormatting>
  <conditionalFormatting sqref="K199:K200">
    <cfRule type="cellIs" dxfId="685" priority="637" operator="equal">
      <formula>"Plan Mejoramiento"</formula>
    </cfRule>
    <cfRule type="cellIs" dxfId="684" priority="638" operator="equal">
      <formula>"Acción Preventiva"</formula>
    </cfRule>
    <cfRule type="cellIs" dxfId="683" priority="639" operator="equal">
      <formula>"Acción Correctiva"</formula>
    </cfRule>
  </conditionalFormatting>
  <conditionalFormatting sqref="K199:K200">
    <cfRule type="cellIs" dxfId="682" priority="636" operator="equal">
      <formula>"Corrección"</formula>
    </cfRule>
  </conditionalFormatting>
  <conditionalFormatting sqref="O199:O200">
    <cfRule type="cellIs" dxfId="681" priority="633" operator="equal">
      <formula>"Plan Mejoramiento"</formula>
    </cfRule>
    <cfRule type="cellIs" dxfId="680" priority="634" operator="equal">
      <formula>"Acción Preventiva"</formula>
    </cfRule>
    <cfRule type="cellIs" dxfId="679" priority="635" operator="equal">
      <formula>"Acción Correctiva"</formula>
    </cfRule>
  </conditionalFormatting>
  <conditionalFormatting sqref="O199:O200">
    <cfRule type="cellIs" dxfId="678" priority="632" operator="equal">
      <formula>"Corrección"</formula>
    </cfRule>
  </conditionalFormatting>
  <conditionalFormatting sqref="V207">
    <cfRule type="cellIs" dxfId="677" priority="629" operator="equal">
      <formula>"No ha formulado PM"</formula>
    </cfRule>
    <cfRule type="cellIs" dxfId="676" priority="630" operator="equal">
      <formula>"Oportuno"</formula>
    </cfRule>
    <cfRule type="cellIs" dxfId="675" priority="631" operator="equal">
      <formula>"Inoportuno"</formula>
    </cfRule>
  </conditionalFormatting>
  <conditionalFormatting sqref="T12">
    <cfRule type="cellIs" dxfId="674" priority="626" operator="equal">
      <formula>"Plan Mejoramiento"</formula>
    </cfRule>
    <cfRule type="cellIs" dxfId="673" priority="627" operator="equal">
      <formula>"Acción Preventiva"</formula>
    </cfRule>
    <cfRule type="cellIs" dxfId="672" priority="628" operator="equal">
      <formula>"Acción Correctiva"</formula>
    </cfRule>
  </conditionalFormatting>
  <conditionalFormatting sqref="T12">
    <cfRule type="cellIs" dxfId="671" priority="625" operator="equal">
      <formula>"Corrección"</formula>
    </cfRule>
  </conditionalFormatting>
  <conditionalFormatting sqref="T13">
    <cfRule type="cellIs" dxfId="670" priority="622" operator="equal">
      <formula>"Plan Mejoramiento"</formula>
    </cfRule>
    <cfRule type="cellIs" dxfId="669" priority="623" operator="equal">
      <formula>"Acción Preventiva"</formula>
    </cfRule>
    <cfRule type="cellIs" dxfId="668" priority="624" operator="equal">
      <formula>"Acción Correctiva"</formula>
    </cfRule>
  </conditionalFormatting>
  <conditionalFormatting sqref="T13">
    <cfRule type="cellIs" dxfId="667" priority="621" operator="equal">
      <formula>"Corrección"</formula>
    </cfRule>
  </conditionalFormatting>
  <conditionalFormatting sqref="T16">
    <cfRule type="cellIs" dxfId="666" priority="618" operator="equal">
      <formula>"Plan Mejoramiento"</formula>
    </cfRule>
    <cfRule type="cellIs" dxfId="665" priority="619" operator="equal">
      <formula>"Acción Preventiva"</formula>
    </cfRule>
    <cfRule type="cellIs" dxfId="664" priority="620" operator="equal">
      <formula>"Acción Correctiva"</formula>
    </cfRule>
  </conditionalFormatting>
  <conditionalFormatting sqref="T16">
    <cfRule type="cellIs" dxfId="663" priority="617" operator="equal">
      <formula>"Corrección"</formula>
    </cfRule>
  </conditionalFormatting>
  <conditionalFormatting sqref="T17">
    <cfRule type="cellIs" dxfId="662" priority="614" operator="equal">
      <formula>"Plan Mejoramiento"</formula>
    </cfRule>
    <cfRule type="cellIs" dxfId="661" priority="615" operator="equal">
      <formula>"Acción Preventiva"</formula>
    </cfRule>
    <cfRule type="cellIs" dxfId="660" priority="616" operator="equal">
      <formula>"Acción Correctiva"</formula>
    </cfRule>
  </conditionalFormatting>
  <conditionalFormatting sqref="T17">
    <cfRule type="cellIs" dxfId="659" priority="613" operator="equal">
      <formula>"Corrección"</formula>
    </cfRule>
  </conditionalFormatting>
  <conditionalFormatting sqref="T25">
    <cfRule type="cellIs" dxfId="658" priority="610" operator="equal">
      <formula>"Plan Mejoramiento"</formula>
    </cfRule>
    <cfRule type="cellIs" dxfId="657" priority="611" operator="equal">
      <formula>"Acción Preventiva"</formula>
    </cfRule>
    <cfRule type="cellIs" dxfId="656" priority="612" operator="equal">
      <formula>"Acción Correctiva"</formula>
    </cfRule>
  </conditionalFormatting>
  <conditionalFormatting sqref="T25">
    <cfRule type="cellIs" dxfId="655" priority="609" operator="equal">
      <formula>"Corrección"</formula>
    </cfRule>
  </conditionalFormatting>
  <conditionalFormatting sqref="T27">
    <cfRule type="cellIs" dxfId="654" priority="606" operator="equal">
      <formula>"Plan Mejoramiento"</formula>
    </cfRule>
    <cfRule type="cellIs" dxfId="653" priority="607" operator="equal">
      <formula>"Acción Preventiva"</formula>
    </cfRule>
    <cfRule type="cellIs" dxfId="652" priority="608" operator="equal">
      <formula>"Acción Correctiva"</formula>
    </cfRule>
  </conditionalFormatting>
  <conditionalFormatting sqref="T27">
    <cfRule type="cellIs" dxfId="651" priority="605" operator="equal">
      <formula>"Corrección"</formula>
    </cfRule>
  </conditionalFormatting>
  <conditionalFormatting sqref="T49">
    <cfRule type="cellIs" dxfId="650" priority="602" operator="equal">
      <formula>"Plan Mejoramiento"</formula>
    </cfRule>
    <cfRule type="cellIs" dxfId="649" priority="603" operator="equal">
      <formula>"Acción Preventiva"</formula>
    </cfRule>
    <cfRule type="cellIs" dxfId="648" priority="604" operator="equal">
      <formula>"Acción Correctiva"</formula>
    </cfRule>
  </conditionalFormatting>
  <conditionalFormatting sqref="T49">
    <cfRule type="cellIs" dxfId="647" priority="601" operator="equal">
      <formula>"Corrección"</formula>
    </cfRule>
  </conditionalFormatting>
  <conditionalFormatting sqref="T67">
    <cfRule type="cellIs" dxfId="646" priority="598" operator="equal">
      <formula>"Plan Mejoramiento"</formula>
    </cfRule>
    <cfRule type="cellIs" dxfId="645" priority="599" operator="equal">
      <formula>"Acción Preventiva"</formula>
    </cfRule>
    <cfRule type="cellIs" dxfId="644" priority="600" operator="equal">
      <formula>"Acción Correctiva"</formula>
    </cfRule>
  </conditionalFormatting>
  <conditionalFormatting sqref="T67">
    <cfRule type="cellIs" dxfId="643" priority="597" operator="equal">
      <formula>"Corrección"</formula>
    </cfRule>
  </conditionalFormatting>
  <conditionalFormatting sqref="R68">
    <cfRule type="cellIs" dxfId="642" priority="592" operator="equal">
      <formula>"Cerrada"</formula>
    </cfRule>
    <cfRule type="cellIs" dxfId="641" priority="593" operator="equal">
      <formula>"Abierta"</formula>
    </cfRule>
  </conditionalFormatting>
  <conditionalFormatting sqref="R84">
    <cfRule type="cellIs" dxfId="640" priority="565" operator="equal">
      <formula>"Cerrada"</formula>
    </cfRule>
    <cfRule type="cellIs" dxfId="639" priority="566" operator="equal">
      <formula>"Abierta"</formula>
    </cfRule>
  </conditionalFormatting>
  <conditionalFormatting sqref="R85">
    <cfRule type="cellIs" dxfId="638" priority="563" operator="equal">
      <formula>"Cerrada"</formula>
    </cfRule>
    <cfRule type="cellIs" dxfId="637" priority="564" operator="equal">
      <formula>"Abierta"</formula>
    </cfRule>
  </conditionalFormatting>
  <conditionalFormatting sqref="T86">
    <cfRule type="cellIs" dxfId="636" priority="560" operator="equal">
      <formula>"Plan Mejoramiento"</formula>
    </cfRule>
    <cfRule type="cellIs" dxfId="635" priority="561" operator="equal">
      <formula>"Acción Preventiva"</formula>
    </cfRule>
    <cfRule type="cellIs" dxfId="634" priority="562" operator="equal">
      <formula>"Acción Correctiva"</formula>
    </cfRule>
  </conditionalFormatting>
  <conditionalFormatting sqref="T86">
    <cfRule type="cellIs" dxfId="633" priority="559" operator="equal">
      <formula>"Corrección"</formula>
    </cfRule>
  </conditionalFormatting>
  <conditionalFormatting sqref="X85:X89">
    <cfRule type="cellIs" dxfId="632" priority="557" operator="equal">
      <formula>"Recomendación"</formula>
    </cfRule>
    <cfRule type="cellIs" dxfId="631" priority="558" operator="equal">
      <formula>"No Conformidad"</formula>
    </cfRule>
  </conditionalFormatting>
  <conditionalFormatting sqref="V85 V89">
    <cfRule type="cellIs" dxfId="630" priority="554" operator="equal">
      <formula>"No ha formulado PM"</formula>
    </cfRule>
    <cfRule type="cellIs" dxfId="629" priority="555" operator="equal">
      <formula>"Oportuno"</formula>
    </cfRule>
    <cfRule type="cellIs" dxfId="628" priority="556" operator="equal">
      <formula>"Inoportuno"</formula>
    </cfRule>
  </conditionalFormatting>
  <conditionalFormatting sqref="V86:V88">
    <cfRule type="cellIs" dxfId="627" priority="551" operator="equal">
      <formula>"No ha formulado PM"</formula>
    </cfRule>
    <cfRule type="cellIs" dxfId="626" priority="552" operator="equal">
      <formula>"Oportuno"</formula>
    </cfRule>
    <cfRule type="cellIs" dxfId="625" priority="553" operator="equal">
      <formula>"Inoportuno"</formula>
    </cfRule>
  </conditionalFormatting>
  <conditionalFormatting sqref="H209 L209:N210">
    <cfRule type="cellIs" dxfId="624" priority="530" operator="equal">
      <formula>"Plan Mejoramiento"</formula>
    </cfRule>
    <cfRule type="cellIs" dxfId="623" priority="531" operator="equal">
      <formula>"Acción Preventiva"</formula>
    </cfRule>
    <cfRule type="cellIs" dxfId="622" priority="532" operator="equal">
      <formula>"Acción Correctiva"</formula>
    </cfRule>
  </conditionalFormatting>
  <conditionalFormatting sqref="R209:R210">
    <cfRule type="cellIs" dxfId="621" priority="528" operator="equal">
      <formula>"Cerrada"</formula>
    </cfRule>
    <cfRule type="cellIs" dxfId="620" priority="529" operator="equal">
      <formula>"Abierta"</formula>
    </cfRule>
  </conditionalFormatting>
  <conditionalFormatting sqref="H209 M209:N210">
    <cfRule type="cellIs" dxfId="619" priority="527" operator="equal">
      <formula>"Corrección"</formula>
    </cfRule>
  </conditionalFormatting>
  <conditionalFormatting sqref="J209">
    <cfRule type="cellIs" dxfId="618" priority="525" operator="equal">
      <formula>"Hallazgo Cerrado"</formula>
    </cfRule>
    <cfRule type="cellIs" dxfId="617" priority="526" operator="equal">
      <formula>"Hallazgo Abierto"</formula>
    </cfRule>
  </conditionalFormatting>
  <conditionalFormatting sqref="I209">
    <cfRule type="cellIs" dxfId="616" priority="522" operator="equal">
      <formula>"Oportunidad de mejora"</formula>
    </cfRule>
    <cfRule type="cellIs" dxfId="615" priority="523" operator="equal">
      <formula>"Recomendación"</formula>
    </cfRule>
    <cfRule type="cellIs" dxfId="614" priority="524" operator="equal">
      <formula>"No Conformidad"</formula>
    </cfRule>
  </conditionalFormatting>
  <conditionalFormatting sqref="E209">
    <cfRule type="cellIs" dxfId="613" priority="520" operator="equal">
      <formula>"Institucional"</formula>
    </cfRule>
    <cfRule type="cellIs" dxfId="612" priority="521" operator="equal">
      <formula>"Proceso"</formula>
    </cfRule>
  </conditionalFormatting>
  <conditionalFormatting sqref="K209">
    <cfRule type="cellIs" dxfId="611" priority="517" operator="equal">
      <formula>"Plan Mejoramiento"</formula>
    </cfRule>
    <cfRule type="cellIs" dxfId="610" priority="518" operator="equal">
      <formula>"Acción Preventiva"</formula>
    </cfRule>
    <cfRule type="cellIs" dxfId="609" priority="519" operator="equal">
      <formula>"Acción Correctiva"</formula>
    </cfRule>
  </conditionalFormatting>
  <conditionalFormatting sqref="K209">
    <cfRule type="cellIs" dxfId="608" priority="516" operator="equal">
      <formula>"Corrección"</formula>
    </cfRule>
  </conditionalFormatting>
  <conditionalFormatting sqref="V209:V211">
    <cfRule type="cellIs" dxfId="607" priority="513" operator="equal">
      <formula>"No ha formulado PM"</formula>
    </cfRule>
    <cfRule type="cellIs" dxfId="606" priority="514" operator="equal">
      <formula>"Oportuno"</formula>
    </cfRule>
    <cfRule type="cellIs" dxfId="605" priority="515" operator="equal">
      <formula>"Inoportuno"</formula>
    </cfRule>
  </conditionalFormatting>
  <conditionalFormatting sqref="M208:O208">
    <cfRule type="cellIs" dxfId="604" priority="510" operator="equal">
      <formula>"Plan Mejoramiento"</formula>
    </cfRule>
    <cfRule type="cellIs" dxfId="603" priority="511" operator="equal">
      <formula>"Acción Preventiva"</formula>
    </cfRule>
    <cfRule type="cellIs" dxfId="602" priority="512" operator="equal">
      <formula>"Acción Correctiva"</formula>
    </cfRule>
  </conditionalFormatting>
  <conditionalFormatting sqref="L43:N43">
    <cfRule type="cellIs" dxfId="601" priority="450" operator="equal">
      <formula>"Plan Mejoramiento"</formula>
    </cfRule>
    <cfRule type="cellIs" dxfId="600" priority="451" operator="equal">
      <formula>"Acción Preventiva"</formula>
    </cfRule>
    <cfRule type="cellIs" dxfId="599" priority="452" operator="equal">
      <formula>"Acción Correctiva"</formula>
    </cfRule>
  </conditionalFormatting>
  <conditionalFormatting sqref="L43:N43">
    <cfRule type="cellIs" dxfId="598" priority="449" operator="equal">
      <formula>"Corrección"</formula>
    </cfRule>
  </conditionalFormatting>
  <conditionalFormatting sqref="R43">
    <cfRule type="cellIs" dxfId="597" priority="447" operator="equal">
      <formula>"Cerrada"</formula>
    </cfRule>
    <cfRule type="cellIs" dxfId="596" priority="448" operator="equal">
      <formula>"Abierta"</formula>
    </cfRule>
  </conditionalFormatting>
  <conditionalFormatting sqref="T62">
    <cfRule type="cellIs" dxfId="595" priority="444" operator="equal">
      <formula>"Plan Mejoramiento"</formula>
    </cfRule>
    <cfRule type="cellIs" dxfId="594" priority="445" operator="equal">
      <formula>"Acción Preventiva"</formula>
    </cfRule>
    <cfRule type="cellIs" dxfId="593" priority="446" operator="equal">
      <formula>"Acción Correctiva"</formula>
    </cfRule>
  </conditionalFormatting>
  <conditionalFormatting sqref="T62">
    <cfRule type="cellIs" dxfId="592" priority="443" operator="equal">
      <formula>"Corrección"</formula>
    </cfRule>
  </conditionalFormatting>
  <conditionalFormatting sqref="H210">
    <cfRule type="cellIs" dxfId="591" priority="440" operator="equal">
      <formula>"Plan Mejoramiento"</formula>
    </cfRule>
    <cfRule type="cellIs" dxfId="590" priority="441" operator="equal">
      <formula>"Acción Preventiva"</formula>
    </cfRule>
    <cfRule type="cellIs" dxfId="589" priority="442" operator="equal">
      <formula>"Acción Correctiva"</formula>
    </cfRule>
  </conditionalFormatting>
  <conditionalFormatting sqref="H210">
    <cfRule type="cellIs" dxfId="588" priority="439" operator="equal">
      <formula>"Corrección"</formula>
    </cfRule>
  </conditionalFormatting>
  <conditionalFormatting sqref="J210">
    <cfRule type="cellIs" dxfId="587" priority="437" operator="equal">
      <formula>"Hallazgo Cerrado"</formula>
    </cfRule>
    <cfRule type="cellIs" dxfId="586" priority="438" operator="equal">
      <formula>"Hallazgo Abierto"</formula>
    </cfRule>
  </conditionalFormatting>
  <conditionalFormatting sqref="I210">
    <cfRule type="cellIs" dxfId="585" priority="434" operator="equal">
      <formula>"Oportunidad de mejora"</formula>
    </cfRule>
    <cfRule type="cellIs" dxfId="584" priority="435" operator="equal">
      <formula>"Recomendación"</formula>
    </cfRule>
    <cfRule type="cellIs" dxfId="583" priority="436" operator="equal">
      <formula>"No Conformidad"</formula>
    </cfRule>
  </conditionalFormatting>
  <conditionalFormatting sqref="E210">
    <cfRule type="cellIs" dxfId="582" priority="432" operator="equal">
      <formula>"Institucional"</formula>
    </cfRule>
    <cfRule type="cellIs" dxfId="581" priority="433" operator="equal">
      <formula>"Proceso"</formula>
    </cfRule>
  </conditionalFormatting>
  <conditionalFormatting sqref="K210">
    <cfRule type="cellIs" dxfId="580" priority="429" operator="equal">
      <formula>"Plan Mejoramiento"</formula>
    </cfRule>
    <cfRule type="cellIs" dxfId="579" priority="430" operator="equal">
      <formula>"Acción Preventiva"</formula>
    </cfRule>
    <cfRule type="cellIs" dxfId="578" priority="431" operator="equal">
      <formula>"Acción Correctiva"</formula>
    </cfRule>
  </conditionalFormatting>
  <conditionalFormatting sqref="K210">
    <cfRule type="cellIs" dxfId="577" priority="428" operator="equal">
      <formula>"Corrección"</formula>
    </cfRule>
  </conditionalFormatting>
  <conditionalFormatting sqref="M211:O212">
    <cfRule type="cellIs" dxfId="576" priority="425" operator="equal">
      <formula>"Plan Mejoramiento"</formula>
    </cfRule>
    <cfRule type="cellIs" dxfId="575" priority="426" operator="equal">
      <formula>"Acción Preventiva"</formula>
    </cfRule>
    <cfRule type="cellIs" dxfId="574" priority="427" operator="equal">
      <formula>"Acción Correctiva"</formula>
    </cfRule>
  </conditionalFormatting>
  <conditionalFormatting sqref="J213:J218">
    <cfRule type="cellIs" dxfId="573" priority="396" operator="equal">
      <formula>"Hallazgo Cerrado"</formula>
    </cfRule>
    <cfRule type="cellIs" dxfId="572" priority="397" operator="equal">
      <formula>"Hallazgo Abierto"</formula>
    </cfRule>
  </conditionalFormatting>
  <conditionalFormatting sqref="I213:I218">
    <cfRule type="cellIs" dxfId="571" priority="393" operator="equal">
      <formula>"Oportunidad de mejora"</formula>
    </cfRule>
    <cfRule type="cellIs" dxfId="570" priority="394" operator="equal">
      <formula>"Recomendación"</formula>
    </cfRule>
    <cfRule type="cellIs" dxfId="569" priority="395" operator="equal">
      <formula>"No Conformidad"</formula>
    </cfRule>
  </conditionalFormatting>
  <conditionalFormatting sqref="E213:E218">
    <cfRule type="cellIs" dxfId="568" priority="391" operator="equal">
      <formula>"Institucional"</formula>
    </cfRule>
    <cfRule type="cellIs" dxfId="567" priority="392" operator="equal">
      <formula>"Proceso"</formula>
    </cfRule>
  </conditionalFormatting>
  <conditionalFormatting sqref="K213:K218">
    <cfRule type="cellIs" dxfId="566" priority="388" operator="equal">
      <formula>"Plan Mejoramiento"</formula>
    </cfRule>
    <cfRule type="cellIs" dxfId="565" priority="389" operator="equal">
      <formula>"Acción Preventiva"</formula>
    </cfRule>
    <cfRule type="cellIs" dxfId="564" priority="390" operator="equal">
      <formula>"Acción Correctiva"</formula>
    </cfRule>
  </conditionalFormatting>
  <conditionalFormatting sqref="K213:K218">
    <cfRule type="cellIs" dxfId="563" priority="387" operator="equal">
      <formula>"Corrección"</formula>
    </cfRule>
  </conditionalFormatting>
  <conditionalFormatting sqref="Q189">
    <cfRule type="cellIs" dxfId="562" priority="361" operator="equal">
      <formula>"Plan Mejoramiento"</formula>
    </cfRule>
    <cfRule type="cellIs" dxfId="561" priority="362" operator="equal">
      <formula>"Acción Preventiva"</formula>
    </cfRule>
    <cfRule type="cellIs" dxfId="560" priority="363" operator="equal">
      <formula>"Acción Correctiva"</formula>
    </cfRule>
  </conditionalFormatting>
  <conditionalFormatting sqref="Q189">
    <cfRule type="cellIs" dxfId="559" priority="360" operator="equal">
      <formula>"Corrección"</formula>
    </cfRule>
  </conditionalFormatting>
  <conditionalFormatting sqref="Q190">
    <cfRule type="cellIs" dxfId="558" priority="357" operator="equal">
      <formula>"Plan Mejoramiento"</formula>
    </cfRule>
    <cfRule type="cellIs" dxfId="557" priority="358" operator="equal">
      <formula>"Acción Preventiva"</formula>
    </cfRule>
    <cfRule type="cellIs" dxfId="556" priority="359" operator="equal">
      <formula>"Acción Correctiva"</formula>
    </cfRule>
  </conditionalFormatting>
  <conditionalFormatting sqref="Q190">
    <cfRule type="cellIs" dxfId="555" priority="356" operator="equal">
      <formula>"Corrección"</formula>
    </cfRule>
  </conditionalFormatting>
  <conditionalFormatting sqref="Q191">
    <cfRule type="cellIs" dxfId="554" priority="353" operator="equal">
      <formula>"Plan Mejoramiento"</formula>
    </cfRule>
    <cfRule type="cellIs" dxfId="553" priority="354" operator="equal">
      <formula>"Acción Preventiva"</formula>
    </cfRule>
    <cfRule type="cellIs" dxfId="552" priority="355" operator="equal">
      <formula>"Acción Correctiva"</formula>
    </cfRule>
  </conditionalFormatting>
  <conditionalFormatting sqref="Q191">
    <cfRule type="cellIs" dxfId="551" priority="352" operator="equal">
      <formula>"Corrección"</formula>
    </cfRule>
  </conditionalFormatting>
  <conditionalFormatting sqref="Q192">
    <cfRule type="cellIs" dxfId="550" priority="349" operator="equal">
      <formula>"Plan Mejoramiento"</formula>
    </cfRule>
    <cfRule type="cellIs" dxfId="549" priority="350" operator="equal">
      <formula>"Acción Preventiva"</formula>
    </cfRule>
    <cfRule type="cellIs" dxfId="548" priority="351" operator="equal">
      <formula>"Acción Correctiva"</formula>
    </cfRule>
  </conditionalFormatting>
  <conditionalFormatting sqref="Q192">
    <cfRule type="cellIs" dxfId="547" priority="348" operator="equal">
      <formula>"Corrección"</formula>
    </cfRule>
  </conditionalFormatting>
  <conditionalFormatting sqref="Q193">
    <cfRule type="cellIs" dxfId="546" priority="345" operator="equal">
      <formula>"Plan Mejoramiento"</formula>
    </cfRule>
    <cfRule type="cellIs" dxfId="545" priority="346" operator="equal">
      <formula>"Acción Preventiva"</formula>
    </cfRule>
    <cfRule type="cellIs" dxfId="544" priority="347" operator="equal">
      <formula>"Acción Correctiva"</formula>
    </cfRule>
  </conditionalFormatting>
  <conditionalFormatting sqref="Q193">
    <cfRule type="cellIs" dxfId="543" priority="344" operator="equal">
      <formula>"Corrección"</formula>
    </cfRule>
  </conditionalFormatting>
  <conditionalFormatting sqref="Q194">
    <cfRule type="cellIs" dxfId="542" priority="341" operator="equal">
      <formula>"Plan Mejoramiento"</formula>
    </cfRule>
    <cfRule type="cellIs" dxfId="541" priority="342" operator="equal">
      <formula>"Acción Preventiva"</formula>
    </cfRule>
    <cfRule type="cellIs" dxfId="540" priority="343" operator="equal">
      <formula>"Acción Correctiva"</formula>
    </cfRule>
  </conditionalFormatting>
  <conditionalFormatting sqref="Q194">
    <cfRule type="cellIs" dxfId="539" priority="340" operator="equal">
      <formula>"Corrección"</formula>
    </cfRule>
  </conditionalFormatting>
  <conditionalFormatting sqref="Q195">
    <cfRule type="cellIs" dxfId="538" priority="337" operator="equal">
      <formula>"Plan Mejoramiento"</formula>
    </cfRule>
    <cfRule type="cellIs" dxfId="537" priority="338" operator="equal">
      <formula>"Acción Preventiva"</formula>
    </cfRule>
    <cfRule type="cellIs" dxfId="536" priority="339" operator="equal">
      <formula>"Acción Correctiva"</formula>
    </cfRule>
  </conditionalFormatting>
  <conditionalFormatting sqref="Q195">
    <cfRule type="cellIs" dxfId="535" priority="336" operator="equal">
      <formula>"Corrección"</formula>
    </cfRule>
  </conditionalFormatting>
  <conditionalFormatting sqref="T42">
    <cfRule type="cellIs" dxfId="534" priority="294" operator="equal">
      <formula>"Plan Mejoramiento"</formula>
    </cfRule>
    <cfRule type="cellIs" dxfId="533" priority="295" operator="equal">
      <formula>"Acción Preventiva"</formula>
    </cfRule>
    <cfRule type="cellIs" dxfId="532" priority="296" operator="equal">
      <formula>"Acción Correctiva"</formula>
    </cfRule>
  </conditionalFormatting>
  <conditionalFormatting sqref="T42">
    <cfRule type="cellIs" dxfId="531" priority="293" operator="equal">
      <formula>"Corrección"</formula>
    </cfRule>
  </conditionalFormatting>
  <conditionalFormatting sqref="Q209">
    <cfRule type="cellIs" dxfId="530" priority="290" operator="equal">
      <formula>"Plan Mejoramiento"</formula>
    </cfRule>
    <cfRule type="cellIs" dxfId="529" priority="291" operator="equal">
      <formula>"Acción Preventiva"</formula>
    </cfRule>
    <cfRule type="cellIs" dxfId="528" priority="292" operator="equal">
      <formula>"Acción Correctiva"</formula>
    </cfRule>
  </conditionalFormatting>
  <conditionalFormatting sqref="Q209">
    <cfRule type="cellIs" dxfId="527" priority="289" operator="equal">
      <formula>"Corrección"</formula>
    </cfRule>
  </conditionalFormatting>
  <conditionalFormatting sqref="Q210">
    <cfRule type="cellIs" dxfId="526" priority="286" operator="equal">
      <formula>"Plan Mejoramiento"</formula>
    </cfRule>
    <cfRule type="cellIs" dxfId="525" priority="287" operator="equal">
      <formula>"Acción Preventiva"</formula>
    </cfRule>
    <cfRule type="cellIs" dxfId="524" priority="288" operator="equal">
      <formula>"Acción Correctiva"</formula>
    </cfRule>
  </conditionalFormatting>
  <conditionalFormatting sqref="Q210">
    <cfRule type="cellIs" dxfId="523" priority="285" operator="equal">
      <formula>"Corrección"</formula>
    </cfRule>
  </conditionalFormatting>
  <conditionalFormatting sqref="O172">
    <cfRule type="cellIs" dxfId="522" priority="275" operator="equal">
      <formula>"Plan Mejoramiento"</formula>
    </cfRule>
    <cfRule type="cellIs" dxfId="521" priority="276" operator="equal">
      <formula>"Acción Preventiva"</formula>
    </cfRule>
    <cfRule type="cellIs" dxfId="520" priority="277" operator="equal">
      <formula>"Acción Correctiva"</formula>
    </cfRule>
  </conditionalFormatting>
  <conditionalFormatting sqref="O172">
    <cfRule type="cellIs" dxfId="519" priority="274" operator="equal">
      <formula>"Corrección"</formula>
    </cfRule>
  </conditionalFormatting>
  <conditionalFormatting sqref="L207:L208">
    <cfRule type="cellIs" dxfId="518" priority="268" operator="equal">
      <formula>"Plan Mejoramiento"</formula>
    </cfRule>
    <cfRule type="cellIs" dxfId="517" priority="269" operator="equal">
      <formula>"Acción Preventiva"</formula>
    </cfRule>
    <cfRule type="cellIs" dxfId="516" priority="270" operator="equal">
      <formula>"Acción Correctiva"</formula>
    </cfRule>
  </conditionalFormatting>
  <conditionalFormatting sqref="L211">
    <cfRule type="cellIs" dxfId="515" priority="262" operator="equal">
      <formula>"Plan Mejoramiento"</formula>
    </cfRule>
    <cfRule type="cellIs" dxfId="514" priority="263" operator="equal">
      <formula>"Acción Preventiva"</formula>
    </cfRule>
    <cfRule type="cellIs" dxfId="513" priority="264" operator="equal">
      <formula>"Acción Correctiva"</formula>
    </cfRule>
  </conditionalFormatting>
  <conditionalFormatting sqref="J265 J267">
    <cfRule type="cellIs" dxfId="512" priority="256" operator="equal">
      <formula>"Hallazgo Cerrado"</formula>
    </cfRule>
    <cfRule type="cellIs" dxfId="511" priority="257" operator="equal">
      <formula>"Hallazgo Abierto"</formula>
    </cfRule>
  </conditionalFormatting>
  <conditionalFormatting sqref="I265 I267">
    <cfRule type="cellIs" dxfId="510" priority="253" operator="equal">
      <formula>"Oportunidad de mejora"</formula>
    </cfRule>
    <cfRule type="cellIs" dxfId="509" priority="254" operator="equal">
      <formula>"Recomendación"</formula>
    </cfRule>
    <cfRule type="cellIs" dxfId="508" priority="255" operator="equal">
      <formula>"No Conformidad"</formula>
    </cfRule>
  </conditionalFormatting>
  <conditionalFormatting sqref="M257">
    <cfRule type="cellIs" dxfId="507" priority="250" operator="equal">
      <formula>"Plan Mejoramiento"</formula>
    </cfRule>
    <cfRule type="cellIs" dxfId="506" priority="251" operator="equal">
      <formula>"Acción Preventiva"</formula>
    </cfRule>
    <cfRule type="cellIs" dxfId="505" priority="252" operator="equal">
      <formula>"Acción Correctiva"</formula>
    </cfRule>
  </conditionalFormatting>
  <conditionalFormatting sqref="M257">
    <cfRule type="cellIs" dxfId="504" priority="249" operator="equal">
      <formula>"Corrección"</formula>
    </cfRule>
  </conditionalFormatting>
  <conditionalFormatting sqref="M255:M256">
    <cfRule type="cellIs" dxfId="503" priority="246" operator="equal">
      <formula>"Plan Mejoramiento"</formula>
    </cfRule>
    <cfRule type="cellIs" dxfId="502" priority="247" operator="equal">
      <formula>"Acción Preventiva"</formula>
    </cfRule>
    <cfRule type="cellIs" dxfId="501" priority="248" operator="equal">
      <formula>"Acción Correctiva"</formula>
    </cfRule>
  </conditionalFormatting>
  <conditionalFormatting sqref="M255:M256">
    <cfRule type="cellIs" dxfId="500" priority="245" operator="equal">
      <formula>"Corrección"</formula>
    </cfRule>
  </conditionalFormatting>
  <conditionalFormatting sqref="M258">
    <cfRule type="cellIs" dxfId="499" priority="242" operator="equal">
      <formula>"Plan Mejoramiento"</formula>
    </cfRule>
    <cfRule type="cellIs" dxfId="498" priority="243" operator="equal">
      <formula>"Acción Preventiva"</formula>
    </cfRule>
    <cfRule type="cellIs" dxfId="497" priority="244" operator="equal">
      <formula>"Acción Correctiva"</formula>
    </cfRule>
  </conditionalFormatting>
  <conditionalFormatting sqref="M258">
    <cfRule type="cellIs" dxfId="496" priority="241" operator="equal">
      <formula>"Corrección"</formula>
    </cfRule>
  </conditionalFormatting>
  <conditionalFormatting sqref="M260">
    <cfRule type="cellIs" dxfId="495" priority="230" operator="equal">
      <formula>"Plan Mejoramiento"</formula>
    </cfRule>
    <cfRule type="cellIs" dxfId="494" priority="231" operator="equal">
      <formula>"Acción Preventiva"</formula>
    </cfRule>
    <cfRule type="cellIs" dxfId="493" priority="232" operator="equal">
      <formula>"Acción Correctiva"</formula>
    </cfRule>
  </conditionalFormatting>
  <conditionalFormatting sqref="M260">
    <cfRule type="cellIs" dxfId="492" priority="229" operator="equal">
      <formula>"Corrección"</formula>
    </cfRule>
  </conditionalFormatting>
  <conditionalFormatting sqref="M261">
    <cfRule type="cellIs" dxfId="491" priority="226" operator="equal">
      <formula>"Plan Mejoramiento"</formula>
    </cfRule>
    <cfRule type="cellIs" dxfId="490" priority="227" operator="equal">
      <formula>"Acción Preventiva"</formula>
    </cfRule>
    <cfRule type="cellIs" dxfId="489" priority="228" operator="equal">
      <formula>"Acción Correctiva"</formula>
    </cfRule>
  </conditionalFormatting>
  <conditionalFormatting sqref="M261">
    <cfRule type="cellIs" dxfId="488" priority="225" operator="equal">
      <formula>"Corrección"</formula>
    </cfRule>
  </conditionalFormatting>
  <conditionalFormatting sqref="M262:M267">
    <cfRule type="cellIs" dxfId="487" priority="222" operator="equal">
      <formula>"Plan Mejoramiento"</formula>
    </cfRule>
    <cfRule type="cellIs" dxfId="486" priority="223" operator="equal">
      <formula>"Acción Preventiva"</formula>
    </cfRule>
    <cfRule type="cellIs" dxfId="485" priority="224" operator="equal">
      <formula>"Acción Correctiva"</formula>
    </cfRule>
  </conditionalFormatting>
  <conditionalFormatting sqref="M262:M267">
    <cfRule type="cellIs" dxfId="484" priority="221" operator="equal">
      <formula>"Corrección"</formula>
    </cfRule>
  </conditionalFormatting>
  <conditionalFormatting sqref="Q257">
    <cfRule type="cellIs" dxfId="483" priority="216" operator="equal">
      <formula>"Plan Mejoramiento"</formula>
    </cfRule>
    <cfRule type="cellIs" dxfId="482" priority="217" operator="equal">
      <formula>"Acción Preventiva"</formula>
    </cfRule>
    <cfRule type="cellIs" dxfId="481" priority="218" operator="equal">
      <formula>"Acción Correctiva"</formula>
    </cfRule>
  </conditionalFormatting>
  <conditionalFormatting sqref="Q257">
    <cfRule type="cellIs" dxfId="480" priority="213" operator="equal">
      <formula>"Corrección"</formula>
    </cfRule>
  </conditionalFormatting>
  <conditionalFormatting sqref="Q255:Q256">
    <cfRule type="cellIs" dxfId="479" priority="210" operator="equal">
      <formula>"Plan Mejoramiento"</formula>
    </cfRule>
    <cfRule type="cellIs" dxfId="478" priority="211" operator="equal">
      <formula>"Acción Preventiva"</formula>
    </cfRule>
    <cfRule type="cellIs" dxfId="477" priority="212" operator="equal">
      <formula>"Acción Correctiva"</formula>
    </cfRule>
  </conditionalFormatting>
  <conditionalFormatting sqref="Q255:Q256">
    <cfRule type="cellIs" dxfId="476" priority="209" operator="equal">
      <formula>"Corrección"</formula>
    </cfRule>
  </conditionalFormatting>
  <conditionalFormatting sqref="Q258">
    <cfRule type="cellIs" dxfId="475" priority="206" operator="equal">
      <formula>"Plan Mejoramiento"</formula>
    </cfRule>
    <cfRule type="cellIs" dxfId="474" priority="207" operator="equal">
      <formula>"Acción Preventiva"</formula>
    </cfRule>
    <cfRule type="cellIs" dxfId="473" priority="208" operator="equal">
      <formula>"Acción Correctiva"</formula>
    </cfRule>
  </conditionalFormatting>
  <conditionalFormatting sqref="Q258">
    <cfRule type="cellIs" dxfId="472" priority="203" operator="equal">
      <formula>"Corrección"</formula>
    </cfRule>
  </conditionalFormatting>
  <conditionalFormatting sqref="Q260">
    <cfRule type="cellIs" dxfId="471" priority="190" operator="equal">
      <formula>"Plan Mejoramiento"</formula>
    </cfRule>
    <cfRule type="cellIs" dxfId="470" priority="191" operator="equal">
      <formula>"Acción Preventiva"</formula>
    </cfRule>
    <cfRule type="cellIs" dxfId="469" priority="192" operator="equal">
      <formula>"Acción Correctiva"</formula>
    </cfRule>
  </conditionalFormatting>
  <conditionalFormatting sqref="Q260">
    <cfRule type="cellIs" dxfId="468" priority="187" operator="equal">
      <formula>"Corrección"</formula>
    </cfRule>
  </conditionalFormatting>
  <conditionalFormatting sqref="Q261">
    <cfRule type="cellIs" dxfId="467" priority="184" operator="equal">
      <formula>"Plan Mejoramiento"</formula>
    </cfRule>
    <cfRule type="cellIs" dxfId="466" priority="185" operator="equal">
      <formula>"Acción Preventiva"</formula>
    </cfRule>
    <cfRule type="cellIs" dxfId="465" priority="186" operator="equal">
      <formula>"Acción Correctiva"</formula>
    </cfRule>
  </conditionalFormatting>
  <conditionalFormatting sqref="Q261">
    <cfRule type="cellIs" dxfId="464" priority="181" operator="equal">
      <formula>"Corrección"</formula>
    </cfRule>
  </conditionalFormatting>
  <conditionalFormatting sqref="Q262:Q267">
    <cfRule type="cellIs" dxfId="463" priority="178" operator="equal">
      <formula>"Plan Mejoramiento"</formula>
    </cfRule>
    <cfRule type="cellIs" dxfId="462" priority="179" operator="equal">
      <formula>"Acción Preventiva"</formula>
    </cfRule>
    <cfRule type="cellIs" dxfId="461" priority="180" operator="equal">
      <formula>"Acción Correctiva"</formula>
    </cfRule>
  </conditionalFormatting>
  <conditionalFormatting sqref="Q262:Q267">
    <cfRule type="cellIs" dxfId="460" priority="175" operator="equal">
      <formula>"Corrección"</formula>
    </cfRule>
  </conditionalFormatting>
  <conditionalFormatting sqref="M288:M296 Q288:Q296 O288:O296">
    <cfRule type="cellIs" dxfId="459" priority="170" operator="equal">
      <formula>"Plan Mejoramiento"</formula>
    </cfRule>
    <cfRule type="cellIs" dxfId="458" priority="171" operator="equal">
      <formula>"Acción Preventiva"</formula>
    </cfRule>
    <cfRule type="cellIs" dxfId="457" priority="172" operator="equal">
      <formula>"Acción Correctiva"</formula>
    </cfRule>
  </conditionalFormatting>
  <conditionalFormatting sqref="R288:R296">
    <cfRule type="cellIs" dxfId="456" priority="168" operator="equal">
      <formula>"Cerrada"</formula>
    </cfRule>
    <cfRule type="cellIs" dxfId="455" priority="169" operator="equal">
      <formula>"Abierta"</formula>
    </cfRule>
  </conditionalFormatting>
  <conditionalFormatting sqref="M288:M296 Q288:Q296 O288:O296">
    <cfRule type="cellIs" dxfId="454" priority="167" operator="equal">
      <formula>"Corrección"</formula>
    </cfRule>
  </conditionalFormatting>
  <conditionalFormatting sqref="V293:V296">
    <cfRule type="cellIs" dxfId="453" priority="155" operator="equal">
      <formula>"No ha formulado PM"</formula>
    </cfRule>
    <cfRule type="cellIs" dxfId="452" priority="156" operator="equal">
      <formula>"Oportuno"</formula>
    </cfRule>
    <cfRule type="cellIs" dxfId="451" priority="157" operator="equal">
      <formula>"Inoportuno"</formula>
    </cfRule>
  </conditionalFormatting>
  <conditionalFormatting sqref="V303:V305">
    <cfRule type="cellIs" dxfId="450" priority="150" operator="equal">
      <formula>"No ha formulado PM"</formula>
    </cfRule>
    <cfRule type="cellIs" dxfId="449" priority="151" operator="equal">
      <formula>"Oportuno"</formula>
    </cfRule>
    <cfRule type="cellIs" dxfId="448" priority="152" operator="equal">
      <formula>"Inoportuno"</formula>
    </cfRule>
  </conditionalFormatting>
  <conditionalFormatting sqref="I33">
    <cfRule type="cellIs" dxfId="447" priority="140" operator="equal">
      <formula>"Oportunidad de mejora"</formula>
    </cfRule>
    <cfRule type="cellIs" dxfId="446" priority="141" operator="equal">
      <formula>"Recomendación"</formula>
    </cfRule>
    <cfRule type="cellIs" dxfId="445" priority="142" operator="equal">
      <formula>"No Conformidad"</formula>
    </cfRule>
  </conditionalFormatting>
  <conditionalFormatting sqref="J33">
    <cfRule type="cellIs" dxfId="444" priority="138" operator="equal">
      <formula>"Hallazgo Cerrado"</formula>
    </cfRule>
    <cfRule type="cellIs" dxfId="443" priority="139" operator="equal">
      <formula>"Hallazgo Abierto"</formula>
    </cfRule>
  </conditionalFormatting>
  <conditionalFormatting sqref="M254">
    <cfRule type="cellIs" dxfId="442" priority="135" operator="equal">
      <formula>"Plan Mejoramiento"</formula>
    </cfRule>
    <cfRule type="cellIs" dxfId="441" priority="136" operator="equal">
      <formula>"Acción Preventiva"</formula>
    </cfRule>
    <cfRule type="cellIs" dxfId="440" priority="137" operator="equal">
      <formula>"Acción Correctiva"</formula>
    </cfRule>
  </conditionalFormatting>
  <conditionalFormatting sqref="M254">
    <cfRule type="cellIs" dxfId="439" priority="134" operator="equal">
      <formula>"Corrección"</formula>
    </cfRule>
  </conditionalFormatting>
  <conditionalFormatting sqref="J231">
    <cfRule type="cellIs" dxfId="438" priority="129" operator="equal">
      <formula>"Hallazgo Cerrado"</formula>
    </cfRule>
    <cfRule type="cellIs" dxfId="437" priority="130" operator="equal">
      <formula>"Hallazgo Abierto"</formula>
    </cfRule>
  </conditionalFormatting>
  <conditionalFormatting sqref="I231">
    <cfRule type="cellIs" dxfId="436" priority="126" operator="equal">
      <formula>"Oportunidad de mejora"</formula>
    </cfRule>
    <cfRule type="cellIs" dxfId="435" priority="127" operator="equal">
      <formula>"Recomendación"</formula>
    </cfRule>
    <cfRule type="cellIs" dxfId="434" priority="128" operator="equal">
      <formula>"No Conformidad"</formula>
    </cfRule>
  </conditionalFormatting>
  <conditionalFormatting sqref="E253">
    <cfRule type="cellIs" dxfId="433" priority="124" operator="equal">
      <formula>"Institucional"</formula>
    </cfRule>
    <cfRule type="cellIs" dxfId="432" priority="125" operator="equal">
      <formula>"Proceso"</formula>
    </cfRule>
  </conditionalFormatting>
  <conditionalFormatting sqref="N226">
    <cfRule type="cellIs" dxfId="431" priority="121" operator="equal">
      <formula>"Plan Mejoramiento"</formula>
    </cfRule>
    <cfRule type="cellIs" dxfId="430" priority="122" operator="equal">
      <formula>"Acción Preventiva"</formula>
    </cfRule>
    <cfRule type="cellIs" dxfId="429" priority="123" operator="equal">
      <formula>"Acción Correctiva"</formula>
    </cfRule>
  </conditionalFormatting>
  <conditionalFormatting sqref="N226">
    <cfRule type="cellIs" dxfId="428" priority="120" operator="equal">
      <formula>"Corrección"</formula>
    </cfRule>
  </conditionalFormatting>
  <conditionalFormatting sqref="I253">
    <cfRule type="cellIs" dxfId="427" priority="101" operator="equal">
      <formula>"Oportunidad de mejora"</formula>
    </cfRule>
    <cfRule type="cellIs" dxfId="426" priority="102" operator="equal">
      <formula>"Recomendación"</formula>
    </cfRule>
    <cfRule type="cellIs" dxfId="425" priority="103" operator="equal">
      <formula>"No Conformidad"</formula>
    </cfRule>
  </conditionalFormatting>
  <conditionalFormatting sqref="J253">
    <cfRule type="cellIs" dxfId="424" priority="99" operator="equal">
      <formula>"Hallazgo Cerrado"</formula>
    </cfRule>
    <cfRule type="cellIs" dxfId="423" priority="100" operator="equal">
      <formula>"Hallazgo Abierto"</formula>
    </cfRule>
  </conditionalFormatting>
  <conditionalFormatting sqref="T50">
    <cfRule type="cellIs" dxfId="422" priority="96" operator="equal">
      <formula>"Plan Mejoramiento"</formula>
    </cfRule>
    <cfRule type="cellIs" dxfId="421" priority="97" operator="equal">
      <formula>"Acción Preventiva"</formula>
    </cfRule>
    <cfRule type="cellIs" dxfId="420" priority="98" operator="equal">
      <formula>"Acción Correctiva"</formula>
    </cfRule>
  </conditionalFormatting>
  <conditionalFormatting sqref="T50">
    <cfRule type="cellIs" dxfId="419" priority="95" operator="equal">
      <formula>"Corrección"</formula>
    </cfRule>
  </conditionalFormatting>
  <conditionalFormatting sqref="T29">
    <cfRule type="cellIs" dxfId="418" priority="92" operator="equal">
      <formula>"Plan Mejoramiento"</formula>
    </cfRule>
    <cfRule type="cellIs" dxfId="417" priority="93" operator="equal">
      <formula>"Acción Preventiva"</formula>
    </cfRule>
    <cfRule type="cellIs" dxfId="416" priority="94" operator="equal">
      <formula>"Acción Correctiva"</formula>
    </cfRule>
  </conditionalFormatting>
  <conditionalFormatting sqref="T29">
    <cfRule type="cellIs" dxfId="415" priority="90" operator="equal">
      <formula>"Cerrada"</formula>
    </cfRule>
    <cfRule type="cellIs" dxfId="414" priority="91" operator="equal">
      <formula>"Abierta"</formula>
    </cfRule>
  </conditionalFormatting>
  <conditionalFormatting sqref="T29">
    <cfRule type="cellIs" dxfId="413" priority="89" operator="equal">
      <formula>"Corrección"</formula>
    </cfRule>
  </conditionalFormatting>
  <conditionalFormatting sqref="T30">
    <cfRule type="cellIs" dxfId="412" priority="86" operator="equal">
      <formula>"Plan Mejoramiento"</formula>
    </cfRule>
    <cfRule type="cellIs" dxfId="411" priority="87" operator="equal">
      <formula>"Acción Preventiva"</formula>
    </cfRule>
    <cfRule type="cellIs" dxfId="410" priority="88" operator="equal">
      <formula>"Acción Correctiva"</formula>
    </cfRule>
  </conditionalFormatting>
  <conditionalFormatting sqref="T30">
    <cfRule type="cellIs" dxfId="409" priority="84" operator="equal">
      <formula>"Cerrada"</formula>
    </cfRule>
    <cfRule type="cellIs" dxfId="408" priority="85" operator="equal">
      <formula>"Abierta"</formula>
    </cfRule>
  </conditionalFormatting>
  <conditionalFormatting sqref="T30">
    <cfRule type="cellIs" dxfId="407" priority="83" operator="equal">
      <formula>"Corrección"</formula>
    </cfRule>
  </conditionalFormatting>
  <conditionalFormatting sqref="T31">
    <cfRule type="cellIs" dxfId="406" priority="80" operator="equal">
      <formula>"Plan Mejoramiento"</formula>
    </cfRule>
    <cfRule type="cellIs" dxfId="405" priority="81" operator="equal">
      <formula>"Acción Preventiva"</formula>
    </cfRule>
    <cfRule type="cellIs" dxfId="404" priority="82" operator="equal">
      <formula>"Acción Correctiva"</formula>
    </cfRule>
  </conditionalFormatting>
  <conditionalFormatting sqref="T31">
    <cfRule type="cellIs" dxfId="403" priority="78" operator="equal">
      <formula>"Cerrada"</formula>
    </cfRule>
    <cfRule type="cellIs" dxfId="402" priority="79" operator="equal">
      <formula>"Abierta"</formula>
    </cfRule>
  </conditionalFormatting>
  <conditionalFormatting sqref="T31">
    <cfRule type="cellIs" dxfId="401" priority="77" operator="equal">
      <formula>"Corrección"</formula>
    </cfRule>
  </conditionalFormatting>
  <conditionalFormatting sqref="Q214">
    <cfRule type="cellIs" dxfId="400" priority="70" operator="equal">
      <formula>"Plan Mejoramiento"</formula>
    </cfRule>
    <cfRule type="cellIs" dxfId="399" priority="71" operator="equal">
      <formula>"Acción Preventiva"</formula>
    </cfRule>
    <cfRule type="cellIs" dxfId="398" priority="72" operator="equal">
      <formula>"Acción Correctiva"</formula>
    </cfRule>
  </conditionalFormatting>
  <conditionalFormatting sqref="Q214">
    <cfRule type="cellIs" dxfId="397" priority="69" operator="equal">
      <formula>"Corrección"</formula>
    </cfRule>
  </conditionalFormatting>
  <conditionalFormatting sqref="T159">
    <cfRule type="cellIs" dxfId="396" priority="66" operator="equal">
      <formula>"Plan Mejoramiento"</formula>
    </cfRule>
    <cfRule type="cellIs" dxfId="395" priority="67" operator="equal">
      <formula>"Acción Preventiva"</formula>
    </cfRule>
    <cfRule type="cellIs" dxfId="394" priority="68" operator="equal">
      <formula>"Acción Correctiva"</formula>
    </cfRule>
  </conditionalFormatting>
  <conditionalFormatting sqref="T159">
    <cfRule type="cellIs" dxfId="393" priority="65" operator="equal">
      <formula>"Corrección"</formula>
    </cfRule>
  </conditionalFormatting>
  <conditionalFormatting sqref="T161">
    <cfRule type="cellIs" dxfId="392" priority="62" operator="equal">
      <formula>"Plan Mejoramiento"</formula>
    </cfRule>
    <cfRule type="cellIs" dxfId="391" priority="63" operator="equal">
      <formula>"Acción Preventiva"</formula>
    </cfRule>
    <cfRule type="cellIs" dxfId="390" priority="64" operator="equal">
      <formula>"Acción Correctiva"</formula>
    </cfRule>
  </conditionalFormatting>
  <conditionalFormatting sqref="T161">
    <cfRule type="cellIs" dxfId="389" priority="61" operator="equal">
      <formula>"Corrección"</formula>
    </cfRule>
  </conditionalFormatting>
  <conditionalFormatting sqref="T163">
    <cfRule type="cellIs" dxfId="388" priority="58" operator="equal">
      <formula>"Plan Mejoramiento"</formula>
    </cfRule>
    <cfRule type="cellIs" dxfId="387" priority="59" operator="equal">
      <formula>"Acción Preventiva"</formula>
    </cfRule>
    <cfRule type="cellIs" dxfId="386" priority="60" operator="equal">
      <formula>"Acción Correctiva"</formula>
    </cfRule>
  </conditionalFormatting>
  <conditionalFormatting sqref="T163">
    <cfRule type="cellIs" dxfId="385" priority="57" operator="equal">
      <formula>"Corrección"</formula>
    </cfRule>
  </conditionalFormatting>
  <conditionalFormatting sqref="T165">
    <cfRule type="cellIs" dxfId="384" priority="54" operator="equal">
      <formula>"Plan Mejoramiento"</formula>
    </cfRule>
    <cfRule type="cellIs" dxfId="383" priority="55" operator="equal">
      <formula>"Acción Preventiva"</formula>
    </cfRule>
    <cfRule type="cellIs" dxfId="382" priority="56" operator="equal">
      <formula>"Acción Correctiva"</formula>
    </cfRule>
  </conditionalFormatting>
  <conditionalFormatting sqref="T165">
    <cfRule type="cellIs" dxfId="381" priority="53" operator="equal">
      <formula>"Corrección"</formula>
    </cfRule>
  </conditionalFormatting>
  <conditionalFormatting sqref="T167">
    <cfRule type="cellIs" dxfId="380" priority="50" operator="equal">
      <formula>"Plan Mejoramiento"</formula>
    </cfRule>
    <cfRule type="cellIs" dxfId="379" priority="51" operator="equal">
      <formula>"Acción Preventiva"</formula>
    </cfRule>
    <cfRule type="cellIs" dxfId="378" priority="52" operator="equal">
      <formula>"Acción Correctiva"</formula>
    </cfRule>
  </conditionalFormatting>
  <conditionalFormatting sqref="T167">
    <cfRule type="cellIs" dxfId="377" priority="49" operator="equal">
      <formula>"Corrección"</formula>
    </cfRule>
  </conditionalFormatting>
  <conditionalFormatting sqref="Q169">
    <cfRule type="cellIs" dxfId="376" priority="46" operator="equal">
      <formula>"Plan Mejoramiento"</formula>
    </cfRule>
    <cfRule type="cellIs" dxfId="375" priority="47" operator="equal">
      <formula>"Acción Preventiva"</formula>
    </cfRule>
    <cfRule type="cellIs" dxfId="374" priority="48" operator="equal">
      <formula>"Acción Correctiva"</formula>
    </cfRule>
  </conditionalFormatting>
  <conditionalFormatting sqref="Q169">
    <cfRule type="cellIs" dxfId="373" priority="45" operator="equal">
      <formula>"Corrección"</formula>
    </cfRule>
  </conditionalFormatting>
  <conditionalFormatting sqref="L277">
    <cfRule type="cellIs" dxfId="372" priority="35" operator="equal">
      <formula>"Plan Mejoramiento"</formula>
    </cfRule>
    <cfRule type="cellIs" dxfId="371" priority="36" operator="equal">
      <formula>"Acción Preventiva"</formula>
    </cfRule>
    <cfRule type="cellIs" dxfId="370" priority="37" operator="equal">
      <formula>"Acción Correctiva"</formula>
    </cfRule>
  </conditionalFormatting>
  <conditionalFormatting sqref="L279">
    <cfRule type="cellIs" dxfId="369" priority="32" operator="equal">
      <formula>"Plan Mejoramiento"</formula>
    </cfRule>
    <cfRule type="cellIs" dxfId="368" priority="33" operator="equal">
      <formula>"Acción Preventiva"</formula>
    </cfRule>
    <cfRule type="cellIs" dxfId="367" priority="34" operator="equal">
      <formula>"Acción Correctiva"</formula>
    </cfRule>
  </conditionalFormatting>
  <conditionalFormatting sqref="L281">
    <cfRule type="cellIs" dxfId="366" priority="29" operator="equal">
      <formula>"Plan Mejoramiento"</formula>
    </cfRule>
    <cfRule type="cellIs" dxfId="365" priority="30" operator="equal">
      <formula>"Acción Preventiva"</formula>
    </cfRule>
    <cfRule type="cellIs" dxfId="364" priority="31" operator="equal">
      <formula>"Acción Correctiva"</formula>
    </cfRule>
  </conditionalFormatting>
  <conditionalFormatting sqref="L289:L296">
    <cfRule type="cellIs" dxfId="363" priority="17" operator="equal">
      <formula>"Plan Mejoramiento"</formula>
    </cfRule>
    <cfRule type="cellIs" dxfId="362" priority="18" operator="equal">
      <formula>"Acción Preventiva"</formula>
    </cfRule>
    <cfRule type="cellIs" dxfId="361" priority="19" operator="equal">
      <formula>"Acción Correctiva"</formula>
    </cfRule>
  </conditionalFormatting>
  <conditionalFormatting sqref="N277:N278">
    <cfRule type="cellIs" dxfId="360" priority="14" operator="equal">
      <formula>"Plan Mejoramiento"</formula>
    </cfRule>
    <cfRule type="cellIs" dxfId="359" priority="15" operator="equal">
      <formula>"Acción Preventiva"</formula>
    </cfRule>
    <cfRule type="cellIs" dxfId="358" priority="16" operator="equal">
      <formula>"Acción Correctiva"</formula>
    </cfRule>
  </conditionalFormatting>
  <conditionalFormatting sqref="N277:N278">
    <cfRule type="cellIs" dxfId="357" priority="13" operator="equal">
      <formula>"Corrección"</formula>
    </cfRule>
  </conditionalFormatting>
  <conditionalFormatting sqref="R274">
    <cfRule type="cellIs" dxfId="356" priority="11" operator="equal">
      <formula>"Cerrada"</formula>
    </cfRule>
    <cfRule type="cellIs" dxfId="355" priority="12" operator="equal">
      <formula>"Abierta"</formula>
    </cfRule>
  </conditionalFormatting>
  <conditionalFormatting sqref="R275">
    <cfRule type="cellIs" dxfId="354" priority="9" operator="equal">
      <formula>"Cerrada"</formula>
    </cfRule>
    <cfRule type="cellIs" dxfId="353" priority="10" operator="equal">
      <formula>"Abierta"</formula>
    </cfRule>
  </conditionalFormatting>
  <conditionalFormatting sqref="R271:R273">
    <cfRule type="cellIs" dxfId="352" priority="7" operator="equal">
      <formula>"Cerrada"</formula>
    </cfRule>
    <cfRule type="cellIs" dxfId="351" priority="8" operator="equal">
      <formula>"Abierta"</formula>
    </cfRule>
  </conditionalFormatting>
  <conditionalFormatting sqref="J279">
    <cfRule type="cellIs" dxfId="350" priority="3" operator="equal">
      <formula>"Hallazgo Cerrado"</formula>
    </cfRule>
    <cfRule type="cellIs" dxfId="349" priority="4" operator="equal">
      <formula>"Hallazgo Abierto"</formula>
    </cfRule>
  </conditionalFormatting>
  <dataValidations count="12">
    <dataValidation type="list" allowBlank="1" showInputMessage="1" showErrorMessage="1" sqref="G338 M26 M4:M23 M53:M226 M28:M48 M268:M306">
      <formula1>"Corrección,Acción Correctiva,Acción Preventiva,Acción Mejora"</formula1>
    </dataValidation>
    <dataValidation type="list" allowBlank="1" showInputMessage="1" showErrorMessage="1" sqref="R310 D191 D124 D148 D4:D5 D53 D69 D71:D73 D59 D100:D102 D106 D109 D86 D213:D219 D55 D64:D67 D89:D93 D97:D98 D115:D117 D193 D187 D32 D77:D79 D189 E318:I318 D7:D12 D75 D81:D84 D119:D120 D126 D129:D141 D143:D146 D20:D28 D185 D179:D183 D174:D176 D222 D18 D154:D158 D160 D162 D164 D166 D168:D171 D196:D211 D265 D267 D228 D253:D254 D224:D226 D36:D49 D274:D277 D279 D281 D283 D285 D287 D257:D263 D289:D290 D298:D306 D292:D296 D269:D271 D272">
      <formula1>"Auditoria,Informes,Especial,Autocontrol"</formula1>
    </dataValidation>
    <dataValidation type="list" allowBlank="1" showInputMessage="1" showErrorMessage="1" sqref="P311:P312 R4:R306">
      <formula1>"Abierta,Cerrada"</formula1>
    </dataValidation>
    <dataValidation type="list" allowBlank="1" showInputMessage="1" showErrorMessage="1" sqref="I191 I148 I124 P318 H313 C313 I53 I69 I71:I73 I59 I100:I102 I106 I109 I86 I168:I171 I55 I64:I67 I89:I93 I97:I98 I115:I117 I187 I193 I32 I77:I79 I189 I4:I5 I7:I12 I75 I81:I84 I119:I120 I126 I129:I141 I143:I146 I185 I179:I183 I174:I176 I222 I18 I20:I28 I213:I219 I154:I158 I160 I162 I164 I166 I196:I211 I265 I267 I36:I49 I254 I228 I232 I234 I248 I250 I252 I224:I226 I287 I274 I276:I277 I281 I283 I285 I257:I263 I236 I238 I240:I243 I245:I246 I289:I290 I298:I306 I292:I296 I269:I271 I272">
      <formula1>"No Conformidad,Recomendación, Oportunidad de mejora"</formula1>
    </dataValidation>
    <dataValidation type="list" allowBlank="1" showInputMessage="1" showErrorMessage="1" sqref="K191 K53 K124 K148 K69 K71:K73 K59 K100:K102 K106 K109 K86 K224:K225 K55 K64:K67 K89:K93 K97:K98 K115:K117 K187 K193 K32 K77:K79 K189 K4:K5 K7:K12 K75 K81:K84 K119:K120 K126 K129:K141 K143:K146 K213:K219 K185 K179:K183 K174:K176 K222 K36:K49 K154:K158 K160 K162 K164 K166 K168:K171 K196:K211 K18 K20:K28 K276:K277 K281 K283 K285 K287 K274 K289:K290 K298:K306 K292:K296 K269:K271 K272">
      <formula1>"No,Si"</formula1>
    </dataValidation>
    <dataValidation type="list" allowBlank="1" showInputMessage="1" showErrorMessage="1" sqref="J53 J191 J148 J124 J69 J71:J73 J100:J102 J106 J109 J86 J59 J55 J64:J67 J89:J93 J97:J98 J115:J117 J187 J193 J32 J77:J79 J189 J213:J219 J75 J81:J84 J119:J120 J126 J168:J171 J143:J146 J20:J28 J185 J179:J183 J129:J141 J222 J4:J18 J154:J158 J160 J162 J164 J166 J174:J176 J196:J211 J265 J267 J36:J50 J254 J228 J231:J232 J234 J248 J250 J252 J224:J226 J287 J274 J276:J277 J281 J283 J285 J257:J263 J236 J238 J240:J243 J245:J246 J289:J290 J298:J306 J292:J296 J269:J271 J272">
      <formula1>"Hallazgo Abierto,Hallazgo Cerrado"</formula1>
    </dataValidation>
    <dataValidation type="list" allowBlank="1" showInputMessage="1" showErrorMessage="1" sqref="C318:D318 E191 E124 E148 E100:E102 E106 E109 E53 E59 E71:E73 E86 E69 E213:E219 E55 E64:E67 E89:E93 E97:E98 E115:E117 E193 E187 E32 E77:E79 E189 E4 E7:E12 E75 E81:E84 E119:E120 E126 E129:E141 E143:E146 E20:E28 E185 E179:E183 E174:E176 E222 E18 E154:E158 E160 E162 E164 E166 E168:E171 E196:E211 E265 E267 E228 E253:E254 E224:E226 E36:E49 E274:E277 E279 E281 E283 E285 E287 E257:E263 E289:E290 E298:E306 E292:E296 E269:E271 E272">
      <formula1>"Institucional,Proceso"</formula1>
    </dataValidation>
    <dataValidation type="list" allowBlank="1" showInputMessage="1" showErrorMessage="1" sqref="B328:B329 B321 C339:C351 B341 B348:B349 B86:B87 B81:B84 B69 B71:B73 B36:B55 B100:B106 B4:B28 B126 B213:B230 B168:B171 B109:B120 B129:B158 B160 B162 B164 B166 B89:B93 B187:B211 B124 B59:B67 B97:B98 B174:B183 B185 B32:B33 B75:B79 B276:B277 B281 B283 B285 B287 B274 B289:B290 B298:B306 B292:B296 B253:B271 B272">
      <formula1>Proceso</formula1>
    </dataValidation>
    <dataValidation type="list" allowBlank="1" showInputMessage="1" showErrorMessage="1" sqref="M27 M24:M25 M49:M52">
      <formula1>"Corrección,Acción Correctiva,Acción Preventiva, Plan Mejoramiento"</formula1>
    </dataValidation>
    <dataValidation type="textLength" allowBlank="1" showInputMessage="1" showErrorMessage="1" error="Escriba un texto " promptTitle="Cualquier contenido" sqref="N59:N63 H59 C59">
      <formula1>0</formula1>
      <formula2>3500</formula2>
    </dataValidation>
    <dataValidation showDropDown="1" showInputMessage="1" showErrorMessage="1" sqref="O52 O262:O267 K267"/>
    <dataValidation type="list" allowBlank="1" showInputMessage="1" showErrorMessage="1" sqref="F86:F93 F222 F4 F7:F12 F18 F20:F28 F32:F33 F53 F55 F59 F64:F67 F69 F71:F73 F75 F77:F79 F213:F219 F97:F98 F100:F102 F106 F109 F115:F117 F119:F120 F124 F126 F129:F141 F143:F146 F148 F154:F158 F160 F162 F164 F166 F168:F171 F174:F176 F179:F183 F185 F187 F189 F191 F193 F196:F211 F81:F84 F265 F267 F228 F253:F254 F224:F226 F36:F49 F274:F277 F279 F281 F283 F285 F287 F257:F263 F289:F290 F298:F306 F292:F296 F269:F271 F272">
      <formula1>Auditores</formula1>
    </dataValidation>
  </dataValidations>
  <hyperlinks>
    <hyperlink ref="T267" r:id="rId1" display="\\serv-cv11\calidad\1. PROCESO DE GESTIÓN ESTRATÉGICA\MANUALES\208-PLA-Mn-06 PLAN ESTRATÉGICO DE LA CAJA DE LA VIVIENDA POPULAR"/>
  </hyperlinks>
  <pageMargins left="1.2598425196850394" right="0.23622047244094491" top="0.62992125984251968" bottom="0.51181102362204722" header="0.31496062992125984" footer="0.31496062992125984"/>
  <pageSetup scale="50" fitToHeight="0" orientation="landscape" r:id="rId2"/>
  <headerFooter differentOddEven="1">
    <oddHeader>&amp;L&amp;G&amp;G&amp;C&amp;"Arial Black,Normal"&amp;12Seguimiento Acciones Plan Mejoramiento
Caja de la Vivienda Popular</oddHeader>
    <oddFooter>&amp;L&amp;A&amp;CHoja &amp;P de &amp;N</oddFooter>
  </headerFooter>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23" sqref="G23"/>
    </sheetView>
  </sheetViews>
  <sheetFormatPr baseColWidth="10" defaultRowHeight="15" x14ac:dyDescent="0.25"/>
  <cols>
    <col min="2" max="2" width="11.42578125" style="1"/>
    <col min="3" max="3" width="26.42578125" customWidth="1"/>
    <col min="4" max="4" width="18.28515625" customWidth="1"/>
    <col min="5" max="5" width="18.7109375" customWidth="1"/>
    <col min="6" max="6" width="58.140625" customWidth="1"/>
    <col min="7" max="7" width="19.85546875" customWidth="1"/>
  </cols>
  <sheetData>
    <row r="1" spans="1:7" ht="26.25" x14ac:dyDescent="0.4">
      <c r="A1" s="169" t="s">
        <v>159</v>
      </c>
      <c r="B1" s="169"/>
      <c r="C1" s="169"/>
      <c r="D1" s="169"/>
      <c r="E1" s="169"/>
    </row>
    <row r="2" spans="1:7" ht="15.75" thickBot="1" x14ac:dyDescent="0.3"/>
    <row r="3" spans="1:7" ht="15.75" thickBot="1" x14ac:dyDescent="0.3">
      <c r="D3" s="831" t="s">
        <v>161</v>
      </c>
      <c r="E3" s="832"/>
    </row>
    <row r="4" spans="1:7" x14ac:dyDescent="0.25">
      <c r="A4" s="173" t="s">
        <v>160</v>
      </c>
      <c r="B4" s="173" t="s">
        <v>164</v>
      </c>
      <c r="C4" s="173" t="s">
        <v>9</v>
      </c>
      <c r="D4" s="174" t="s">
        <v>9</v>
      </c>
      <c r="E4" s="174" t="s">
        <v>162</v>
      </c>
      <c r="F4" s="173" t="s">
        <v>163</v>
      </c>
      <c r="G4" s="173" t="s">
        <v>67</v>
      </c>
    </row>
    <row r="5" spans="1:7" ht="90" x14ac:dyDescent="0.25">
      <c r="A5" s="202">
        <v>42375</v>
      </c>
      <c r="B5" s="230" t="s">
        <v>419</v>
      </c>
      <c r="C5" s="172" t="s">
        <v>2</v>
      </c>
      <c r="D5" s="191" t="s">
        <v>339</v>
      </c>
      <c r="E5" s="191" t="s">
        <v>58</v>
      </c>
      <c r="F5" s="201" t="s">
        <v>420</v>
      </c>
      <c r="G5" s="203">
        <v>2015</v>
      </c>
    </row>
    <row r="6" spans="1:7" ht="45" x14ac:dyDescent="0.25">
      <c r="A6" s="202">
        <v>42381</v>
      </c>
      <c r="B6" s="190" t="s">
        <v>421</v>
      </c>
      <c r="C6" s="172" t="s">
        <v>25</v>
      </c>
      <c r="D6" s="191" t="s">
        <v>422</v>
      </c>
      <c r="E6" s="191" t="s">
        <v>58</v>
      </c>
      <c r="F6" s="201" t="s">
        <v>423</v>
      </c>
      <c r="G6" s="203">
        <v>2015</v>
      </c>
    </row>
    <row r="7" spans="1:7" ht="45" x14ac:dyDescent="0.25">
      <c r="A7" s="287" t="s">
        <v>428</v>
      </c>
      <c r="B7" s="175" t="s">
        <v>431</v>
      </c>
      <c r="C7" s="172" t="s">
        <v>424</v>
      </c>
      <c r="D7" s="191" t="s">
        <v>425</v>
      </c>
      <c r="E7" s="191" t="s">
        <v>58</v>
      </c>
      <c r="F7" s="201" t="s">
        <v>432</v>
      </c>
      <c r="G7" s="203">
        <v>2015</v>
      </c>
    </row>
    <row r="8" spans="1:7" ht="60" x14ac:dyDescent="0.25">
      <c r="A8" s="176">
        <v>42383</v>
      </c>
      <c r="B8" s="213" t="s">
        <v>433</v>
      </c>
      <c r="C8" s="172" t="s">
        <v>434</v>
      </c>
      <c r="D8" s="191" t="s">
        <v>435</v>
      </c>
      <c r="E8" s="191" t="s">
        <v>58</v>
      </c>
      <c r="F8" s="201" t="s">
        <v>436</v>
      </c>
      <c r="G8" s="203">
        <v>2015</v>
      </c>
    </row>
    <row r="9" spans="1:7" ht="60" x14ac:dyDescent="0.25">
      <c r="A9" s="176">
        <v>42383</v>
      </c>
      <c r="B9" s="175" t="s">
        <v>437</v>
      </c>
      <c r="C9" s="172" t="s">
        <v>37</v>
      </c>
      <c r="D9" s="191" t="s">
        <v>438</v>
      </c>
      <c r="E9" s="191" t="s">
        <v>58</v>
      </c>
      <c r="F9" s="201" t="s">
        <v>439</v>
      </c>
      <c r="G9" s="203">
        <v>2015</v>
      </c>
    </row>
    <row r="10" spans="1:7" ht="45" x14ac:dyDescent="0.25">
      <c r="A10" s="176">
        <v>42391</v>
      </c>
      <c r="B10" s="175" t="s">
        <v>445</v>
      </c>
      <c r="C10" s="172" t="s">
        <v>37</v>
      </c>
      <c r="D10" s="191" t="s">
        <v>438</v>
      </c>
      <c r="E10" s="191" t="s">
        <v>58</v>
      </c>
      <c r="F10" s="201" t="s">
        <v>446</v>
      </c>
      <c r="G10" s="203">
        <v>2015</v>
      </c>
    </row>
    <row r="11" spans="1:7" ht="30" x14ac:dyDescent="0.25">
      <c r="A11" s="176">
        <v>42397</v>
      </c>
      <c r="B11" s="227" t="s">
        <v>449</v>
      </c>
      <c r="C11" s="172" t="s">
        <v>2</v>
      </c>
      <c r="D11" s="191" t="s">
        <v>339</v>
      </c>
      <c r="E11" s="191" t="s">
        <v>58</v>
      </c>
      <c r="F11" s="201" t="s">
        <v>447</v>
      </c>
      <c r="G11" s="203">
        <v>2015</v>
      </c>
    </row>
    <row r="12" spans="1:7" ht="30" x14ac:dyDescent="0.25">
      <c r="A12" s="176">
        <v>42398</v>
      </c>
      <c r="B12" s="230" t="s">
        <v>448</v>
      </c>
      <c r="C12" s="172" t="s">
        <v>2</v>
      </c>
      <c r="D12" s="191" t="s">
        <v>339</v>
      </c>
      <c r="E12" s="191" t="s">
        <v>58</v>
      </c>
      <c r="F12" s="171" t="s">
        <v>450</v>
      </c>
      <c r="G12" s="203">
        <v>2015</v>
      </c>
    </row>
    <row r="13" spans="1:7" ht="30" x14ac:dyDescent="0.25">
      <c r="A13" s="176">
        <v>42398</v>
      </c>
      <c r="B13" s="288">
        <v>0.375</v>
      </c>
      <c r="C13" s="172" t="s">
        <v>424</v>
      </c>
      <c r="D13" s="191" t="s">
        <v>425</v>
      </c>
      <c r="E13" s="191" t="s">
        <v>58</v>
      </c>
      <c r="F13" s="171"/>
      <c r="G13" s="203">
        <v>2015</v>
      </c>
    </row>
    <row r="14" spans="1:7" ht="60" x14ac:dyDescent="0.25">
      <c r="A14" s="194">
        <v>42409</v>
      </c>
      <c r="B14" s="230" t="s">
        <v>453</v>
      </c>
      <c r="C14" s="172" t="s">
        <v>434</v>
      </c>
      <c r="D14" s="191" t="s">
        <v>435</v>
      </c>
      <c r="E14" s="191" t="s">
        <v>58</v>
      </c>
      <c r="F14" s="195" t="s">
        <v>454</v>
      </c>
      <c r="G14" s="289">
        <v>2015</v>
      </c>
    </row>
    <row r="15" spans="1:7" ht="105" x14ac:dyDescent="0.25">
      <c r="A15" s="194">
        <v>42480</v>
      </c>
      <c r="B15" s="230" t="s">
        <v>513</v>
      </c>
      <c r="C15" s="172" t="s">
        <v>514</v>
      </c>
      <c r="D15" s="191" t="s">
        <v>515</v>
      </c>
      <c r="E15" s="201" t="s">
        <v>516</v>
      </c>
      <c r="F15" s="195" t="s">
        <v>517</v>
      </c>
      <c r="G15" s="289">
        <v>2016</v>
      </c>
    </row>
    <row r="16" spans="1:7" ht="60" x14ac:dyDescent="0.25">
      <c r="A16" s="304">
        <v>42495</v>
      </c>
      <c r="B16" s="197" t="s">
        <v>519</v>
      </c>
      <c r="C16" s="172" t="s">
        <v>514</v>
      </c>
      <c r="D16" s="191" t="s">
        <v>515</v>
      </c>
      <c r="E16" s="201" t="s">
        <v>520</v>
      </c>
      <c r="F16" s="198" t="s">
        <v>521</v>
      </c>
      <c r="G16" s="289">
        <v>2016</v>
      </c>
    </row>
    <row r="17" spans="1:7" ht="90" x14ac:dyDescent="0.25">
      <c r="A17" s="176">
        <v>42500</v>
      </c>
      <c r="B17" s="288" t="s">
        <v>528</v>
      </c>
      <c r="C17" s="172" t="s">
        <v>522</v>
      </c>
      <c r="D17" s="191" t="s">
        <v>515</v>
      </c>
      <c r="E17" s="191" t="s">
        <v>523</v>
      </c>
      <c r="F17" s="171" t="s">
        <v>529</v>
      </c>
      <c r="G17" s="289">
        <v>2016</v>
      </c>
    </row>
    <row r="18" spans="1:7" ht="60" x14ac:dyDescent="0.25">
      <c r="A18" s="176">
        <v>42500</v>
      </c>
      <c r="B18" s="288" t="s">
        <v>548</v>
      </c>
      <c r="C18" s="43" t="s">
        <v>10</v>
      </c>
      <c r="D18" s="191" t="s">
        <v>547</v>
      </c>
      <c r="E18" s="201" t="s">
        <v>520</v>
      </c>
      <c r="F18" s="195" t="s">
        <v>549</v>
      </c>
      <c r="G18" s="289">
        <v>2015</v>
      </c>
    </row>
    <row r="19" spans="1:7" ht="60" x14ac:dyDescent="0.25">
      <c r="A19" s="176">
        <v>42502</v>
      </c>
      <c r="B19" s="190" t="s">
        <v>551</v>
      </c>
      <c r="C19" s="43" t="s">
        <v>522</v>
      </c>
      <c r="D19" s="191" t="s">
        <v>550</v>
      </c>
      <c r="E19" s="191" t="s">
        <v>58</v>
      </c>
      <c r="F19" s="195" t="s">
        <v>552</v>
      </c>
      <c r="G19" s="191" t="s">
        <v>553</v>
      </c>
    </row>
    <row r="20" spans="1:7" ht="45" x14ac:dyDescent="0.25">
      <c r="A20" s="176">
        <v>42542</v>
      </c>
      <c r="B20" s="230" t="s">
        <v>566</v>
      </c>
      <c r="C20" s="43" t="s">
        <v>333</v>
      </c>
      <c r="D20" s="191" t="s">
        <v>560</v>
      </c>
      <c r="E20" s="191" t="s">
        <v>58</v>
      </c>
      <c r="F20" s="201" t="s">
        <v>567</v>
      </c>
      <c r="G20" s="191" t="s">
        <v>561</v>
      </c>
    </row>
    <row r="21" spans="1:7" ht="60" x14ac:dyDescent="0.25">
      <c r="A21" s="176">
        <v>42542</v>
      </c>
      <c r="B21" s="288" t="s">
        <v>596</v>
      </c>
      <c r="C21" s="43" t="s">
        <v>592</v>
      </c>
      <c r="D21" s="191" t="s">
        <v>593</v>
      </c>
      <c r="E21" s="201" t="s">
        <v>594</v>
      </c>
      <c r="F21" s="201" t="s">
        <v>595</v>
      </c>
      <c r="G21" s="191">
        <v>2015</v>
      </c>
    </row>
    <row r="22" spans="1:7" ht="165" x14ac:dyDescent="0.25">
      <c r="A22" s="202">
        <v>42543</v>
      </c>
      <c r="B22" s="190" t="s">
        <v>597</v>
      </c>
      <c r="C22" s="43" t="s">
        <v>10</v>
      </c>
      <c r="D22" s="191" t="s">
        <v>547</v>
      </c>
      <c r="E22" s="201" t="s">
        <v>520</v>
      </c>
      <c r="F22" s="201" t="s">
        <v>598</v>
      </c>
      <c r="G22" s="170">
        <v>2015</v>
      </c>
    </row>
    <row r="23" spans="1:7" x14ac:dyDescent="0.25">
      <c r="A23" s="202"/>
      <c r="B23" s="190"/>
      <c r="C23" s="172"/>
      <c r="D23" s="191"/>
      <c r="E23" s="191"/>
      <c r="F23" s="201"/>
      <c r="G23" s="203"/>
    </row>
    <row r="24" spans="1:7" s="1" customFormat="1" x14ac:dyDescent="0.25">
      <c r="A24" s="202"/>
      <c r="B24" s="190"/>
      <c r="C24" s="172"/>
      <c r="D24" s="191"/>
      <c r="E24" s="191"/>
      <c r="F24" s="201"/>
      <c r="G24" s="203"/>
    </row>
  </sheetData>
  <mergeCells count="1">
    <mergeCell ref="D3:E3"/>
  </mergeCells>
  <dataValidations count="1">
    <dataValidation type="list" allowBlank="1" showInputMessage="1" showErrorMessage="1" sqref="C18:C22">
      <formula1>Proceso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zoomScale="90" zoomScaleNormal="90" workbookViewId="0">
      <selection activeCell="A4" sqref="A4"/>
    </sheetView>
  </sheetViews>
  <sheetFormatPr baseColWidth="10" defaultRowHeight="15" x14ac:dyDescent="0.25"/>
  <cols>
    <col min="1" max="1" width="6.85546875" customWidth="1"/>
    <col min="2" max="2" width="19.85546875" customWidth="1"/>
    <col min="3" max="3" width="23.7109375" customWidth="1"/>
    <col min="7" max="7" width="60.7109375" customWidth="1"/>
    <col min="8" max="8" width="13.140625" customWidth="1"/>
    <col min="9" max="9" width="16.7109375" customWidth="1"/>
    <col min="10" max="10" width="46.28515625" customWidth="1"/>
    <col min="11" max="11" width="12.5703125" customWidth="1"/>
  </cols>
  <sheetData>
    <row r="1" spans="1:11" s="1" customFormat="1" x14ac:dyDescent="0.25">
      <c r="A1" s="1" t="s">
        <v>187</v>
      </c>
    </row>
    <row r="2" spans="1:11" s="1" customFormat="1" ht="15.75" thickBot="1" x14ac:dyDescent="0.3"/>
    <row r="3" spans="1:11" ht="37.5" thickBot="1" x14ac:dyDescent="0.3">
      <c r="A3" s="34" t="s">
        <v>68</v>
      </c>
      <c r="B3" s="35" t="s">
        <v>0</v>
      </c>
      <c r="C3" s="35" t="s">
        <v>1</v>
      </c>
      <c r="D3" s="36" t="s">
        <v>42</v>
      </c>
      <c r="E3" s="212" t="s">
        <v>69</v>
      </c>
      <c r="F3" s="37" t="s">
        <v>70</v>
      </c>
      <c r="G3" s="211" t="s">
        <v>71</v>
      </c>
      <c r="H3" s="210" t="s">
        <v>45</v>
      </c>
      <c r="I3" s="210" t="s">
        <v>103</v>
      </c>
      <c r="J3" s="210" t="s">
        <v>188</v>
      </c>
      <c r="K3" s="210" t="s">
        <v>189</v>
      </c>
    </row>
    <row r="4" spans="1:11" ht="128.25" thickTop="1" x14ac:dyDescent="0.25">
      <c r="A4" s="179">
        <v>1</v>
      </c>
      <c r="B4" s="43" t="s">
        <v>63</v>
      </c>
      <c r="C4" s="184" t="s">
        <v>430</v>
      </c>
      <c r="D4" s="178" t="s">
        <v>43</v>
      </c>
      <c r="E4" s="182" t="s">
        <v>52</v>
      </c>
      <c r="F4" s="46">
        <v>42368</v>
      </c>
      <c r="G4" s="164" t="s">
        <v>418</v>
      </c>
      <c r="H4" s="209"/>
      <c r="I4" s="286" t="s">
        <v>426</v>
      </c>
      <c r="J4" s="199" t="s">
        <v>429</v>
      </c>
      <c r="K4" s="183">
        <v>42381</v>
      </c>
    </row>
    <row r="5" spans="1:11" s="31" customFormat="1" ht="53.25" customHeight="1" x14ac:dyDescent="0.2">
      <c r="A5" s="180">
        <f>1+A4</f>
        <v>2</v>
      </c>
      <c r="B5" s="43"/>
      <c r="C5" s="184"/>
      <c r="D5" s="208"/>
      <c r="E5" s="182"/>
      <c r="F5" s="46"/>
      <c r="G5" s="199"/>
      <c r="H5" s="209"/>
      <c r="I5" s="15"/>
      <c r="J5" s="199"/>
      <c r="K5" s="183"/>
    </row>
    <row r="6" spans="1:11" s="31" customFormat="1" ht="56.25" customHeight="1" x14ac:dyDescent="0.2">
      <c r="A6" s="281">
        <f t="shared" ref="A6:A37" si="0">1+A5</f>
        <v>3</v>
      </c>
      <c r="B6" s="43"/>
      <c r="C6" s="184"/>
      <c r="D6" s="208"/>
      <c r="E6" s="182"/>
      <c r="F6" s="46"/>
      <c r="G6" s="199"/>
      <c r="H6" s="209"/>
      <c r="I6" s="15"/>
      <c r="J6" s="199"/>
      <c r="K6" s="183"/>
    </row>
    <row r="7" spans="1:11" x14ac:dyDescent="0.25">
      <c r="A7" s="281">
        <f t="shared" si="0"/>
        <v>4</v>
      </c>
      <c r="B7" s="43"/>
      <c r="C7" s="184"/>
      <c r="D7" s="208"/>
      <c r="E7" s="182"/>
      <c r="F7" s="46"/>
      <c r="G7" s="199"/>
      <c r="H7" s="209"/>
      <c r="I7" s="15"/>
      <c r="J7" s="199"/>
      <c r="K7" s="183"/>
    </row>
    <row r="8" spans="1:11" x14ac:dyDescent="0.25">
      <c r="A8" s="281">
        <f t="shared" si="0"/>
        <v>5</v>
      </c>
      <c r="B8" s="43"/>
      <c r="C8" s="184"/>
      <c r="D8" s="208"/>
      <c r="E8" s="182"/>
      <c r="F8" s="46"/>
      <c r="G8" s="199"/>
      <c r="H8" s="209"/>
      <c r="I8" s="15"/>
      <c r="J8" s="199"/>
      <c r="K8" s="183"/>
    </row>
    <row r="9" spans="1:11" x14ac:dyDescent="0.25">
      <c r="A9" s="281">
        <f t="shared" si="0"/>
        <v>6</v>
      </c>
      <c r="B9" s="43"/>
      <c r="C9" s="184"/>
      <c r="D9" s="208"/>
      <c r="E9" s="182"/>
      <c r="F9" s="46"/>
      <c r="G9" s="199"/>
      <c r="H9" s="209"/>
      <c r="I9" s="15"/>
      <c r="J9" s="199"/>
      <c r="K9" s="183"/>
    </row>
    <row r="10" spans="1:11" x14ac:dyDescent="0.25">
      <c r="A10" s="281">
        <f t="shared" si="0"/>
        <v>7</v>
      </c>
      <c r="B10" s="43"/>
      <c r="C10" s="184"/>
      <c r="D10" s="208"/>
      <c r="E10" s="182"/>
      <c r="F10" s="46"/>
      <c r="G10" s="181"/>
      <c r="H10" s="209"/>
      <c r="I10" s="15"/>
      <c r="J10" s="199"/>
      <c r="K10" s="183"/>
    </row>
    <row r="11" spans="1:11" s="1" customFormat="1" x14ac:dyDescent="0.25">
      <c r="A11" s="281">
        <f t="shared" si="0"/>
        <v>8</v>
      </c>
      <c r="B11" s="43"/>
      <c r="C11" s="184"/>
      <c r="D11" s="223"/>
      <c r="E11" s="182"/>
      <c r="F11" s="46"/>
      <c r="G11" s="205"/>
      <c r="H11" s="224"/>
      <c r="I11" s="225"/>
      <c r="J11" s="199"/>
      <c r="K11" s="183"/>
    </row>
    <row r="12" spans="1:11" s="1" customFormat="1" x14ac:dyDescent="0.25">
      <c r="A12" s="281">
        <f t="shared" si="0"/>
        <v>9</v>
      </c>
      <c r="B12" s="43"/>
      <c r="C12" s="184"/>
      <c r="D12" s="223"/>
      <c r="E12" s="182"/>
      <c r="F12" s="46"/>
      <c r="G12" s="205"/>
      <c r="H12" s="224"/>
      <c r="I12" s="225"/>
      <c r="J12" s="199"/>
      <c r="K12" s="183"/>
    </row>
    <row r="13" spans="1:11" s="1" customFormat="1" x14ac:dyDescent="0.25">
      <c r="A13" s="281">
        <f t="shared" si="0"/>
        <v>10</v>
      </c>
      <c r="B13" s="43"/>
      <c r="C13" s="184"/>
      <c r="D13" s="223"/>
      <c r="E13" s="182"/>
      <c r="F13" s="46"/>
      <c r="G13" s="205"/>
      <c r="H13" s="224"/>
      <c r="I13" s="225"/>
      <c r="J13" s="199"/>
      <c r="K13" s="183"/>
    </row>
    <row r="14" spans="1:11" s="1" customFormat="1" x14ac:dyDescent="0.25">
      <c r="A14" s="281">
        <f t="shared" si="0"/>
        <v>11</v>
      </c>
      <c r="B14" s="43"/>
      <c r="C14" s="184"/>
      <c r="D14" s="223"/>
      <c r="E14" s="182"/>
      <c r="F14" s="46"/>
      <c r="G14" s="205"/>
      <c r="H14" s="224"/>
      <c r="I14" s="225"/>
      <c r="J14" s="199"/>
      <c r="K14" s="183"/>
    </row>
    <row r="15" spans="1:11" s="1" customFormat="1" x14ac:dyDescent="0.25">
      <c r="A15" s="281">
        <f t="shared" si="0"/>
        <v>12</v>
      </c>
      <c r="B15" s="43"/>
      <c r="C15" s="184"/>
      <c r="D15" s="223"/>
      <c r="E15" s="182"/>
      <c r="F15" s="46"/>
      <c r="G15" s="206"/>
      <c r="H15" s="224"/>
      <c r="I15" s="225"/>
      <c r="J15" s="199"/>
      <c r="K15" s="183"/>
    </row>
    <row r="16" spans="1:11" s="1" customFormat="1" x14ac:dyDescent="0.25">
      <c r="A16" s="281">
        <f t="shared" si="0"/>
        <v>13</v>
      </c>
      <c r="B16" s="43"/>
      <c r="C16" s="43"/>
      <c r="D16" s="223"/>
      <c r="E16" s="182"/>
      <c r="F16" s="46"/>
      <c r="G16" s="206"/>
      <c r="H16" s="224"/>
      <c r="I16" s="225"/>
      <c r="J16" s="199"/>
      <c r="K16" s="183"/>
    </row>
    <row r="17" spans="1:11" s="1" customFormat="1" x14ac:dyDescent="0.25">
      <c r="A17" s="281">
        <f t="shared" si="0"/>
        <v>14</v>
      </c>
      <c r="B17" s="43"/>
      <c r="C17" s="43"/>
      <c r="D17" s="223"/>
      <c r="E17" s="182"/>
      <c r="F17" s="46"/>
      <c r="G17" s="206"/>
      <c r="H17" s="224"/>
      <c r="I17" s="225"/>
      <c r="J17" s="199"/>
      <c r="K17" s="183"/>
    </row>
    <row r="18" spans="1:11" s="1" customFormat="1" x14ac:dyDescent="0.25">
      <c r="A18" s="281">
        <f t="shared" si="0"/>
        <v>15</v>
      </c>
      <c r="B18" s="43"/>
      <c r="C18" s="43"/>
      <c r="D18" s="223"/>
      <c r="E18" s="182"/>
      <c r="F18" s="46"/>
      <c r="G18" s="206"/>
      <c r="H18" s="224"/>
      <c r="I18" s="225"/>
      <c r="J18" s="199"/>
      <c r="K18" s="183"/>
    </row>
    <row r="19" spans="1:11" s="1" customFormat="1" x14ac:dyDescent="0.25">
      <c r="A19" s="281">
        <f t="shared" si="0"/>
        <v>16</v>
      </c>
      <c r="B19" s="43"/>
      <c r="C19" s="43"/>
      <c r="D19" s="223"/>
      <c r="E19" s="182"/>
      <c r="F19" s="46"/>
      <c r="G19" s="206"/>
      <c r="H19" s="224"/>
      <c r="I19" s="225"/>
      <c r="J19" s="199"/>
      <c r="K19" s="183"/>
    </row>
    <row r="20" spans="1:11" s="1" customFormat="1" x14ac:dyDescent="0.25">
      <c r="A20" s="281">
        <f t="shared" si="0"/>
        <v>17</v>
      </c>
      <c r="B20" s="43"/>
      <c r="C20" s="43"/>
      <c r="D20" s="223"/>
      <c r="E20" s="182"/>
      <c r="F20" s="46"/>
      <c r="G20" s="206"/>
      <c r="H20" s="224"/>
      <c r="I20" s="225"/>
      <c r="J20" s="199"/>
      <c r="K20" s="183"/>
    </row>
    <row r="21" spans="1:11" s="1" customFormat="1" x14ac:dyDescent="0.25">
      <c r="A21" s="281">
        <f t="shared" si="0"/>
        <v>18</v>
      </c>
      <c r="B21" s="43"/>
      <c r="C21" s="43"/>
      <c r="D21" s="223"/>
      <c r="E21" s="182"/>
      <c r="F21" s="46"/>
      <c r="G21" s="206"/>
      <c r="H21" s="224"/>
      <c r="I21" s="225"/>
      <c r="J21" s="199"/>
      <c r="K21" s="183"/>
    </row>
    <row r="22" spans="1:11" s="1" customFormat="1" x14ac:dyDescent="0.25">
      <c r="A22" s="281">
        <f t="shared" si="0"/>
        <v>19</v>
      </c>
      <c r="B22" s="43"/>
      <c r="C22" s="43"/>
      <c r="D22" s="223"/>
      <c r="E22" s="182"/>
      <c r="F22" s="46"/>
      <c r="G22" s="206"/>
      <c r="H22" s="224"/>
      <c r="I22" s="225"/>
      <c r="J22" s="199"/>
      <c r="K22" s="183"/>
    </row>
    <row r="23" spans="1:11" s="1" customFormat="1" x14ac:dyDescent="0.25">
      <c r="A23" s="281">
        <f t="shared" si="0"/>
        <v>20</v>
      </c>
      <c r="B23" s="43"/>
      <c r="C23" s="43"/>
      <c r="D23" s="223"/>
      <c r="E23" s="182"/>
      <c r="F23" s="46"/>
      <c r="G23" s="206"/>
      <c r="H23" s="224"/>
      <c r="I23" s="225"/>
      <c r="J23" s="199"/>
      <c r="K23" s="183"/>
    </row>
    <row r="24" spans="1:11" s="1" customFormat="1" x14ac:dyDescent="0.25">
      <c r="A24" s="281">
        <f t="shared" si="0"/>
        <v>21</v>
      </c>
      <c r="B24" s="43"/>
      <c r="C24" s="43"/>
      <c r="D24" s="223"/>
      <c r="E24" s="182"/>
      <c r="F24" s="46"/>
      <c r="G24" s="205"/>
      <c r="H24" s="224"/>
      <c r="I24" s="225"/>
      <c r="J24" s="199"/>
      <c r="K24" s="183"/>
    </row>
    <row r="25" spans="1:11" s="1" customFormat="1" x14ac:dyDescent="0.25">
      <c r="A25" s="281">
        <f t="shared" si="0"/>
        <v>22</v>
      </c>
      <c r="B25" s="43"/>
      <c r="C25" s="43"/>
      <c r="D25" s="223"/>
      <c r="E25" s="182"/>
      <c r="F25" s="46"/>
      <c r="G25" s="207"/>
      <c r="H25" s="224"/>
      <c r="I25" s="225"/>
      <c r="J25" s="199"/>
      <c r="K25" s="183"/>
    </row>
    <row r="26" spans="1:11" x14ac:dyDescent="0.25">
      <c r="A26" s="281">
        <f t="shared" si="0"/>
        <v>23</v>
      </c>
      <c r="B26" s="43"/>
      <c r="C26" s="43"/>
      <c r="D26" s="233"/>
      <c r="E26" s="182"/>
      <c r="F26" s="237"/>
      <c r="G26" s="236"/>
      <c r="H26" s="234"/>
      <c r="I26" s="235"/>
      <c r="J26" s="199"/>
      <c r="K26" s="183"/>
    </row>
    <row r="27" spans="1:11" x14ac:dyDescent="0.25">
      <c r="A27" s="281">
        <f t="shared" si="0"/>
        <v>24</v>
      </c>
      <c r="B27" s="43"/>
      <c r="C27" s="43"/>
      <c r="D27" s="238"/>
      <c r="E27" s="182"/>
      <c r="F27" s="237"/>
      <c r="G27" s="206"/>
      <c r="H27" s="239"/>
      <c r="I27" s="240"/>
      <c r="J27" s="199"/>
      <c r="K27" s="183"/>
    </row>
    <row r="28" spans="1:11" x14ac:dyDescent="0.25">
      <c r="A28" s="281">
        <f t="shared" si="0"/>
        <v>25</v>
      </c>
      <c r="B28" s="43"/>
      <c r="C28" s="43"/>
      <c r="D28" s="238"/>
      <c r="E28" s="182"/>
      <c r="F28" s="237"/>
      <c r="G28" s="206"/>
      <c r="H28" s="239"/>
      <c r="I28" s="240"/>
      <c r="J28" s="199"/>
      <c r="K28" s="183"/>
    </row>
    <row r="29" spans="1:11" x14ac:dyDescent="0.25">
      <c r="A29" s="281">
        <f t="shared" si="0"/>
        <v>26</v>
      </c>
      <c r="B29" s="43"/>
      <c r="C29" s="43"/>
      <c r="D29" s="238"/>
      <c r="E29" s="182"/>
      <c r="F29" s="237"/>
      <c r="G29" s="206"/>
      <c r="H29" s="239"/>
      <c r="I29" s="240"/>
      <c r="J29" s="199"/>
      <c r="K29" s="183"/>
    </row>
    <row r="30" spans="1:11" s="1" customFormat="1" x14ac:dyDescent="0.25">
      <c r="A30" s="281">
        <f t="shared" si="0"/>
        <v>27</v>
      </c>
      <c r="B30" s="43"/>
      <c r="C30" s="43"/>
      <c r="D30" s="238"/>
      <c r="E30" s="182"/>
      <c r="F30" s="237"/>
      <c r="G30" s="206"/>
      <c r="H30" s="239"/>
      <c r="I30" s="240"/>
      <c r="J30" s="199"/>
      <c r="K30" s="183"/>
    </row>
    <row r="31" spans="1:11" s="1" customFormat="1" x14ac:dyDescent="0.25">
      <c r="A31" s="281">
        <f t="shared" si="0"/>
        <v>28</v>
      </c>
      <c r="B31" s="43"/>
      <c r="C31" s="43"/>
      <c r="D31" s="238"/>
      <c r="E31" s="182"/>
      <c r="F31" s="237"/>
      <c r="G31" s="206"/>
      <c r="H31" s="239"/>
      <c r="I31" s="240"/>
      <c r="J31" s="199"/>
      <c r="K31" s="183"/>
    </row>
    <row r="32" spans="1:11" s="1" customFormat="1" x14ac:dyDescent="0.25">
      <c r="A32" s="281">
        <f t="shared" si="0"/>
        <v>29</v>
      </c>
      <c r="B32" s="43"/>
      <c r="C32" s="43"/>
      <c r="D32" s="238"/>
      <c r="E32" s="182"/>
      <c r="F32" s="237"/>
      <c r="G32" s="206"/>
      <c r="H32" s="239"/>
      <c r="I32" s="240"/>
      <c r="J32" s="199"/>
      <c r="K32" s="183"/>
    </row>
    <row r="33" spans="1:11" s="1" customFormat="1" x14ac:dyDescent="0.25">
      <c r="A33" s="281">
        <f t="shared" si="0"/>
        <v>30</v>
      </c>
      <c r="B33" s="43"/>
      <c r="C33" s="43"/>
      <c r="D33" s="238"/>
      <c r="E33" s="182"/>
      <c r="F33" s="237"/>
      <c r="G33" s="206"/>
      <c r="H33" s="239"/>
      <c r="I33" s="240"/>
      <c r="J33" s="199"/>
      <c r="K33" s="183"/>
    </row>
    <row r="34" spans="1:11" s="1" customFormat="1" x14ac:dyDescent="0.25">
      <c r="A34" s="281">
        <f t="shared" si="0"/>
        <v>31</v>
      </c>
      <c r="B34" s="43"/>
      <c r="C34" s="43"/>
      <c r="D34" s="238"/>
      <c r="E34" s="182"/>
      <c r="F34" s="237"/>
      <c r="G34" s="206"/>
      <c r="H34" s="239"/>
      <c r="I34" s="240"/>
      <c r="J34" s="199"/>
      <c r="K34" s="183"/>
    </row>
    <row r="35" spans="1:11" s="1" customFormat="1" ht="39.75" customHeight="1" x14ac:dyDescent="0.25">
      <c r="A35" s="281">
        <f t="shared" si="0"/>
        <v>32</v>
      </c>
      <c r="B35" s="182"/>
      <c r="C35" s="183"/>
      <c r="D35" s="164"/>
      <c r="E35" s="239"/>
      <c r="F35" s="46"/>
      <c r="G35" s="206"/>
      <c r="H35" s="241"/>
      <c r="I35" s="43"/>
      <c r="J35" s="199"/>
      <c r="K35" s="183"/>
    </row>
    <row r="36" spans="1:11" x14ac:dyDescent="0.25">
      <c r="A36" s="281">
        <f t="shared" si="0"/>
        <v>33</v>
      </c>
      <c r="B36" s="43"/>
      <c r="C36" s="43"/>
      <c r="D36" s="261"/>
      <c r="E36" s="182"/>
      <c r="F36" s="237"/>
      <c r="G36" s="236"/>
      <c r="H36" s="241"/>
      <c r="I36" s="262"/>
      <c r="J36" s="199"/>
      <c r="K36" s="183"/>
    </row>
    <row r="37" spans="1:11" x14ac:dyDescent="0.25">
      <c r="A37" s="281">
        <f t="shared" si="0"/>
        <v>34</v>
      </c>
      <c r="B37" s="184"/>
      <c r="C37" s="184"/>
      <c r="D37" s="282"/>
      <c r="E37" s="182"/>
      <c r="F37" s="237"/>
      <c r="G37" s="236"/>
      <c r="H37" s="241"/>
      <c r="I37" s="282"/>
      <c r="J37" s="199"/>
      <c r="K37" s="183"/>
    </row>
  </sheetData>
  <autoFilter ref="A3:K36"/>
  <conditionalFormatting sqref="G4 J4">
    <cfRule type="cellIs" dxfId="348" priority="600" operator="equal">
      <formula>"Plan Mejoramiento"</formula>
    </cfRule>
    <cfRule type="cellIs" dxfId="347" priority="601" operator="equal">
      <formula>"Acción Preventiva"</formula>
    </cfRule>
    <cfRule type="cellIs" dxfId="346" priority="602" operator="equal">
      <formula>"Acción Correctiva"</formula>
    </cfRule>
  </conditionalFormatting>
  <conditionalFormatting sqref="G4 J4">
    <cfRule type="cellIs" dxfId="345" priority="599" operator="equal">
      <formula>"Corrección"</formula>
    </cfRule>
  </conditionalFormatting>
  <conditionalFormatting sqref="E35 G4:H4">
    <cfRule type="cellIs" dxfId="344" priority="594" operator="equal">
      <formula>"Recomendación"</formula>
    </cfRule>
    <cfRule type="cellIs" dxfId="343" priority="595" operator="equal">
      <formula>"No Conformidad"</formula>
    </cfRule>
  </conditionalFormatting>
  <conditionalFormatting sqref="D4:E4">
    <cfRule type="cellIs" dxfId="342" priority="588" operator="equal">
      <formula>"Especial"</formula>
    </cfRule>
    <cfRule type="cellIs" dxfId="341" priority="589" operator="equal">
      <formula>"Informes"</formula>
    </cfRule>
    <cfRule type="cellIs" dxfId="340" priority="590" operator="equal">
      <formula>"Auditoria"</formula>
    </cfRule>
  </conditionalFormatting>
  <conditionalFormatting sqref="G10">
    <cfRule type="cellIs" dxfId="339" priority="523" operator="equal">
      <formula>"Plan Mejoramiento"</formula>
    </cfRule>
    <cfRule type="cellIs" dxfId="338" priority="524" operator="equal">
      <formula>"Acción Preventiva"</formula>
    </cfRule>
    <cfRule type="cellIs" dxfId="337" priority="525" operator="equal">
      <formula>"Acción Correctiva"</formula>
    </cfRule>
  </conditionalFormatting>
  <conditionalFormatting sqref="G10">
    <cfRule type="cellIs" dxfId="336" priority="522" operator="equal">
      <formula>"Corrección"</formula>
    </cfRule>
  </conditionalFormatting>
  <conditionalFormatting sqref="F26">
    <cfRule type="cellIs" dxfId="335" priority="511" operator="equal">
      <formula>"Plan Mejoramiento"</formula>
    </cfRule>
    <cfRule type="cellIs" dxfId="334" priority="512" operator="equal">
      <formula>"Acción Preventiva"</formula>
    </cfRule>
    <cfRule type="cellIs" dxfId="333" priority="513" operator="equal">
      <formula>"Acción Correctiva"</formula>
    </cfRule>
  </conditionalFormatting>
  <conditionalFormatting sqref="F26">
    <cfRule type="cellIs" dxfId="332" priority="510" operator="equal">
      <formula>"Corrección"</formula>
    </cfRule>
  </conditionalFormatting>
  <conditionalFormatting sqref="F27">
    <cfRule type="cellIs" dxfId="331" priority="499" operator="equal">
      <formula>"Plan Mejoramiento"</formula>
    </cfRule>
    <cfRule type="cellIs" dxfId="330" priority="500" operator="equal">
      <formula>"Acción Preventiva"</formula>
    </cfRule>
    <cfRule type="cellIs" dxfId="329" priority="501" operator="equal">
      <formula>"Acción Correctiva"</formula>
    </cfRule>
  </conditionalFormatting>
  <conditionalFormatting sqref="F27">
    <cfRule type="cellIs" dxfId="328" priority="498" operator="equal">
      <formula>"Corrección"</formula>
    </cfRule>
  </conditionalFormatting>
  <conditionalFormatting sqref="D35">
    <cfRule type="cellIs" dxfId="327" priority="465" operator="equal">
      <formula>"Plan Mejoramiento"</formula>
    </cfRule>
    <cfRule type="cellIs" dxfId="326" priority="466" operator="equal">
      <formula>"Acción Preventiva"</formula>
    </cfRule>
    <cfRule type="cellIs" dxfId="325" priority="467" operator="equal">
      <formula>"Acción Correctiva"</formula>
    </cfRule>
  </conditionalFormatting>
  <conditionalFormatting sqref="D35">
    <cfRule type="cellIs" dxfId="324" priority="462" operator="equal">
      <formula>"Corrección"</formula>
    </cfRule>
  </conditionalFormatting>
  <conditionalFormatting sqref="G5">
    <cfRule type="cellIs" dxfId="323" priority="414" operator="equal">
      <formula>"Corrección"</formula>
    </cfRule>
  </conditionalFormatting>
  <conditionalFormatting sqref="G5">
    <cfRule type="cellIs" dxfId="322" priority="415" operator="equal">
      <formula>"Plan Mejoramiento"</formula>
    </cfRule>
    <cfRule type="cellIs" dxfId="321" priority="416" operator="equal">
      <formula>"Acción Preventiva"</formula>
    </cfRule>
    <cfRule type="cellIs" dxfId="320" priority="417" operator="equal">
      <formula>"Acción Correctiva"</formula>
    </cfRule>
  </conditionalFormatting>
  <conditionalFormatting sqref="D5:E5">
    <cfRule type="cellIs" dxfId="319" priority="411" operator="equal">
      <formula>"Especial"</formula>
    </cfRule>
    <cfRule type="cellIs" dxfId="318" priority="412" operator="equal">
      <formula>"Informes"</formula>
    </cfRule>
    <cfRule type="cellIs" dxfId="317" priority="413" operator="equal">
      <formula>"Auditoria"</formula>
    </cfRule>
  </conditionalFormatting>
  <conditionalFormatting sqref="I5">
    <cfRule type="cellIs" dxfId="316" priority="408" operator="equal">
      <formula>"Plan Mejoramiento"</formula>
    </cfRule>
    <cfRule type="cellIs" dxfId="315" priority="409" operator="equal">
      <formula>"Acción Preventiva"</formula>
    </cfRule>
    <cfRule type="cellIs" dxfId="314" priority="410" operator="equal">
      <formula>"Acción Correctiva"</formula>
    </cfRule>
  </conditionalFormatting>
  <conditionalFormatting sqref="I5">
    <cfRule type="cellIs" dxfId="313" priority="407" operator="equal">
      <formula>"Corrección"</formula>
    </cfRule>
  </conditionalFormatting>
  <conditionalFormatting sqref="H5">
    <cfRule type="cellIs" dxfId="312" priority="405" operator="equal">
      <formula>"Recomendación"</formula>
    </cfRule>
    <cfRule type="cellIs" dxfId="311" priority="406" operator="equal">
      <formula>"No Conformidad"</formula>
    </cfRule>
  </conditionalFormatting>
  <conditionalFormatting sqref="J5">
    <cfRule type="cellIs" dxfId="310" priority="402" operator="equal">
      <formula>"Plan Mejoramiento"</formula>
    </cfRule>
    <cfRule type="cellIs" dxfId="309" priority="403" operator="equal">
      <formula>"Acción Preventiva"</formula>
    </cfRule>
    <cfRule type="cellIs" dxfId="308" priority="404" operator="equal">
      <formula>"Acción Correctiva"</formula>
    </cfRule>
  </conditionalFormatting>
  <conditionalFormatting sqref="J5">
    <cfRule type="cellIs" dxfId="307" priority="401" operator="equal">
      <formula>"Corrección"</formula>
    </cfRule>
  </conditionalFormatting>
  <conditionalFormatting sqref="G6">
    <cfRule type="cellIs" dxfId="306" priority="398" operator="equal">
      <formula>"Plan Mejoramiento"</formula>
    </cfRule>
    <cfRule type="cellIs" dxfId="305" priority="399" operator="equal">
      <formula>"Acción Preventiva"</formula>
    </cfRule>
    <cfRule type="cellIs" dxfId="304" priority="400" operator="equal">
      <formula>"Acción Correctiva"</formula>
    </cfRule>
  </conditionalFormatting>
  <conditionalFormatting sqref="G6">
    <cfRule type="cellIs" dxfId="303" priority="397" operator="equal">
      <formula>"Corrección"</formula>
    </cfRule>
  </conditionalFormatting>
  <conditionalFormatting sqref="D6:E6">
    <cfRule type="cellIs" dxfId="302" priority="394" operator="equal">
      <formula>"Especial"</formula>
    </cfRule>
    <cfRule type="cellIs" dxfId="301" priority="395" operator="equal">
      <formula>"Informes"</formula>
    </cfRule>
    <cfRule type="cellIs" dxfId="300" priority="396" operator="equal">
      <formula>"Auditoria"</formula>
    </cfRule>
  </conditionalFormatting>
  <conditionalFormatting sqref="I6">
    <cfRule type="cellIs" dxfId="299" priority="391" operator="equal">
      <formula>"Plan Mejoramiento"</formula>
    </cfRule>
    <cfRule type="cellIs" dxfId="298" priority="392" operator="equal">
      <formula>"Acción Preventiva"</formula>
    </cfRule>
    <cfRule type="cellIs" dxfId="297" priority="393" operator="equal">
      <formula>"Acción Correctiva"</formula>
    </cfRule>
  </conditionalFormatting>
  <conditionalFormatting sqref="I6">
    <cfRule type="cellIs" dxfId="296" priority="390" operator="equal">
      <formula>"Corrección"</formula>
    </cfRule>
  </conditionalFormatting>
  <conditionalFormatting sqref="H6">
    <cfRule type="cellIs" dxfId="295" priority="388" operator="equal">
      <formula>"Recomendación"</formula>
    </cfRule>
    <cfRule type="cellIs" dxfId="294" priority="389" operator="equal">
      <formula>"No Conformidad"</formula>
    </cfRule>
  </conditionalFormatting>
  <conditionalFormatting sqref="J6">
    <cfRule type="cellIs" dxfId="293" priority="385" operator="equal">
      <formula>"Plan Mejoramiento"</formula>
    </cfRule>
    <cfRule type="cellIs" dxfId="292" priority="386" operator="equal">
      <formula>"Acción Preventiva"</formula>
    </cfRule>
    <cfRule type="cellIs" dxfId="291" priority="387" operator="equal">
      <formula>"Acción Correctiva"</formula>
    </cfRule>
  </conditionalFormatting>
  <conditionalFormatting sqref="J6">
    <cfRule type="cellIs" dxfId="290" priority="384" operator="equal">
      <formula>"Corrección"</formula>
    </cfRule>
  </conditionalFormatting>
  <conditionalFormatting sqref="D7:E7">
    <cfRule type="cellIs" dxfId="289" priority="381" operator="equal">
      <formula>"Especial"</formula>
    </cfRule>
    <cfRule type="cellIs" dxfId="288" priority="382" operator="equal">
      <formula>"Informes"</formula>
    </cfRule>
    <cfRule type="cellIs" dxfId="287" priority="383" operator="equal">
      <formula>"Auditoria"</formula>
    </cfRule>
  </conditionalFormatting>
  <conditionalFormatting sqref="I7">
    <cfRule type="cellIs" dxfId="286" priority="378" operator="equal">
      <formula>"Plan Mejoramiento"</formula>
    </cfRule>
    <cfRule type="cellIs" dxfId="285" priority="379" operator="equal">
      <formula>"Acción Preventiva"</formula>
    </cfRule>
    <cfRule type="cellIs" dxfId="284" priority="380" operator="equal">
      <formula>"Acción Correctiva"</formula>
    </cfRule>
  </conditionalFormatting>
  <conditionalFormatting sqref="I7">
    <cfRule type="cellIs" dxfId="283" priority="377" operator="equal">
      <formula>"Corrección"</formula>
    </cfRule>
  </conditionalFormatting>
  <conditionalFormatting sqref="H7">
    <cfRule type="cellIs" dxfId="282" priority="375" operator="equal">
      <formula>"Recomendación"</formula>
    </cfRule>
    <cfRule type="cellIs" dxfId="281" priority="376" operator="equal">
      <formula>"No Conformidad"</formula>
    </cfRule>
  </conditionalFormatting>
  <conditionalFormatting sqref="J7">
    <cfRule type="cellIs" dxfId="280" priority="372" operator="equal">
      <formula>"Plan Mejoramiento"</formula>
    </cfRule>
    <cfRule type="cellIs" dxfId="279" priority="373" operator="equal">
      <formula>"Acción Preventiva"</formula>
    </cfRule>
    <cfRule type="cellIs" dxfId="278" priority="374" operator="equal">
      <formula>"Acción Correctiva"</formula>
    </cfRule>
  </conditionalFormatting>
  <conditionalFormatting sqref="J7">
    <cfRule type="cellIs" dxfId="277" priority="371" operator="equal">
      <formula>"Corrección"</formula>
    </cfRule>
  </conditionalFormatting>
  <conditionalFormatting sqref="G7">
    <cfRule type="cellIs" dxfId="276" priority="368" operator="equal">
      <formula>"Plan Mejoramiento"</formula>
    </cfRule>
    <cfRule type="cellIs" dxfId="275" priority="369" operator="equal">
      <formula>"Acción Preventiva"</formula>
    </cfRule>
    <cfRule type="cellIs" dxfId="274" priority="370" operator="equal">
      <formula>"Acción Correctiva"</formula>
    </cfRule>
  </conditionalFormatting>
  <conditionalFormatting sqref="G7">
    <cfRule type="cellIs" dxfId="273" priority="367" operator="equal">
      <formula>"Corrección"</formula>
    </cfRule>
  </conditionalFormatting>
  <conditionalFormatting sqref="G8">
    <cfRule type="cellIs" dxfId="272" priority="364" operator="equal">
      <formula>"Plan Mejoramiento"</formula>
    </cfRule>
    <cfRule type="cellIs" dxfId="271" priority="365" operator="equal">
      <formula>"Acción Preventiva"</formula>
    </cfRule>
    <cfRule type="cellIs" dxfId="270" priority="366" operator="equal">
      <formula>"Acción Correctiva"</formula>
    </cfRule>
  </conditionalFormatting>
  <conditionalFormatting sqref="G8">
    <cfRule type="cellIs" dxfId="269" priority="363" operator="equal">
      <formula>"Corrección"</formula>
    </cfRule>
  </conditionalFormatting>
  <conditionalFormatting sqref="D8:E8">
    <cfRule type="cellIs" dxfId="268" priority="360" operator="equal">
      <formula>"Especial"</formula>
    </cfRule>
    <cfRule type="cellIs" dxfId="267" priority="361" operator="equal">
      <formula>"Informes"</formula>
    </cfRule>
    <cfRule type="cellIs" dxfId="266" priority="362" operator="equal">
      <formula>"Auditoria"</formula>
    </cfRule>
  </conditionalFormatting>
  <conditionalFormatting sqref="I8">
    <cfRule type="cellIs" dxfId="265" priority="357" operator="equal">
      <formula>"Plan Mejoramiento"</formula>
    </cfRule>
    <cfRule type="cellIs" dxfId="264" priority="358" operator="equal">
      <formula>"Acción Preventiva"</formula>
    </cfRule>
    <cfRule type="cellIs" dxfId="263" priority="359" operator="equal">
      <formula>"Acción Correctiva"</formula>
    </cfRule>
  </conditionalFormatting>
  <conditionalFormatting sqref="I8">
    <cfRule type="cellIs" dxfId="262" priority="356" operator="equal">
      <formula>"Corrección"</formula>
    </cfRule>
  </conditionalFormatting>
  <conditionalFormatting sqref="H8">
    <cfRule type="cellIs" dxfId="261" priority="354" operator="equal">
      <formula>"Recomendación"</formula>
    </cfRule>
    <cfRule type="cellIs" dxfId="260" priority="355" operator="equal">
      <formula>"No Conformidad"</formula>
    </cfRule>
  </conditionalFormatting>
  <conditionalFormatting sqref="J8">
    <cfRule type="cellIs" dxfId="259" priority="351" operator="equal">
      <formula>"Plan Mejoramiento"</formula>
    </cfRule>
    <cfRule type="cellIs" dxfId="258" priority="352" operator="equal">
      <formula>"Acción Preventiva"</formula>
    </cfRule>
    <cfRule type="cellIs" dxfId="257" priority="353" operator="equal">
      <formula>"Acción Correctiva"</formula>
    </cfRule>
  </conditionalFormatting>
  <conditionalFormatting sqref="J8">
    <cfRule type="cellIs" dxfId="256" priority="350" operator="equal">
      <formula>"Corrección"</formula>
    </cfRule>
  </conditionalFormatting>
  <conditionalFormatting sqref="D9:E9">
    <cfRule type="cellIs" dxfId="255" priority="347" operator="equal">
      <formula>"Especial"</formula>
    </cfRule>
    <cfRule type="cellIs" dxfId="254" priority="348" operator="equal">
      <formula>"Informes"</formula>
    </cfRule>
    <cfRule type="cellIs" dxfId="253" priority="349" operator="equal">
      <formula>"Auditoria"</formula>
    </cfRule>
  </conditionalFormatting>
  <conditionalFormatting sqref="I9">
    <cfRule type="cellIs" dxfId="252" priority="344" operator="equal">
      <formula>"Plan Mejoramiento"</formula>
    </cfRule>
    <cfRule type="cellIs" dxfId="251" priority="345" operator="equal">
      <formula>"Acción Preventiva"</formula>
    </cfRule>
    <cfRule type="cellIs" dxfId="250" priority="346" operator="equal">
      <formula>"Acción Correctiva"</formula>
    </cfRule>
  </conditionalFormatting>
  <conditionalFormatting sqref="I9">
    <cfRule type="cellIs" dxfId="249" priority="343" operator="equal">
      <formula>"Corrección"</formula>
    </cfRule>
  </conditionalFormatting>
  <conditionalFormatting sqref="H9">
    <cfRule type="cellIs" dxfId="248" priority="341" operator="equal">
      <formula>"Recomendación"</formula>
    </cfRule>
    <cfRule type="cellIs" dxfId="247" priority="342" operator="equal">
      <formula>"No Conformidad"</formula>
    </cfRule>
  </conditionalFormatting>
  <conditionalFormatting sqref="J9">
    <cfRule type="cellIs" dxfId="246" priority="338" operator="equal">
      <formula>"Plan Mejoramiento"</formula>
    </cfRule>
    <cfRule type="cellIs" dxfId="245" priority="339" operator="equal">
      <formula>"Acción Preventiva"</formula>
    </cfRule>
    <cfRule type="cellIs" dxfId="244" priority="340" operator="equal">
      <formula>"Acción Correctiva"</formula>
    </cfRule>
  </conditionalFormatting>
  <conditionalFormatting sqref="J9">
    <cfRule type="cellIs" dxfId="243" priority="337" operator="equal">
      <formula>"Corrección"</formula>
    </cfRule>
  </conditionalFormatting>
  <conditionalFormatting sqref="G9">
    <cfRule type="cellIs" dxfId="242" priority="334" operator="equal">
      <formula>"Plan Mejoramiento"</formula>
    </cfRule>
    <cfRule type="cellIs" dxfId="241" priority="335" operator="equal">
      <formula>"Acción Preventiva"</formula>
    </cfRule>
    <cfRule type="cellIs" dxfId="240" priority="336" operator="equal">
      <formula>"Acción Correctiva"</formula>
    </cfRule>
  </conditionalFormatting>
  <conditionalFormatting sqref="G9">
    <cfRule type="cellIs" dxfId="239" priority="333" operator="equal">
      <formula>"Corrección"</formula>
    </cfRule>
  </conditionalFormatting>
  <conditionalFormatting sqref="D10:E10">
    <cfRule type="cellIs" dxfId="238" priority="330" operator="equal">
      <formula>"Especial"</formula>
    </cfRule>
    <cfRule type="cellIs" dxfId="237" priority="331" operator="equal">
      <formula>"Informes"</formula>
    </cfRule>
    <cfRule type="cellIs" dxfId="236" priority="332" operator="equal">
      <formula>"Auditoria"</formula>
    </cfRule>
  </conditionalFormatting>
  <conditionalFormatting sqref="I10">
    <cfRule type="cellIs" dxfId="235" priority="327" operator="equal">
      <formula>"Plan Mejoramiento"</formula>
    </cfRule>
    <cfRule type="cellIs" dxfId="234" priority="328" operator="equal">
      <formula>"Acción Preventiva"</formula>
    </cfRule>
    <cfRule type="cellIs" dxfId="233" priority="329" operator="equal">
      <formula>"Acción Correctiva"</formula>
    </cfRule>
  </conditionalFormatting>
  <conditionalFormatting sqref="I10">
    <cfRule type="cellIs" dxfId="232" priority="326" operator="equal">
      <formula>"Corrección"</formula>
    </cfRule>
  </conditionalFormatting>
  <conditionalFormatting sqref="H10">
    <cfRule type="cellIs" dxfId="231" priority="324" operator="equal">
      <formula>"Recomendación"</formula>
    </cfRule>
    <cfRule type="cellIs" dxfId="230" priority="325" operator="equal">
      <formula>"No Conformidad"</formula>
    </cfRule>
  </conditionalFormatting>
  <conditionalFormatting sqref="J10">
    <cfRule type="cellIs" dxfId="229" priority="321" operator="equal">
      <formula>"Plan Mejoramiento"</formula>
    </cfRule>
    <cfRule type="cellIs" dxfId="228" priority="322" operator="equal">
      <formula>"Acción Preventiva"</formula>
    </cfRule>
    <cfRule type="cellIs" dxfId="227" priority="323" operator="equal">
      <formula>"Acción Correctiva"</formula>
    </cfRule>
  </conditionalFormatting>
  <conditionalFormatting sqref="J10">
    <cfRule type="cellIs" dxfId="226" priority="320" operator="equal">
      <formula>"Corrección"</formula>
    </cfRule>
  </conditionalFormatting>
  <conditionalFormatting sqref="E11">
    <cfRule type="cellIs" dxfId="225" priority="313" operator="equal">
      <formula>"Especial"</formula>
    </cfRule>
    <cfRule type="cellIs" dxfId="224" priority="314" operator="equal">
      <formula>"Informes"</formula>
    </cfRule>
    <cfRule type="cellIs" dxfId="223" priority="315" operator="equal">
      <formula>"Auditoria"</formula>
    </cfRule>
  </conditionalFormatting>
  <conditionalFormatting sqref="I11">
    <cfRule type="cellIs" dxfId="222" priority="310" operator="equal">
      <formula>"Plan Mejoramiento"</formula>
    </cfRule>
    <cfRule type="cellIs" dxfId="221" priority="311" operator="equal">
      <formula>"Acción Preventiva"</formula>
    </cfRule>
    <cfRule type="cellIs" dxfId="220" priority="312" operator="equal">
      <formula>"Acción Correctiva"</formula>
    </cfRule>
  </conditionalFormatting>
  <conditionalFormatting sqref="I11">
    <cfRule type="cellIs" dxfId="219" priority="309" operator="equal">
      <formula>"Corrección"</formula>
    </cfRule>
  </conditionalFormatting>
  <conditionalFormatting sqref="H11">
    <cfRule type="cellIs" dxfId="218" priority="307" operator="equal">
      <formula>"Recomendación"</formula>
    </cfRule>
    <cfRule type="cellIs" dxfId="217" priority="308" operator="equal">
      <formula>"No Conformidad"</formula>
    </cfRule>
  </conditionalFormatting>
  <conditionalFormatting sqref="J11">
    <cfRule type="cellIs" dxfId="216" priority="304" operator="equal">
      <formula>"Plan Mejoramiento"</formula>
    </cfRule>
    <cfRule type="cellIs" dxfId="215" priority="305" operator="equal">
      <formula>"Acción Preventiva"</formula>
    </cfRule>
    <cfRule type="cellIs" dxfId="214" priority="306" operator="equal">
      <formula>"Acción Correctiva"</formula>
    </cfRule>
  </conditionalFormatting>
  <conditionalFormatting sqref="J11">
    <cfRule type="cellIs" dxfId="213" priority="303" operator="equal">
      <formula>"Corrección"</formula>
    </cfRule>
  </conditionalFormatting>
  <conditionalFormatting sqref="D11:D15">
    <cfRule type="cellIs" dxfId="212" priority="283" operator="equal">
      <formula>"Especial"</formula>
    </cfRule>
    <cfRule type="cellIs" dxfId="211" priority="284" operator="equal">
      <formula>"Informes"</formula>
    </cfRule>
    <cfRule type="cellIs" dxfId="210" priority="285" operator="equal">
      <formula>"Auditoria"</formula>
    </cfRule>
  </conditionalFormatting>
  <conditionalFormatting sqref="E12:E15">
    <cfRule type="cellIs" dxfId="209" priority="280" operator="equal">
      <formula>"Especial"</formula>
    </cfRule>
    <cfRule type="cellIs" dxfId="208" priority="281" operator="equal">
      <formula>"Informes"</formula>
    </cfRule>
    <cfRule type="cellIs" dxfId="207" priority="282" operator="equal">
      <formula>"Auditoria"</formula>
    </cfRule>
  </conditionalFormatting>
  <conditionalFormatting sqref="G11:G15">
    <cfRule type="cellIs" dxfId="206" priority="277" operator="equal">
      <formula>"Plan Mejoramiento"</formula>
    </cfRule>
    <cfRule type="cellIs" dxfId="205" priority="278" operator="equal">
      <formula>"Acción Preventiva"</formula>
    </cfRule>
    <cfRule type="cellIs" dxfId="204" priority="279" operator="equal">
      <formula>"Acción Correctiva"</formula>
    </cfRule>
  </conditionalFormatting>
  <conditionalFormatting sqref="G11:G15">
    <cfRule type="cellIs" dxfId="203" priority="276" operator="equal">
      <formula>"Corrección"</formula>
    </cfRule>
  </conditionalFormatting>
  <conditionalFormatting sqref="G11:G15">
    <cfRule type="cellIs" dxfId="202" priority="273" operator="equal">
      <formula>"Plan Mejoramiento"</formula>
    </cfRule>
    <cfRule type="cellIs" dxfId="201" priority="274" operator="equal">
      <formula>"Acción Preventiva"</formula>
    </cfRule>
    <cfRule type="cellIs" dxfId="200" priority="275" operator="equal">
      <formula>"Acción Correctiva"</formula>
    </cfRule>
  </conditionalFormatting>
  <conditionalFormatting sqref="G11:G15">
    <cfRule type="cellIs" dxfId="199" priority="272" operator="equal">
      <formula>"Corrección"</formula>
    </cfRule>
  </conditionalFormatting>
  <conditionalFormatting sqref="H12:H15">
    <cfRule type="cellIs" dxfId="198" priority="270" operator="equal">
      <formula>"Recomendación"</formula>
    </cfRule>
    <cfRule type="cellIs" dxfId="197" priority="271" operator="equal">
      <formula>"No Conformidad"</formula>
    </cfRule>
  </conditionalFormatting>
  <conditionalFormatting sqref="I12:I15">
    <cfRule type="cellIs" dxfId="196" priority="267" operator="equal">
      <formula>"Plan Mejoramiento"</formula>
    </cfRule>
    <cfRule type="cellIs" dxfId="195" priority="268" operator="equal">
      <formula>"Acción Preventiva"</formula>
    </cfRule>
    <cfRule type="cellIs" dxfId="194" priority="269" operator="equal">
      <formula>"Acción Correctiva"</formula>
    </cfRule>
  </conditionalFormatting>
  <conditionalFormatting sqref="I12:I15">
    <cfRule type="cellIs" dxfId="193" priority="266" operator="equal">
      <formula>"Corrección"</formula>
    </cfRule>
  </conditionalFormatting>
  <conditionalFormatting sqref="J12:J15 J17:J22">
    <cfRule type="cellIs" dxfId="192" priority="263" operator="equal">
      <formula>"Plan Mejoramiento"</formula>
    </cfRule>
    <cfRule type="cellIs" dxfId="191" priority="264" operator="equal">
      <formula>"Acción Preventiva"</formula>
    </cfRule>
    <cfRule type="cellIs" dxfId="190" priority="265" operator="equal">
      <formula>"Acción Correctiva"</formula>
    </cfRule>
  </conditionalFormatting>
  <conditionalFormatting sqref="J12:J15 J17:J22">
    <cfRule type="cellIs" dxfId="189" priority="262" operator="equal">
      <formula>"Corrección"</formula>
    </cfRule>
  </conditionalFormatting>
  <conditionalFormatting sqref="H16">
    <cfRule type="cellIs" dxfId="188" priority="246" operator="equal">
      <formula>"Recomendación"</formula>
    </cfRule>
    <cfRule type="cellIs" dxfId="187" priority="247" operator="equal">
      <formula>"No Conformidad"</formula>
    </cfRule>
  </conditionalFormatting>
  <conditionalFormatting sqref="I16">
    <cfRule type="cellIs" dxfId="186" priority="243" operator="equal">
      <formula>"Plan Mejoramiento"</formula>
    </cfRule>
    <cfRule type="cellIs" dxfId="185" priority="244" operator="equal">
      <formula>"Acción Preventiva"</formula>
    </cfRule>
    <cfRule type="cellIs" dxfId="184" priority="245" operator="equal">
      <formula>"Acción Correctiva"</formula>
    </cfRule>
  </conditionalFormatting>
  <conditionalFormatting sqref="I16">
    <cfRule type="cellIs" dxfId="183" priority="242" operator="equal">
      <formula>"Corrección"</formula>
    </cfRule>
  </conditionalFormatting>
  <conditionalFormatting sqref="I17:I22">
    <cfRule type="cellIs" dxfId="182" priority="197" operator="equal">
      <formula>"Plan Mejoramiento"</formula>
    </cfRule>
    <cfRule type="cellIs" dxfId="181" priority="198" operator="equal">
      <formula>"Acción Preventiva"</formula>
    </cfRule>
    <cfRule type="cellIs" dxfId="180" priority="199" operator="equal">
      <formula>"Acción Correctiva"</formula>
    </cfRule>
  </conditionalFormatting>
  <conditionalFormatting sqref="I17:I22">
    <cfRule type="cellIs" dxfId="179" priority="196" operator="equal">
      <formula>"Corrección"</formula>
    </cfRule>
  </conditionalFormatting>
  <conditionalFormatting sqref="J16">
    <cfRule type="cellIs" dxfId="178" priority="235" operator="equal">
      <formula>"Plan Mejoramiento"</formula>
    </cfRule>
    <cfRule type="cellIs" dxfId="177" priority="236" operator="equal">
      <formula>"Acción Preventiva"</formula>
    </cfRule>
    <cfRule type="cellIs" dxfId="176" priority="237" operator="equal">
      <formula>"Acción Correctiva"</formula>
    </cfRule>
  </conditionalFormatting>
  <conditionalFormatting sqref="J16">
    <cfRule type="cellIs" dxfId="175" priority="234" operator="equal">
      <formula>"Corrección"</formula>
    </cfRule>
  </conditionalFormatting>
  <conditionalFormatting sqref="H17:H22">
    <cfRule type="cellIs" dxfId="174" priority="218" operator="equal">
      <formula>"Recomendación"</formula>
    </cfRule>
    <cfRule type="cellIs" dxfId="173" priority="219" operator="equal">
      <formula>"No Conformidad"</formula>
    </cfRule>
  </conditionalFormatting>
  <conditionalFormatting sqref="D16:D22">
    <cfRule type="cellIs" dxfId="172" priority="211" operator="equal">
      <formula>"Especial"</formula>
    </cfRule>
    <cfRule type="cellIs" dxfId="171" priority="212" operator="equal">
      <formula>"Informes"</formula>
    </cfRule>
    <cfRule type="cellIs" dxfId="170" priority="213" operator="equal">
      <formula>"Auditoria"</formula>
    </cfRule>
  </conditionalFormatting>
  <conditionalFormatting sqref="E16:E22">
    <cfRule type="cellIs" dxfId="169" priority="208" operator="equal">
      <formula>"Especial"</formula>
    </cfRule>
    <cfRule type="cellIs" dxfId="168" priority="209" operator="equal">
      <formula>"Informes"</formula>
    </cfRule>
    <cfRule type="cellIs" dxfId="167" priority="210" operator="equal">
      <formula>"Auditoria"</formula>
    </cfRule>
  </conditionalFormatting>
  <conditionalFormatting sqref="G16:G22">
    <cfRule type="cellIs" dxfId="166" priority="205" operator="equal">
      <formula>"Plan Mejoramiento"</formula>
    </cfRule>
    <cfRule type="cellIs" dxfId="165" priority="206" operator="equal">
      <formula>"Acción Preventiva"</formula>
    </cfRule>
    <cfRule type="cellIs" dxfId="164" priority="207" operator="equal">
      <formula>"Acción Correctiva"</formula>
    </cfRule>
  </conditionalFormatting>
  <conditionalFormatting sqref="G16:G22">
    <cfRule type="cellIs" dxfId="163" priority="204" operator="equal">
      <formula>"Corrección"</formula>
    </cfRule>
  </conditionalFormatting>
  <conditionalFormatting sqref="G16:G22">
    <cfRule type="cellIs" dxfId="162" priority="201" operator="equal">
      <formula>"Plan Mejoramiento"</formula>
    </cfRule>
    <cfRule type="cellIs" dxfId="161" priority="202" operator="equal">
      <formula>"Acción Preventiva"</formula>
    </cfRule>
    <cfRule type="cellIs" dxfId="160" priority="203" operator="equal">
      <formula>"Acción Correctiva"</formula>
    </cfRule>
  </conditionalFormatting>
  <conditionalFormatting sqref="G16:G22">
    <cfRule type="cellIs" dxfId="159" priority="200" operator="equal">
      <formula>"Corrección"</formula>
    </cfRule>
  </conditionalFormatting>
  <conditionalFormatting sqref="J23">
    <cfRule type="cellIs" dxfId="158" priority="193" operator="equal">
      <formula>"Plan Mejoramiento"</formula>
    </cfRule>
    <cfRule type="cellIs" dxfId="157" priority="194" operator="equal">
      <formula>"Acción Preventiva"</formula>
    </cfRule>
    <cfRule type="cellIs" dxfId="156" priority="195" operator="equal">
      <formula>"Acción Correctiva"</formula>
    </cfRule>
  </conditionalFormatting>
  <conditionalFormatting sqref="J23">
    <cfRule type="cellIs" dxfId="155" priority="192" operator="equal">
      <formula>"Corrección"</formula>
    </cfRule>
  </conditionalFormatting>
  <conditionalFormatting sqref="D23">
    <cfRule type="cellIs" dxfId="154" priority="187" operator="equal">
      <formula>"Especial"</formula>
    </cfRule>
    <cfRule type="cellIs" dxfId="153" priority="188" operator="equal">
      <formula>"Informes"</formula>
    </cfRule>
    <cfRule type="cellIs" dxfId="152" priority="189" operator="equal">
      <formula>"Auditoria"</formula>
    </cfRule>
  </conditionalFormatting>
  <conditionalFormatting sqref="E23">
    <cfRule type="cellIs" dxfId="151" priority="169" operator="equal">
      <formula>"Especial"</formula>
    </cfRule>
    <cfRule type="cellIs" dxfId="150" priority="170" operator="equal">
      <formula>"Informes"</formula>
    </cfRule>
    <cfRule type="cellIs" dxfId="149" priority="171" operator="equal">
      <formula>"Auditoria"</formula>
    </cfRule>
  </conditionalFormatting>
  <conditionalFormatting sqref="J24:J25">
    <cfRule type="cellIs" dxfId="148" priority="166" operator="equal">
      <formula>"Plan Mejoramiento"</formula>
    </cfRule>
    <cfRule type="cellIs" dxfId="147" priority="167" operator="equal">
      <formula>"Acción Preventiva"</formula>
    </cfRule>
    <cfRule type="cellIs" dxfId="146" priority="168" operator="equal">
      <formula>"Acción Correctiva"</formula>
    </cfRule>
  </conditionalFormatting>
  <conditionalFormatting sqref="J24:J25">
    <cfRule type="cellIs" dxfId="145" priority="165" operator="equal">
      <formula>"Corrección"</formula>
    </cfRule>
  </conditionalFormatting>
  <conditionalFormatting sqref="D24:D25">
    <cfRule type="cellIs" dxfId="144" priority="160" operator="equal">
      <formula>"Especial"</formula>
    </cfRule>
    <cfRule type="cellIs" dxfId="143" priority="161" operator="equal">
      <formula>"Informes"</formula>
    </cfRule>
    <cfRule type="cellIs" dxfId="142" priority="162" operator="equal">
      <formula>"Auditoria"</formula>
    </cfRule>
  </conditionalFormatting>
  <conditionalFormatting sqref="E24:E25">
    <cfRule type="cellIs" dxfId="141" priority="145" operator="equal">
      <formula>"Especial"</formula>
    </cfRule>
    <cfRule type="cellIs" dxfId="140" priority="146" operator="equal">
      <formula>"Informes"</formula>
    </cfRule>
    <cfRule type="cellIs" dxfId="139" priority="147" operator="equal">
      <formula>"Auditoria"</formula>
    </cfRule>
  </conditionalFormatting>
  <conditionalFormatting sqref="G23:G25">
    <cfRule type="cellIs" dxfId="138" priority="142" operator="equal">
      <formula>"Plan Mejoramiento"</formula>
    </cfRule>
    <cfRule type="cellIs" dxfId="137" priority="143" operator="equal">
      <formula>"Acción Preventiva"</formula>
    </cfRule>
    <cfRule type="cellIs" dxfId="136" priority="144" operator="equal">
      <formula>"Acción Correctiva"</formula>
    </cfRule>
  </conditionalFormatting>
  <conditionalFormatting sqref="G23:G25">
    <cfRule type="cellIs" dxfId="135" priority="141" operator="equal">
      <formula>"Corrección"</formula>
    </cfRule>
  </conditionalFormatting>
  <conditionalFormatting sqref="H23:H25">
    <cfRule type="cellIs" dxfId="134" priority="139" operator="equal">
      <formula>"Recomendación"</formula>
    </cfRule>
    <cfRule type="cellIs" dxfId="133" priority="140" operator="equal">
      <formula>"No Conformidad"</formula>
    </cfRule>
  </conditionalFormatting>
  <conditionalFormatting sqref="I23">
    <cfRule type="cellIs" dxfId="132" priority="136" operator="equal">
      <formula>"Plan Mejoramiento"</formula>
    </cfRule>
    <cfRule type="cellIs" dxfId="131" priority="137" operator="equal">
      <formula>"Acción Preventiva"</formula>
    </cfRule>
    <cfRule type="cellIs" dxfId="130" priority="138" operator="equal">
      <formula>"Acción Correctiva"</formula>
    </cfRule>
  </conditionalFormatting>
  <conditionalFormatting sqref="I23">
    <cfRule type="cellIs" dxfId="129" priority="135" operator="equal">
      <formula>"Corrección"</formula>
    </cfRule>
  </conditionalFormatting>
  <conditionalFormatting sqref="I24:I25">
    <cfRule type="cellIs" dxfId="128" priority="132" operator="equal">
      <formula>"Plan Mejoramiento"</formula>
    </cfRule>
    <cfRule type="cellIs" dxfId="127" priority="133" operator="equal">
      <formula>"Acción Preventiva"</formula>
    </cfRule>
    <cfRule type="cellIs" dxfId="126" priority="134" operator="equal">
      <formula>"Acción Correctiva"</formula>
    </cfRule>
  </conditionalFormatting>
  <conditionalFormatting sqref="I24:I25">
    <cfRule type="cellIs" dxfId="125" priority="131" operator="equal">
      <formula>"Corrección"</formula>
    </cfRule>
  </conditionalFormatting>
  <conditionalFormatting sqref="D26">
    <cfRule type="cellIs" dxfId="124" priority="128" operator="equal">
      <formula>"Especial"</formula>
    </cfRule>
    <cfRule type="cellIs" dxfId="123" priority="129" operator="equal">
      <formula>"Informes"</formula>
    </cfRule>
    <cfRule type="cellIs" dxfId="122" priority="130" operator="equal">
      <formula>"Auditoria"</formula>
    </cfRule>
  </conditionalFormatting>
  <conditionalFormatting sqref="E26">
    <cfRule type="cellIs" dxfId="121" priority="125" operator="equal">
      <formula>"Especial"</formula>
    </cfRule>
    <cfRule type="cellIs" dxfId="120" priority="126" operator="equal">
      <formula>"Informes"</formula>
    </cfRule>
    <cfRule type="cellIs" dxfId="119" priority="127" operator="equal">
      <formula>"Auditoria"</formula>
    </cfRule>
  </conditionalFormatting>
  <conditionalFormatting sqref="H26">
    <cfRule type="cellIs" dxfId="118" priority="123" operator="equal">
      <formula>"Recomendación"</formula>
    </cfRule>
    <cfRule type="cellIs" dxfId="117" priority="124" operator="equal">
      <formula>"No Conformidad"</formula>
    </cfRule>
  </conditionalFormatting>
  <conditionalFormatting sqref="G26">
    <cfRule type="cellIs" dxfId="116" priority="120" operator="equal">
      <formula>"Plan Mejoramiento"</formula>
    </cfRule>
    <cfRule type="cellIs" dxfId="115" priority="121" operator="equal">
      <formula>"Acción Preventiva"</formula>
    </cfRule>
    <cfRule type="cellIs" dxfId="114" priority="122" operator="equal">
      <formula>"Acción Correctiva"</formula>
    </cfRule>
  </conditionalFormatting>
  <conditionalFormatting sqref="G26">
    <cfRule type="cellIs" dxfId="113" priority="119" operator="equal">
      <formula>"Corrección"</formula>
    </cfRule>
  </conditionalFormatting>
  <conditionalFormatting sqref="G26">
    <cfRule type="cellIs" dxfId="112" priority="116" operator="equal">
      <formula>"Plan Mejoramiento"</formula>
    </cfRule>
    <cfRule type="cellIs" dxfId="111" priority="117" operator="equal">
      <formula>"Acción Preventiva"</formula>
    </cfRule>
    <cfRule type="cellIs" dxfId="110" priority="118" operator="equal">
      <formula>"Acción Correctiva"</formula>
    </cfRule>
  </conditionalFormatting>
  <conditionalFormatting sqref="G26">
    <cfRule type="cellIs" dxfId="109" priority="115" operator="equal">
      <formula>"Corrección"</formula>
    </cfRule>
  </conditionalFormatting>
  <conditionalFormatting sqref="J26">
    <cfRule type="cellIs" dxfId="108" priority="112" operator="equal">
      <formula>"Plan Mejoramiento"</formula>
    </cfRule>
    <cfRule type="cellIs" dxfId="107" priority="113" operator="equal">
      <formula>"Acción Preventiva"</formula>
    </cfRule>
    <cfRule type="cellIs" dxfId="106" priority="114" operator="equal">
      <formula>"Acción Correctiva"</formula>
    </cfRule>
  </conditionalFormatting>
  <conditionalFormatting sqref="J26">
    <cfRule type="cellIs" dxfId="105" priority="111" operator="equal">
      <formula>"Corrección"</formula>
    </cfRule>
  </conditionalFormatting>
  <conditionalFormatting sqref="I26">
    <cfRule type="cellIs" dxfId="104" priority="108" operator="equal">
      <formula>"Plan Mejoramiento"</formula>
    </cfRule>
    <cfRule type="cellIs" dxfId="103" priority="109" operator="equal">
      <formula>"Acción Preventiva"</formula>
    </cfRule>
    <cfRule type="cellIs" dxfId="102" priority="110" operator="equal">
      <formula>"Acción Correctiva"</formula>
    </cfRule>
  </conditionalFormatting>
  <conditionalFormatting sqref="I26">
    <cfRule type="cellIs" dxfId="101" priority="107" operator="equal">
      <formula>"Corrección"</formula>
    </cfRule>
  </conditionalFormatting>
  <conditionalFormatting sqref="G27:G34">
    <cfRule type="cellIs" dxfId="100" priority="104" operator="equal">
      <formula>"Plan Mejoramiento"</formula>
    </cfRule>
    <cfRule type="cellIs" dxfId="99" priority="105" operator="equal">
      <formula>"Acción Preventiva"</formula>
    </cfRule>
    <cfRule type="cellIs" dxfId="98" priority="106" operator="equal">
      <formula>"Acción Correctiva"</formula>
    </cfRule>
  </conditionalFormatting>
  <conditionalFormatting sqref="G27:G34">
    <cfRule type="cellIs" dxfId="97" priority="103" operator="equal">
      <formula>"Corrección"</formula>
    </cfRule>
  </conditionalFormatting>
  <conditionalFormatting sqref="D27:D34">
    <cfRule type="cellIs" dxfId="96" priority="100" operator="equal">
      <formula>"Especial"</formula>
    </cfRule>
    <cfRule type="cellIs" dxfId="95" priority="101" operator="equal">
      <formula>"Informes"</formula>
    </cfRule>
    <cfRule type="cellIs" dxfId="94" priority="102" operator="equal">
      <formula>"Auditoria"</formula>
    </cfRule>
  </conditionalFormatting>
  <conditionalFormatting sqref="E27:E34">
    <cfRule type="cellIs" dxfId="93" priority="97" operator="equal">
      <formula>"Especial"</formula>
    </cfRule>
    <cfRule type="cellIs" dxfId="92" priority="98" operator="equal">
      <formula>"Informes"</formula>
    </cfRule>
    <cfRule type="cellIs" dxfId="91" priority="99" operator="equal">
      <formula>"Auditoria"</formula>
    </cfRule>
  </conditionalFormatting>
  <conditionalFormatting sqref="F28:F34">
    <cfRule type="cellIs" dxfId="90" priority="94" operator="equal">
      <formula>"Plan Mejoramiento"</formula>
    </cfRule>
    <cfRule type="cellIs" dxfId="89" priority="95" operator="equal">
      <formula>"Acción Preventiva"</formula>
    </cfRule>
    <cfRule type="cellIs" dxfId="88" priority="96" operator="equal">
      <formula>"Acción Correctiva"</formula>
    </cfRule>
  </conditionalFormatting>
  <conditionalFormatting sqref="F28:F34">
    <cfRule type="cellIs" dxfId="87" priority="93" operator="equal">
      <formula>"Corrección"</formula>
    </cfRule>
  </conditionalFormatting>
  <conditionalFormatting sqref="H27:H34">
    <cfRule type="cellIs" dxfId="86" priority="91" operator="equal">
      <formula>"Recomendación"</formula>
    </cfRule>
    <cfRule type="cellIs" dxfId="85" priority="92" operator="equal">
      <formula>"No Conformidad"</formula>
    </cfRule>
  </conditionalFormatting>
  <conditionalFormatting sqref="I27:I34">
    <cfRule type="cellIs" dxfId="84" priority="84" operator="equal">
      <formula>"Plan Mejoramiento"</formula>
    </cfRule>
    <cfRule type="cellIs" dxfId="83" priority="85" operator="equal">
      <formula>"Acción Preventiva"</formula>
    </cfRule>
    <cfRule type="cellIs" dxfId="82" priority="86" operator="equal">
      <formula>"Acción Correctiva"</formula>
    </cfRule>
  </conditionalFormatting>
  <conditionalFormatting sqref="I27:I34">
    <cfRule type="cellIs" dxfId="81" priority="83" operator="equal">
      <formula>"Corrección"</formula>
    </cfRule>
  </conditionalFormatting>
  <conditionalFormatting sqref="J35">
    <cfRule type="cellIs" dxfId="80" priority="80" operator="equal">
      <formula>"Plan Mejoramiento"</formula>
    </cfRule>
    <cfRule type="cellIs" dxfId="79" priority="81" operator="equal">
      <formula>"Acción Preventiva"</formula>
    </cfRule>
    <cfRule type="cellIs" dxfId="78" priority="82" operator="equal">
      <formula>"Acción Correctiva"</formula>
    </cfRule>
  </conditionalFormatting>
  <conditionalFormatting sqref="J35">
    <cfRule type="cellIs" dxfId="77" priority="79" operator="equal">
      <formula>"Corrección"</formula>
    </cfRule>
  </conditionalFormatting>
  <conditionalFormatting sqref="J27:J34">
    <cfRule type="cellIs" dxfId="76" priority="72" operator="equal">
      <formula>"Plan Mejoramiento"</formula>
    </cfRule>
    <cfRule type="cellIs" dxfId="75" priority="73" operator="equal">
      <formula>"Acción Preventiva"</formula>
    </cfRule>
    <cfRule type="cellIs" dxfId="74" priority="74" operator="equal">
      <formula>"Acción Correctiva"</formula>
    </cfRule>
  </conditionalFormatting>
  <conditionalFormatting sqref="J27:J34">
    <cfRule type="cellIs" dxfId="73" priority="71" operator="equal">
      <formula>"Corrección"</formula>
    </cfRule>
  </conditionalFormatting>
  <conditionalFormatting sqref="G35">
    <cfRule type="cellIs" dxfId="72" priority="68" operator="equal">
      <formula>"Plan Mejoramiento"</formula>
    </cfRule>
    <cfRule type="cellIs" dxfId="71" priority="69" operator="equal">
      <formula>"Acción Preventiva"</formula>
    </cfRule>
    <cfRule type="cellIs" dxfId="70" priority="70" operator="equal">
      <formula>"Acción Correctiva"</formula>
    </cfRule>
  </conditionalFormatting>
  <conditionalFormatting sqref="G35">
    <cfRule type="cellIs" dxfId="69" priority="67" operator="equal">
      <formula>"Corrección"</formula>
    </cfRule>
  </conditionalFormatting>
  <conditionalFormatting sqref="H35">
    <cfRule type="cellIs" dxfId="68" priority="65" operator="equal">
      <formula>"Recomendación"</formula>
    </cfRule>
    <cfRule type="cellIs" dxfId="67" priority="66" operator="equal">
      <formula>"No Conformidad"</formula>
    </cfRule>
  </conditionalFormatting>
  <conditionalFormatting sqref="F36">
    <cfRule type="cellIs" dxfId="66" priority="62" operator="equal">
      <formula>"Plan Mejoramiento"</formula>
    </cfRule>
    <cfRule type="cellIs" dxfId="65" priority="63" operator="equal">
      <formula>"Acción Preventiva"</formula>
    </cfRule>
    <cfRule type="cellIs" dxfId="64" priority="64" operator="equal">
      <formula>"Acción Correctiva"</formula>
    </cfRule>
  </conditionalFormatting>
  <conditionalFormatting sqref="F36">
    <cfRule type="cellIs" dxfId="63" priority="61" operator="equal">
      <formula>"Corrección"</formula>
    </cfRule>
  </conditionalFormatting>
  <conditionalFormatting sqref="D36">
    <cfRule type="cellIs" dxfId="62" priority="58" operator="equal">
      <formula>"Especial"</formula>
    </cfRule>
    <cfRule type="cellIs" dxfId="61" priority="59" operator="equal">
      <formula>"Informes"</formula>
    </cfRule>
    <cfRule type="cellIs" dxfId="60" priority="60" operator="equal">
      <formula>"Auditoria"</formula>
    </cfRule>
  </conditionalFormatting>
  <conditionalFormatting sqref="E36">
    <cfRule type="cellIs" dxfId="59" priority="55" operator="equal">
      <formula>"Especial"</formula>
    </cfRule>
    <cfRule type="cellIs" dxfId="58" priority="56" operator="equal">
      <formula>"Informes"</formula>
    </cfRule>
    <cfRule type="cellIs" dxfId="57" priority="57" operator="equal">
      <formula>"Auditoria"</formula>
    </cfRule>
  </conditionalFormatting>
  <conditionalFormatting sqref="H36">
    <cfRule type="cellIs" dxfId="56" priority="53" operator="equal">
      <formula>"Recomendación"</formula>
    </cfRule>
    <cfRule type="cellIs" dxfId="55" priority="54" operator="equal">
      <formula>"No Conformidad"</formula>
    </cfRule>
  </conditionalFormatting>
  <conditionalFormatting sqref="G36">
    <cfRule type="cellIs" dxfId="54" priority="50" operator="equal">
      <formula>"Plan Mejoramiento"</formula>
    </cfRule>
    <cfRule type="cellIs" dxfId="53" priority="51" operator="equal">
      <formula>"Acción Preventiva"</formula>
    </cfRule>
    <cfRule type="cellIs" dxfId="52" priority="52" operator="equal">
      <formula>"Acción Correctiva"</formula>
    </cfRule>
  </conditionalFormatting>
  <conditionalFormatting sqref="G36">
    <cfRule type="cellIs" dxfId="51" priority="49" operator="equal">
      <formula>"Corrección"</formula>
    </cfRule>
  </conditionalFormatting>
  <conditionalFormatting sqref="G36">
    <cfRule type="cellIs" dxfId="50" priority="46" operator="equal">
      <formula>"Plan Mejoramiento"</formula>
    </cfRule>
    <cfRule type="cellIs" dxfId="49" priority="47" operator="equal">
      <formula>"Acción Preventiva"</formula>
    </cfRule>
    <cfRule type="cellIs" dxfId="48" priority="48" operator="equal">
      <formula>"Acción Correctiva"</formula>
    </cfRule>
  </conditionalFormatting>
  <conditionalFormatting sqref="G36">
    <cfRule type="cellIs" dxfId="47" priority="45" operator="equal">
      <formula>"Corrección"</formula>
    </cfRule>
  </conditionalFormatting>
  <conditionalFormatting sqref="J36">
    <cfRule type="cellIs" dxfId="46" priority="42" operator="equal">
      <formula>"Plan Mejoramiento"</formula>
    </cfRule>
    <cfRule type="cellIs" dxfId="45" priority="43" operator="equal">
      <formula>"Acción Preventiva"</formula>
    </cfRule>
    <cfRule type="cellIs" dxfId="44" priority="44" operator="equal">
      <formula>"Acción Correctiva"</formula>
    </cfRule>
  </conditionalFormatting>
  <conditionalFormatting sqref="J36">
    <cfRule type="cellIs" dxfId="43" priority="41" operator="equal">
      <formula>"Corrección"</formula>
    </cfRule>
  </conditionalFormatting>
  <conditionalFormatting sqref="I36">
    <cfRule type="cellIs" dxfId="42" priority="38" operator="equal">
      <formula>"Plan Mejoramiento"</formula>
    </cfRule>
    <cfRule type="cellIs" dxfId="41" priority="39" operator="equal">
      <formula>"Acción Preventiva"</formula>
    </cfRule>
    <cfRule type="cellIs" dxfId="40" priority="40" operator="equal">
      <formula>"Acción Correctiva"</formula>
    </cfRule>
  </conditionalFormatting>
  <conditionalFormatting sqref="I36">
    <cfRule type="cellIs" dxfId="39" priority="37" operator="equal">
      <formula>"Corrección"</formula>
    </cfRule>
  </conditionalFormatting>
  <conditionalFormatting sqref="F37">
    <cfRule type="cellIs" dxfId="38" priority="34" operator="equal">
      <formula>"Plan Mejoramiento"</formula>
    </cfRule>
    <cfRule type="cellIs" dxfId="37" priority="35" operator="equal">
      <formula>"Acción Preventiva"</formula>
    </cfRule>
    <cfRule type="cellIs" dxfId="36" priority="36" operator="equal">
      <formula>"Acción Correctiva"</formula>
    </cfRule>
  </conditionalFormatting>
  <conditionalFormatting sqref="F37">
    <cfRule type="cellIs" dxfId="35" priority="33" operator="equal">
      <formula>"Corrección"</formula>
    </cfRule>
  </conditionalFormatting>
  <conditionalFormatting sqref="D37">
    <cfRule type="cellIs" dxfId="34" priority="30" operator="equal">
      <formula>"Especial"</formula>
    </cfRule>
    <cfRule type="cellIs" dxfId="33" priority="31" operator="equal">
      <formula>"Informes"</formula>
    </cfRule>
    <cfRule type="cellIs" dxfId="32" priority="32" operator="equal">
      <formula>"Auditoria"</formula>
    </cfRule>
  </conditionalFormatting>
  <conditionalFormatting sqref="E37">
    <cfRule type="cellIs" dxfId="31" priority="27" operator="equal">
      <formula>"Especial"</formula>
    </cfRule>
    <cfRule type="cellIs" dxfId="30" priority="28" operator="equal">
      <formula>"Informes"</formula>
    </cfRule>
    <cfRule type="cellIs" dxfId="29" priority="29" operator="equal">
      <formula>"Auditoria"</formula>
    </cfRule>
  </conditionalFormatting>
  <conditionalFormatting sqref="H37">
    <cfRule type="cellIs" dxfId="28" priority="25" operator="equal">
      <formula>"Recomendación"</formula>
    </cfRule>
    <cfRule type="cellIs" dxfId="27" priority="26" operator="equal">
      <formula>"No Conformidad"</formula>
    </cfRule>
  </conditionalFormatting>
  <conditionalFormatting sqref="J37">
    <cfRule type="cellIs" dxfId="26" priority="22" operator="equal">
      <formula>"Plan Mejoramiento"</formula>
    </cfRule>
    <cfRule type="cellIs" dxfId="25" priority="23" operator="equal">
      <formula>"Acción Preventiva"</formula>
    </cfRule>
    <cfRule type="cellIs" dxfId="24" priority="24" operator="equal">
      <formula>"Acción Correctiva"</formula>
    </cfRule>
  </conditionalFormatting>
  <conditionalFormatting sqref="J37">
    <cfRule type="cellIs" dxfId="23" priority="21" operator="equal">
      <formula>"Corrección"</formula>
    </cfRule>
  </conditionalFormatting>
  <conditionalFormatting sqref="G37">
    <cfRule type="cellIs" dxfId="22" priority="14" operator="equal">
      <formula>"Plan Mejoramiento"</formula>
    </cfRule>
    <cfRule type="cellIs" dxfId="21" priority="15" operator="equal">
      <formula>"Acción Preventiva"</formula>
    </cfRule>
    <cfRule type="cellIs" dxfId="20" priority="16" operator="equal">
      <formula>"Acción Correctiva"</formula>
    </cfRule>
  </conditionalFormatting>
  <conditionalFormatting sqref="G37">
    <cfRule type="cellIs" dxfId="19" priority="13" operator="equal">
      <formula>"Corrección"</formula>
    </cfRule>
  </conditionalFormatting>
  <conditionalFormatting sqref="G37">
    <cfRule type="cellIs" dxfId="18" priority="10" operator="equal">
      <formula>"Plan Mejoramiento"</formula>
    </cfRule>
    <cfRule type="cellIs" dxfId="17" priority="11" operator="equal">
      <formula>"Acción Preventiva"</formula>
    </cfRule>
    <cfRule type="cellIs" dxfId="16" priority="12" operator="equal">
      <formula>"Acción Correctiva"</formula>
    </cfRule>
  </conditionalFormatting>
  <conditionalFormatting sqref="G37">
    <cfRule type="cellIs" dxfId="15" priority="9" operator="equal">
      <formula>"Corrección"</formula>
    </cfRule>
  </conditionalFormatting>
  <conditionalFormatting sqref="I37">
    <cfRule type="cellIs" dxfId="14" priority="6" operator="equal">
      <formula>"Plan Mejoramiento"</formula>
    </cfRule>
    <cfRule type="cellIs" dxfId="13" priority="7" operator="equal">
      <formula>"Acción Preventiva"</formula>
    </cfRule>
    <cfRule type="cellIs" dxfId="12" priority="8" operator="equal">
      <formula>"Acción Correctiva"</formula>
    </cfRule>
  </conditionalFormatting>
  <conditionalFormatting sqref="I37">
    <cfRule type="cellIs" dxfId="11" priority="5" operator="equal">
      <formula>"Corrección"</formula>
    </cfRule>
  </conditionalFormatting>
  <conditionalFormatting sqref="I4">
    <cfRule type="cellIs" dxfId="10" priority="2" operator="equal">
      <formula>"Plan Mejoramiento"</formula>
    </cfRule>
    <cfRule type="cellIs" dxfId="9" priority="3" operator="equal">
      <formula>"Acción Preventiva"</formula>
    </cfRule>
    <cfRule type="cellIs" dxfId="8" priority="4" operator="equal">
      <formula>"Acción Correctiva"</formula>
    </cfRule>
  </conditionalFormatting>
  <conditionalFormatting sqref="I4">
    <cfRule type="cellIs" dxfId="7" priority="1" operator="equal">
      <formula>"Corrección"</formula>
    </cfRule>
  </conditionalFormatting>
  <dataValidations count="4">
    <dataValidation type="list" allowBlank="1" showInputMessage="1" showErrorMessage="1" sqref="B35 E4:E34 E36:E37">
      <formula1>Auditores</formula1>
    </dataValidation>
    <dataValidation type="list" allowBlank="1" showInputMessage="1" showErrorMessage="1" sqref="D4:D34 D36:D37">
      <formula1>"Auditoria,Especial,Informes"</formula1>
    </dataValidation>
    <dataValidation type="list" allowBlank="1" showInputMessage="1" showErrorMessage="1" sqref="C16:C34 B4:B34 I35 B36:C36">
      <formula1>Proceso</formula1>
    </dataValidation>
    <dataValidation type="list" allowBlank="1" showInputMessage="1" showErrorMessage="1" sqref="E35 H4:H37">
      <formula1>"No Conformidad,Recomendación"</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9"/>
  <sheetViews>
    <sheetView tabSelected="1" topLeftCell="B1" zoomScaleNormal="100" workbookViewId="0">
      <selection activeCell="D26" sqref="D26"/>
    </sheetView>
  </sheetViews>
  <sheetFormatPr baseColWidth="10" defaultRowHeight="14.25" x14ac:dyDescent="0.2"/>
  <cols>
    <col min="1" max="1" width="3.140625" style="322" customWidth="1"/>
    <col min="2" max="2" width="32.85546875" style="322" customWidth="1"/>
    <col min="3" max="3" width="11.28515625" style="322" customWidth="1"/>
    <col min="4" max="4" width="11.5703125" style="322" customWidth="1"/>
    <col min="5" max="5" width="13.7109375" style="322" hidden="1" customWidth="1"/>
    <col min="6" max="6" width="11.85546875" style="322" hidden="1" customWidth="1"/>
    <col min="7" max="7" width="11.28515625" style="322" customWidth="1"/>
    <col min="8" max="8" width="11.42578125" style="322" customWidth="1"/>
    <col min="9" max="9" width="9.85546875" style="322" customWidth="1"/>
    <col min="10" max="10" width="10.28515625" style="322" customWidth="1"/>
    <col min="11" max="11" width="14.28515625" style="322" customWidth="1"/>
    <col min="12" max="13" width="11.42578125" style="322"/>
    <col min="14" max="14" width="3.28515625" style="322" customWidth="1"/>
    <col min="15" max="15" width="15.140625" style="322" customWidth="1"/>
    <col min="16" max="16384" width="11.42578125" style="322"/>
  </cols>
  <sheetData>
    <row r="1" spans="1:15" ht="21" thickBot="1" x14ac:dyDescent="0.35">
      <c r="B1" s="837" t="s">
        <v>793</v>
      </c>
      <c r="C1" s="838"/>
      <c r="D1" s="838"/>
      <c r="E1" s="838"/>
      <c r="F1" s="838"/>
      <c r="G1" s="838"/>
      <c r="H1" s="838"/>
      <c r="I1" s="838"/>
      <c r="J1" s="838"/>
      <c r="K1" s="838" t="s">
        <v>590</v>
      </c>
      <c r="L1" s="838"/>
      <c r="M1" s="839"/>
    </row>
    <row r="2" spans="1:15" ht="28.5" customHeight="1" x14ac:dyDescent="0.2">
      <c r="B2" s="844" t="s">
        <v>0</v>
      </c>
      <c r="C2" s="842" t="s">
        <v>576</v>
      </c>
      <c r="D2" s="835" t="s">
        <v>95</v>
      </c>
      <c r="E2" s="846"/>
      <c r="F2" s="846"/>
      <c r="G2" s="835" t="s">
        <v>575</v>
      </c>
      <c r="H2" s="836"/>
      <c r="I2" s="833" t="s">
        <v>132</v>
      </c>
      <c r="J2" s="834"/>
      <c r="K2" s="840" t="s">
        <v>574</v>
      </c>
      <c r="L2" s="840"/>
      <c r="M2" s="841"/>
    </row>
    <row r="3" spans="1:15" ht="27" customHeight="1" thickBot="1" x14ac:dyDescent="0.25">
      <c r="B3" s="845"/>
      <c r="C3" s="843"/>
      <c r="D3" s="306" t="s">
        <v>78</v>
      </c>
      <c r="E3" s="307" t="s">
        <v>53</v>
      </c>
      <c r="F3" s="310" t="s">
        <v>368</v>
      </c>
      <c r="G3" s="311" t="s">
        <v>79</v>
      </c>
      <c r="H3" s="312" t="s">
        <v>80</v>
      </c>
      <c r="I3" s="309" t="s">
        <v>133</v>
      </c>
      <c r="J3" s="303" t="s">
        <v>134</v>
      </c>
      <c r="K3" s="321" t="s">
        <v>502</v>
      </c>
      <c r="L3" s="111" t="s">
        <v>51</v>
      </c>
      <c r="M3" s="301" t="s">
        <v>55</v>
      </c>
      <c r="O3" s="330" t="s">
        <v>589</v>
      </c>
    </row>
    <row r="4" spans="1:15" ht="15" thickTop="1" x14ac:dyDescent="0.2">
      <c r="A4" s="322">
        <v>1</v>
      </c>
      <c r="B4" s="323" t="s">
        <v>49</v>
      </c>
      <c r="C4" s="385">
        <f>'PM 2017'!J319</f>
        <v>35</v>
      </c>
      <c r="D4" s="386">
        <f>'PM 2017'!N319</f>
        <v>35</v>
      </c>
      <c r="E4" s="387">
        <f>'PM 2017'!O319</f>
        <v>0</v>
      </c>
      <c r="F4" s="388">
        <f>'PM 2017'!P319</f>
        <v>0</v>
      </c>
      <c r="G4" s="389">
        <f>'PM 2017'!Q319</f>
        <v>35</v>
      </c>
      <c r="H4" s="390">
        <f>'PM 2017'!R319</f>
        <v>0</v>
      </c>
      <c r="I4" s="389">
        <f>'PM 2017'!L319</f>
        <v>1</v>
      </c>
      <c r="J4" s="391">
        <f>'PM 2017'!M319</f>
        <v>34</v>
      </c>
      <c r="K4" s="392">
        <f>'PM 2017'!J339</f>
        <v>50</v>
      </c>
      <c r="L4" s="393">
        <f>'PM 2017'!K339</f>
        <v>1</v>
      </c>
      <c r="M4" s="394">
        <f>'PM 2017'!L339</f>
        <v>49</v>
      </c>
      <c r="O4" s="332">
        <f>M4/K4</f>
        <v>0.98</v>
      </c>
    </row>
    <row r="5" spans="1:15" ht="15.75" customHeight="1" x14ac:dyDescent="0.2">
      <c r="A5" s="322">
        <v>2</v>
      </c>
      <c r="B5" s="324" t="s">
        <v>10</v>
      </c>
      <c r="C5" s="385">
        <f>'PM 2017'!J320</f>
        <v>12</v>
      </c>
      <c r="D5" s="395">
        <f>'PM 2017'!N320</f>
        <v>12</v>
      </c>
      <c r="E5" s="393">
        <f>'PM 2017'!O320</f>
        <v>0</v>
      </c>
      <c r="F5" s="396">
        <f>'PM 2017'!P320</f>
        <v>0</v>
      </c>
      <c r="G5" s="389">
        <f>'PM 2017'!Q320</f>
        <v>12</v>
      </c>
      <c r="H5" s="390">
        <f>'PM 2017'!R320</f>
        <v>0</v>
      </c>
      <c r="I5" s="395">
        <f>'PM 2017'!L320</f>
        <v>4</v>
      </c>
      <c r="J5" s="396">
        <f>'PM 2017'!M320</f>
        <v>8</v>
      </c>
      <c r="K5" s="393">
        <f>'PM 2017'!J340</f>
        <v>12</v>
      </c>
      <c r="L5" s="393">
        <f>'PM 2017'!K340</f>
        <v>4</v>
      </c>
      <c r="M5" s="394">
        <f>'PM 2017'!L340</f>
        <v>8</v>
      </c>
      <c r="O5" s="329">
        <f t="shared" ref="O5:O16" si="0">M5/K5</f>
        <v>0.66666666666666663</v>
      </c>
    </row>
    <row r="6" spans="1:15" ht="29.25" customHeight="1" x14ac:dyDescent="0.2">
      <c r="A6" s="322">
        <v>3</v>
      </c>
      <c r="B6" s="324" t="s">
        <v>335</v>
      </c>
      <c r="C6" s="385">
        <f>'PM 2017'!J321</f>
        <v>18</v>
      </c>
      <c r="D6" s="395">
        <f>'PM 2017'!N321</f>
        <v>18</v>
      </c>
      <c r="E6" s="393">
        <f>'PM 2017'!O321</f>
        <v>0</v>
      </c>
      <c r="F6" s="396">
        <f>'PM 2017'!P321</f>
        <v>0</v>
      </c>
      <c r="G6" s="389">
        <f>'PM 2017'!Q321</f>
        <v>18</v>
      </c>
      <c r="H6" s="390">
        <f>'PM 2017'!R321</f>
        <v>0</v>
      </c>
      <c r="I6" s="395">
        <f>'PM 2017'!L321</f>
        <v>0</v>
      </c>
      <c r="J6" s="396">
        <f>'PM 2017'!M321</f>
        <v>18</v>
      </c>
      <c r="K6" s="393">
        <f>'PM 2017'!J341</f>
        <v>30</v>
      </c>
      <c r="L6" s="393">
        <f>'PM 2017'!K341</f>
        <v>0</v>
      </c>
      <c r="M6" s="394">
        <f>'PM 2017'!L341</f>
        <v>30</v>
      </c>
      <c r="O6" s="329">
        <f t="shared" si="0"/>
        <v>1</v>
      </c>
    </row>
    <row r="7" spans="1:15" ht="16.5" customHeight="1" x14ac:dyDescent="0.2">
      <c r="A7" s="322">
        <v>4</v>
      </c>
      <c r="B7" s="325" t="s">
        <v>2</v>
      </c>
      <c r="C7" s="385">
        <f>'PM 2017'!J322</f>
        <v>6</v>
      </c>
      <c r="D7" s="395">
        <f>'PM 2017'!N322</f>
        <v>6</v>
      </c>
      <c r="E7" s="393">
        <f>'PM 2017'!O322</f>
        <v>0</v>
      </c>
      <c r="F7" s="396">
        <f>'PM 2017'!P322</f>
        <v>0</v>
      </c>
      <c r="G7" s="389">
        <f>'PM 2017'!Q322</f>
        <v>6</v>
      </c>
      <c r="H7" s="390">
        <f>'PM 2017'!R322</f>
        <v>0</v>
      </c>
      <c r="I7" s="395">
        <f>'PM 2017'!L322</f>
        <v>0</v>
      </c>
      <c r="J7" s="396">
        <f>'PM 2017'!M322</f>
        <v>6</v>
      </c>
      <c r="K7" s="393">
        <f>'PM 2017'!J342</f>
        <v>7</v>
      </c>
      <c r="L7" s="393">
        <f>'PM 2017'!K342</f>
        <v>1</v>
      </c>
      <c r="M7" s="394">
        <f>'PM 2017'!L342</f>
        <v>6</v>
      </c>
      <c r="O7" s="329">
        <f t="shared" si="0"/>
        <v>0.8571428571428571</v>
      </c>
    </row>
    <row r="8" spans="1:15" ht="16.5" customHeight="1" x14ac:dyDescent="0.2">
      <c r="A8" s="322">
        <v>5</v>
      </c>
      <c r="B8" s="325" t="s">
        <v>25</v>
      </c>
      <c r="C8" s="385">
        <f>'PM 2017'!J323</f>
        <v>11</v>
      </c>
      <c r="D8" s="395">
        <f>'PM 2017'!N323</f>
        <v>11</v>
      </c>
      <c r="E8" s="393">
        <f>'PM 2017'!O323</f>
        <v>0</v>
      </c>
      <c r="F8" s="396">
        <f>'PM 2017'!P323</f>
        <v>0</v>
      </c>
      <c r="G8" s="389">
        <f>'PM 2017'!Q323</f>
        <v>11</v>
      </c>
      <c r="H8" s="390">
        <f>'PM 2017'!R323</f>
        <v>0</v>
      </c>
      <c r="I8" s="395">
        <f>'PM 2017'!L323</f>
        <v>3</v>
      </c>
      <c r="J8" s="396">
        <f>'PM 2017'!M323</f>
        <v>8</v>
      </c>
      <c r="K8" s="393">
        <f>'PM 2017'!J343</f>
        <v>11</v>
      </c>
      <c r="L8" s="393">
        <f>'PM 2017'!K343</f>
        <v>2</v>
      </c>
      <c r="M8" s="394">
        <f>'PM 2017'!L343</f>
        <v>8</v>
      </c>
      <c r="O8" s="329">
        <f t="shared" si="0"/>
        <v>0.72727272727272729</v>
      </c>
    </row>
    <row r="9" spans="1:15" x14ac:dyDescent="0.2">
      <c r="A9" s="322">
        <v>6</v>
      </c>
      <c r="B9" s="325" t="s">
        <v>37</v>
      </c>
      <c r="C9" s="385">
        <f>'PM 2017'!J324</f>
        <v>7</v>
      </c>
      <c r="D9" s="395">
        <f>'PM 2017'!N324</f>
        <v>7</v>
      </c>
      <c r="E9" s="393">
        <f>'PM 2017'!O324</f>
        <v>0</v>
      </c>
      <c r="F9" s="396">
        <f>'PM 2017'!P324</f>
        <v>0</v>
      </c>
      <c r="G9" s="389">
        <f>'PM 2017'!Q324</f>
        <v>7</v>
      </c>
      <c r="H9" s="390">
        <f>'PM 2017'!R324</f>
        <v>0</v>
      </c>
      <c r="I9" s="395">
        <f>'PM 2017'!L324</f>
        <v>6</v>
      </c>
      <c r="J9" s="396">
        <f>'PM 2017'!M324</f>
        <v>1</v>
      </c>
      <c r="K9" s="393">
        <f>'PM 2017'!J344</f>
        <v>8</v>
      </c>
      <c r="L9" s="393">
        <f>'PM 2017'!K344</f>
        <v>6</v>
      </c>
      <c r="M9" s="394">
        <f>'PM 2017'!L344</f>
        <v>2</v>
      </c>
      <c r="O9" s="329">
        <f t="shared" si="0"/>
        <v>0.25</v>
      </c>
    </row>
    <row r="10" spans="1:15" x14ac:dyDescent="0.2">
      <c r="A10" s="322">
        <v>7</v>
      </c>
      <c r="B10" s="325" t="s">
        <v>36</v>
      </c>
      <c r="C10" s="385">
        <f>'PM 2017'!J325</f>
        <v>8</v>
      </c>
      <c r="D10" s="395">
        <f>'PM 2017'!N325</f>
        <v>8</v>
      </c>
      <c r="E10" s="393">
        <f>'PM 2017'!O325</f>
        <v>0</v>
      </c>
      <c r="F10" s="396">
        <f>'PM 2017'!P325</f>
        <v>0</v>
      </c>
      <c r="G10" s="389">
        <f>'PM 2017'!Q325</f>
        <v>8</v>
      </c>
      <c r="H10" s="390">
        <f>'PM 2017'!R325</f>
        <v>0</v>
      </c>
      <c r="I10" s="395">
        <f>'PM 2017'!L325</f>
        <v>4</v>
      </c>
      <c r="J10" s="396">
        <f>'PM 2017'!M325</f>
        <v>4</v>
      </c>
      <c r="K10" s="393">
        <f>'PM 2017'!J345</f>
        <v>8</v>
      </c>
      <c r="L10" s="393">
        <f>'PM 2017'!K345</f>
        <v>4</v>
      </c>
      <c r="M10" s="394">
        <f>'PM 2017'!L345</f>
        <v>4</v>
      </c>
      <c r="O10" s="329">
        <f t="shared" si="0"/>
        <v>0.5</v>
      </c>
    </row>
    <row r="11" spans="1:15" x14ac:dyDescent="0.2">
      <c r="A11" s="322">
        <v>8</v>
      </c>
      <c r="B11" s="325" t="s">
        <v>267</v>
      </c>
      <c r="C11" s="385">
        <f>'PM 2017'!J326</f>
        <v>8</v>
      </c>
      <c r="D11" s="395">
        <f>'PM 2017'!N326</f>
        <v>8</v>
      </c>
      <c r="E11" s="393">
        <f>'PM 2017'!O326</f>
        <v>0</v>
      </c>
      <c r="F11" s="396">
        <f>'PM 2017'!P326</f>
        <v>0</v>
      </c>
      <c r="G11" s="389">
        <f>'PM 2017'!Q326</f>
        <v>8</v>
      </c>
      <c r="H11" s="390">
        <f>'PM 2017'!R326</f>
        <v>0</v>
      </c>
      <c r="I11" s="395">
        <f>'PM 2017'!L326</f>
        <v>5</v>
      </c>
      <c r="J11" s="396">
        <f>'PM 2017'!M326</f>
        <v>3</v>
      </c>
      <c r="K11" s="393">
        <f>'PM 2017'!J346</f>
        <v>13</v>
      </c>
      <c r="L11" s="393">
        <f>'PM 2017'!K346</f>
        <v>5</v>
      </c>
      <c r="M11" s="394">
        <f>'PM 2017'!L346</f>
        <v>8</v>
      </c>
      <c r="O11" s="329">
        <f t="shared" si="0"/>
        <v>0.61538461538461542</v>
      </c>
    </row>
    <row r="12" spans="1:15" ht="28.5" x14ac:dyDescent="0.2">
      <c r="A12" s="322">
        <v>9</v>
      </c>
      <c r="B12" s="326" t="s">
        <v>62</v>
      </c>
      <c r="C12" s="385">
        <f>'PM 2017'!J327</f>
        <v>28</v>
      </c>
      <c r="D12" s="395">
        <f>'PM 2017'!N327</f>
        <v>28</v>
      </c>
      <c r="E12" s="393">
        <f>'PM 2017'!O327</f>
        <v>0</v>
      </c>
      <c r="F12" s="396">
        <f>'PM 2017'!P327</f>
        <v>0</v>
      </c>
      <c r="G12" s="389">
        <f>'PM 2017'!Q327</f>
        <v>28</v>
      </c>
      <c r="H12" s="390">
        <f>'PM 2017'!R327</f>
        <v>0</v>
      </c>
      <c r="I12" s="395">
        <f>'PM 2017'!L327</f>
        <v>16</v>
      </c>
      <c r="J12" s="396">
        <f>'PM 2017'!M327</f>
        <v>12</v>
      </c>
      <c r="K12" s="393">
        <f>'PM 2017'!J347</f>
        <v>38</v>
      </c>
      <c r="L12" s="393">
        <f>'PM 2017'!K347</f>
        <v>21</v>
      </c>
      <c r="M12" s="394">
        <f>'PM 2017'!L347</f>
        <v>17</v>
      </c>
      <c r="O12" s="329">
        <f t="shared" si="0"/>
        <v>0.44736842105263158</v>
      </c>
    </row>
    <row r="13" spans="1:15" x14ac:dyDescent="0.2">
      <c r="A13" s="322">
        <v>10</v>
      </c>
      <c r="B13" s="326" t="s">
        <v>63</v>
      </c>
      <c r="C13" s="385">
        <f>'PM 2017'!J328</f>
        <v>10</v>
      </c>
      <c r="D13" s="395">
        <f>'PM 2017'!N328</f>
        <v>10</v>
      </c>
      <c r="E13" s="393">
        <f>'PM 2017'!O328</f>
        <v>0</v>
      </c>
      <c r="F13" s="396">
        <f>'PM 2017'!P328</f>
        <v>0</v>
      </c>
      <c r="G13" s="389">
        <f>'PM 2017'!Q328</f>
        <v>9</v>
      </c>
      <c r="H13" s="390">
        <f>'PM 2017'!R328</f>
        <v>1</v>
      </c>
      <c r="I13" s="395">
        <f>'PM 2017'!L328</f>
        <v>8</v>
      </c>
      <c r="J13" s="396">
        <f>'PM 2017'!M328</f>
        <v>2</v>
      </c>
      <c r="K13" s="393">
        <f>'PM 2017'!J348</f>
        <v>9</v>
      </c>
      <c r="L13" s="393">
        <f>'PM 2017'!K348</f>
        <v>8</v>
      </c>
      <c r="M13" s="394">
        <f>'PM 2017'!L348</f>
        <v>2</v>
      </c>
      <c r="O13" s="329">
        <f t="shared" si="0"/>
        <v>0.22222222222222221</v>
      </c>
    </row>
    <row r="14" spans="1:15" x14ac:dyDescent="0.2">
      <c r="A14" s="322">
        <v>11</v>
      </c>
      <c r="B14" s="326" t="s">
        <v>333</v>
      </c>
      <c r="C14" s="385">
        <f>'PM 2017'!J329</f>
        <v>28</v>
      </c>
      <c r="D14" s="395">
        <f>'PM 2017'!N329</f>
        <v>28</v>
      </c>
      <c r="E14" s="393">
        <f>'PM 2017'!O329</f>
        <v>0</v>
      </c>
      <c r="F14" s="396">
        <f>'PM 2017'!P329</f>
        <v>0</v>
      </c>
      <c r="G14" s="389">
        <f>'PM 2017'!Q329</f>
        <v>28</v>
      </c>
      <c r="H14" s="390">
        <f>'PM 2017'!R329</f>
        <v>0</v>
      </c>
      <c r="I14" s="395">
        <f>'PM 2017'!L329</f>
        <v>7</v>
      </c>
      <c r="J14" s="396">
        <f>'PM 2017'!M329</f>
        <v>21</v>
      </c>
      <c r="K14" s="393">
        <f>'PM 2017'!J349</f>
        <v>28</v>
      </c>
      <c r="L14" s="393">
        <f>'PM 2017'!K349</f>
        <v>6</v>
      </c>
      <c r="M14" s="394">
        <f>'PM 2017'!L349</f>
        <v>22</v>
      </c>
      <c r="O14" s="329">
        <f t="shared" si="0"/>
        <v>0.7857142857142857</v>
      </c>
    </row>
    <row r="15" spans="1:15" x14ac:dyDescent="0.2">
      <c r="A15" s="322">
        <v>12</v>
      </c>
      <c r="B15" s="326" t="s">
        <v>61</v>
      </c>
      <c r="C15" s="385">
        <f>'PM 2017'!J330</f>
        <v>9</v>
      </c>
      <c r="D15" s="395">
        <f>'PM 2017'!N330</f>
        <v>9</v>
      </c>
      <c r="E15" s="393">
        <f>'PM 2017'!O330</f>
        <v>0</v>
      </c>
      <c r="F15" s="396">
        <f>'PM 2017'!P330</f>
        <v>0</v>
      </c>
      <c r="G15" s="389">
        <f>'PM 2017'!Q330</f>
        <v>9</v>
      </c>
      <c r="H15" s="390">
        <f>'PM 2017'!R330</f>
        <v>0</v>
      </c>
      <c r="I15" s="395">
        <f>'PM 2017'!L330</f>
        <v>5</v>
      </c>
      <c r="J15" s="396">
        <f>'PM 2017'!M330</f>
        <v>4</v>
      </c>
      <c r="K15" s="393">
        <f>'PM 2017'!J350</f>
        <v>19</v>
      </c>
      <c r="L15" s="393">
        <f>'PM 2017'!K350</f>
        <v>14</v>
      </c>
      <c r="M15" s="394">
        <f>'PM 2017'!L350</f>
        <v>5</v>
      </c>
      <c r="O15" s="329">
        <f t="shared" si="0"/>
        <v>0.26315789473684209</v>
      </c>
    </row>
    <row r="16" spans="1:15" ht="15" thickBot="1" x14ac:dyDescent="0.25">
      <c r="A16" s="322">
        <v>13</v>
      </c>
      <c r="B16" s="327" t="s">
        <v>65</v>
      </c>
      <c r="C16" s="397">
        <f>'PM 2017'!J331</f>
        <v>8</v>
      </c>
      <c r="D16" s="398">
        <f>'PM 2017'!N331</f>
        <v>8</v>
      </c>
      <c r="E16" s="399">
        <f>'PM 2017'!O331</f>
        <v>0</v>
      </c>
      <c r="F16" s="334">
        <f>'PM 2017'!P331</f>
        <v>0</v>
      </c>
      <c r="G16" s="398">
        <f>'PM 2017'!Q331</f>
        <v>8</v>
      </c>
      <c r="H16" s="400">
        <f>'PM 2017'!R331</f>
        <v>0</v>
      </c>
      <c r="I16" s="398">
        <f>'PM 2017'!L331</f>
        <v>4</v>
      </c>
      <c r="J16" s="334">
        <f>'PM 2017'!M331</f>
        <v>4</v>
      </c>
      <c r="K16" s="399">
        <f>'PM 2017'!J351</f>
        <v>11</v>
      </c>
      <c r="L16" s="399">
        <f>'PM 2017'!K351</f>
        <v>6</v>
      </c>
      <c r="M16" s="401">
        <f>'PM 2017'!L351</f>
        <v>5</v>
      </c>
      <c r="O16" s="333">
        <f t="shared" si="0"/>
        <v>0.45454545454545453</v>
      </c>
    </row>
    <row r="17" spans="2:15" ht="18.75" thickBot="1" x14ac:dyDescent="0.3">
      <c r="B17" s="302" t="s">
        <v>86</v>
      </c>
      <c r="C17" s="353">
        <f>SUM(C4:C16)</f>
        <v>188</v>
      </c>
      <c r="D17" s="354">
        <f>SUM(D4:D16)</f>
        <v>188</v>
      </c>
      <c r="E17" s="354">
        <f t="shared" ref="E17:F17" si="1">SUM(E4:E16)</f>
        <v>0</v>
      </c>
      <c r="F17" s="355">
        <f t="shared" si="1"/>
        <v>0</v>
      </c>
      <c r="G17" s="313">
        <f t="shared" ref="G17:M17" si="2">SUM(G4:G16)</f>
        <v>187</v>
      </c>
      <c r="H17" s="314">
        <f>SUM(H4:H16)</f>
        <v>1</v>
      </c>
      <c r="I17" s="313">
        <f t="shared" si="2"/>
        <v>63</v>
      </c>
      <c r="J17" s="315">
        <f t="shared" si="2"/>
        <v>125</v>
      </c>
      <c r="K17" s="319">
        <f t="shared" si="2"/>
        <v>244</v>
      </c>
      <c r="L17" s="308">
        <f t="shared" si="2"/>
        <v>78</v>
      </c>
      <c r="M17" s="320">
        <f t="shared" si="2"/>
        <v>166</v>
      </c>
      <c r="O17" s="331">
        <f>M17/K17</f>
        <v>0.68032786885245899</v>
      </c>
    </row>
    <row r="18" spans="2:15" ht="5.25" customHeight="1" thickBot="1" x14ac:dyDescent="0.25"/>
    <row r="19" spans="2:15" ht="16.5" thickBot="1" x14ac:dyDescent="0.3">
      <c r="B19" s="135" t="s">
        <v>573</v>
      </c>
      <c r="C19" s="328">
        <f>'PM 2017'!N1</f>
        <v>42916</v>
      </c>
    </row>
  </sheetData>
  <mergeCells count="8">
    <mergeCell ref="I2:J2"/>
    <mergeCell ref="G2:H2"/>
    <mergeCell ref="B1:J1"/>
    <mergeCell ref="K1:M1"/>
    <mergeCell ref="K2:M2"/>
    <mergeCell ref="C2:C3"/>
    <mergeCell ref="B2:B3"/>
    <mergeCell ref="D2:F2"/>
  </mergeCells>
  <conditionalFormatting sqref="F3">
    <cfRule type="cellIs" dxfId="6" priority="5" operator="equal">
      <formula>"Oportunidad de mejora"</formula>
    </cfRule>
    <cfRule type="cellIs" dxfId="5" priority="6" operator="equal">
      <formula>"Recomendación"</formula>
    </cfRule>
    <cfRule type="cellIs" dxfId="4" priority="7" operator="equal">
      <formula>"No Conformidad"</formula>
    </cfRule>
  </conditionalFormatting>
  <conditionalFormatting sqref="L3:M3">
    <cfRule type="cellIs" dxfId="3" priority="3" operator="equal">
      <formula>"Cerrada"</formula>
    </cfRule>
    <cfRule type="cellIs" dxfId="2" priority="4" operator="equal">
      <formula>"Abierta"</formula>
    </cfRule>
  </conditionalFormatting>
  <conditionalFormatting sqref="I3:J3">
    <cfRule type="cellIs" dxfId="1" priority="1" operator="equal">
      <formula>"Hallazgo Cerrado"</formula>
    </cfRule>
    <cfRule type="cellIs" dxfId="0" priority="2" operator="equal">
      <formula>"Hallazgo Abierto"</formula>
    </cfRule>
  </conditionalFormatting>
  <pageMargins left="0.51181102362204722" right="0.43307086614173229" top="1.1023622047244095" bottom="0.74803149606299213" header="0.31496062992125984" footer="0.31496062992125984"/>
  <pageSetup scale="78" orientation="landscape" r:id="rId1"/>
  <headerFooter>
    <oddHeader>&amp;L&amp;G&amp;C&amp;"Arial Black,Normal"&amp;12Seguimiento consolidado Plan de Mejoramiento por procesos.
Caja de la Vivienda Popular
Control Interno</oddHeader>
    <oddFooter>&amp;L&amp;A&amp;R&amp;F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Parametros</vt:lpstr>
      <vt:lpstr>PM FORMATO V1 Mar 2014</vt:lpstr>
      <vt:lpstr>recibo PM</vt:lpstr>
      <vt:lpstr>ControlCambiosHerra</vt:lpstr>
      <vt:lpstr>PM 2017</vt:lpstr>
      <vt:lpstr>coherencia</vt:lpstr>
      <vt:lpstr>HyRsinplan</vt:lpstr>
      <vt:lpstr>Resumen Vig2017</vt:lpstr>
      <vt:lpstr>Administración_de_la_Información</vt:lpstr>
      <vt:lpstr>'PM 2017'!Área_de_impresión</vt:lpstr>
      <vt:lpstr>'Resumen Vig2017'!Área_de_impresión</vt:lpstr>
      <vt:lpstr>Auditores</vt:lpstr>
      <vt:lpstr>Proceso</vt:lpstr>
      <vt:lpstr>'PM 2017'!Títulos_a_imprimir</vt:lpstr>
      <vt:lpstr>'PM FORMATO V1 Mar 2014'!Títulos_a_imprimir</vt:lpstr>
      <vt:lpstr>'recibo PM'!Títulos_a_imprimir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Mejoramiento</dc:title>
  <dc:creator>CVP Control Interno</dc:creator>
  <cp:keywords>Seguimiento Plan de Mejoramiento</cp:keywords>
  <cp:lastModifiedBy>Héctor Andrés Mejía Mejía</cp:lastModifiedBy>
  <cp:lastPrinted>2017-04-21T15:22:54Z</cp:lastPrinted>
  <dcterms:created xsi:type="dcterms:W3CDTF">2012-12-10T14:26:22Z</dcterms:created>
  <dcterms:modified xsi:type="dcterms:W3CDTF">2017-10-10T20:04:30Z</dcterms:modified>
</cp:coreProperties>
</file>