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5" yWindow="5205" windowWidth="20610" windowHeight="6165" tabRatio="593" firstSheet="2" activeTab="4"/>
  </bookViews>
  <sheets>
    <sheet name="Parametros" sheetId="16" state="hidden" r:id="rId1"/>
    <sheet name="PM FORMATO V1 Mar 2014" sheetId="17" state="hidden" r:id="rId2"/>
    <sheet name="recibo PM" sheetId="11" r:id="rId3"/>
    <sheet name="ControlCambiosHerra" sheetId="22" r:id="rId4"/>
    <sheet name="PM 2016" sheetId="18" r:id="rId5"/>
    <sheet name="coherencia" sheetId="20" r:id="rId6"/>
    <sheet name="HyRsinplan" sheetId="21" r:id="rId7"/>
    <sheet name="Hoja1" sheetId="23" r:id="rId8"/>
    <sheet name="Formatos Proced" sheetId="24" r:id="rId9"/>
    <sheet name="LMD MV 11Abr2016" sheetId="25" r:id="rId10"/>
  </sheets>
  <externalReferences>
    <externalReference r:id="rId11"/>
  </externalReferences>
  <definedNames>
    <definedName name="_xlnm._FilterDatabase" localSheetId="6" hidden="1">HyRsinplan!$A$3:$K$36</definedName>
    <definedName name="_xlnm._FilterDatabase" localSheetId="9" hidden="1">'LMD MV 11Abr2016'!$A$5:$V$112</definedName>
    <definedName name="_xlnm._FilterDatabase" localSheetId="4" hidden="1">'PM 2016'!$A$3:$AD$327</definedName>
    <definedName name="_xlnm._FilterDatabase" localSheetId="1" hidden="1">'PM FORMATO V1 Mar 2014'!$A$3:$R$129</definedName>
    <definedName name="_xlnm.Print_Area" localSheetId="8">'Formatos Proced'!$B$1:$K$116</definedName>
    <definedName name="_xlnm.Print_Area" localSheetId="9">'LMD MV 11Abr2016'!$B$1:$K$115</definedName>
    <definedName name="_xlnm.Print_Area" localSheetId="4">'PM 2016'!$B$1:$U$311</definedName>
    <definedName name="Auditores">Parametros!$E$2:$E$10</definedName>
    <definedName name="Estado">'[1]LISTAS SOPORTE'!$A$2:$A$3</definedName>
    <definedName name="Proceso">Parametros!$A$2:$A$14</definedName>
    <definedName name="Procesos">#REF!</definedName>
    <definedName name="_xlnm.Print_Titles" localSheetId="8">'Formatos Proced'!$1:$5</definedName>
    <definedName name="_xlnm.Print_Titles" localSheetId="9">'LMD MV 11Abr2016'!$1:$5</definedName>
    <definedName name="_xlnm.Print_Titles" localSheetId="4">'PM 2016'!$A:$B,'PM 2016'!$1:$3</definedName>
    <definedName name="_xlnm.Print_Titles" localSheetId="1">'PM FORMATO V1 Mar 2014'!$A:$B,'PM FORMATO V1 Mar 2014'!$1:$3</definedName>
    <definedName name="_xlnm.Print_Titles" localSheetId="2">'recibo PM'!$1:$1</definedName>
  </definedNames>
  <calcPr calcId="145621"/>
</workbook>
</file>

<file path=xl/calcChain.xml><?xml version="1.0" encoding="utf-8"?>
<calcChain xmlns="http://schemas.openxmlformats.org/spreadsheetml/2006/main">
  <c r="X33" i="18" l="1"/>
  <c r="V33" i="18"/>
  <c r="W33" i="18"/>
  <c r="A87" i="25"/>
  <c r="A88" i="25"/>
  <c r="A89" i="25"/>
  <c r="L17" i="23"/>
  <c r="K17" i="23"/>
  <c r="D307" i="18"/>
  <c r="V290" i="18"/>
  <c r="X285" i="18"/>
  <c r="V285" i="18"/>
  <c r="W285" i="18"/>
  <c r="V280" i="18"/>
  <c r="W280" i="18"/>
  <c r="X281" i="18"/>
  <c r="V281" i="18"/>
  <c r="W281" i="18"/>
  <c r="X198" i="18"/>
  <c r="V198" i="18"/>
  <c r="W198" i="18"/>
  <c r="X195" i="18"/>
  <c r="V195" i="18"/>
  <c r="W195" i="18"/>
  <c r="X189" i="18"/>
  <c r="V189" i="18"/>
  <c r="W189" i="18"/>
  <c r="X188" i="18"/>
  <c r="V188" i="18"/>
  <c r="W188" i="18"/>
  <c r="X187" i="18"/>
  <c r="V187" i="18"/>
  <c r="W187" i="18"/>
  <c r="X186" i="18"/>
  <c r="V186" i="18"/>
  <c r="W186" i="18"/>
  <c r="X182" i="18"/>
  <c r="V182" i="18"/>
  <c r="W182" i="18"/>
  <c r="E336" i="18"/>
  <c r="D336" i="18"/>
  <c r="X237" i="18"/>
  <c r="V237" i="18"/>
  <c r="W237" i="18"/>
  <c r="X236" i="18"/>
  <c r="V236" i="18"/>
  <c r="W236" i="18"/>
  <c r="X235" i="18"/>
  <c r="V235" i="18"/>
  <c r="W235" i="18"/>
  <c r="X233" i="18"/>
  <c r="V233" i="18"/>
  <c r="W233" i="18"/>
  <c r="X231" i="18"/>
  <c r="V231" i="18"/>
  <c r="W231" i="18"/>
  <c r="X229" i="18"/>
  <c r="V229" i="18"/>
  <c r="W229" i="18"/>
  <c r="X227" i="18"/>
  <c r="V227" i="18"/>
  <c r="W227" i="18"/>
  <c r="X225" i="18"/>
  <c r="V225" i="18"/>
  <c r="W225" i="18"/>
  <c r="X224" i="18"/>
  <c r="V224" i="18"/>
  <c r="W224" i="18"/>
  <c r="X221" i="18"/>
  <c r="V221" i="18"/>
  <c r="W221" i="18"/>
  <c r="X219" i="18"/>
  <c r="V219" i="18"/>
  <c r="W219" i="18"/>
  <c r="X217" i="18"/>
  <c r="V217" i="18"/>
  <c r="W217" i="18"/>
  <c r="A5" i="18"/>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171" i="18"/>
  <c r="A172" i="18"/>
  <c r="A173" i="18"/>
  <c r="A174" i="18"/>
  <c r="A175" i="18"/>
  <c r="A176" i="18"/>
  <c r="A177" i="18"/>
  <c r="A178" i="18"/>
  <c r="A179" i="18"/>
  <c r="A180" i="18"/>
  <c r="A181" i="18"/>
  <c r="A182" i="18"/>
  <c r="A183" i="18"/>
  <c r="A184" i="18"/>
  <c r="A185" i="18"/>
  <c r="A186" i="18"/>
  <c r="A187" i="18"/>
  <c r="A188" i="18"/>
  <c r="A189" i="18"/>
  <c r="A190" i="18"/>
  <c r="A191" i="18"/>
  <c r="A192" i="18"/>
  <c r="A193" i="18"/>
  <c r="A194" i="18"/>
  <c r="A195" i="18"/>
  <c r="A196" i="18"/>
  <c r="A197" i="18"/>
  <c r="A198" i="18"/>
  <c r="A199" i="18"/>
  <c r="A200" i="18"/>
  <c r="A201" i="18"/>
  <c r="A202" i="18"/>
  <c r="A203" i="18"/>
  <c r="A204" i="18"/>
  <c r="A205" i="18"/>
  <c r="A206" i="18"/>
  <c r="A207" i="18"/>
  <c r="A208" i="18"/>
  <c r="A209" i="18"/>
  <c r="A210" i="18"/>
  <c r="A211" i="18"/>
  <c r="A212" i="18"/>
  <c r="A213" i="18"/>
  <c r="A214" i="18"/>
  <c r="A215" i="18"/>
  <c r="A216" i="18"/>
  <c r="A217" i="18"/>
  <c r="A218" i="18"/>
  <c r="A219" i="18"/>
  <c r="A220" i="18"/>
  <c r="A221" i="18"/>
  <c r="A222" i="18"/>
  <c r="A223" i="18"/>
  <c r="A224" i="18"/>
  <c r="A225" i="18"/>
  <c r="A226" i="18"/>
  <c r="A227" i="18"/>
  <c r="A228" i="18"/>
  <c r="A229" i="18"/>
  <c r="A230" i="18"/>
  <c r="A231" i="18"/>
  <c r="A232" i="18"/>
  <c r="A233" i="18"/>
  <c r="A234" i="18"/>
  <c r="A235" i="18"/>
  <c r="A236" i="18"/>
  <c r="A237" i="18"/>
  <c r="A238" i="18"/>
  <c r="A239" i="18"/>
  <c r="A240" i="18"/>
  <c r="A241" i="18"/>
  <c r="A242" i="18"/>
  <c r="A243" i="18"/>
  <c r="A244" i="18"/>
  <c r="A245" i="18"/>
  <c r="A246" i="18"/>
  <c r="A247" i="18"/>
  <c r="A248" i="18"/>
  <c r="A249" i="18"/>
  <c r="A250" i="18"/>
  <c r="A251" i="18"/>
  <c r="A252" i="18"/>
  <c r="A253" i="18"/>
  <c r="A254" i="18"/>
  <c r="A255" i="18"/>
  <c r="A256" i="18"/>
  <c r="A257" i="18"/>
  <c r="A258" i="18"/>
  <c r="A259" i="18"/>
  <c r="A260" i="18"/>
  <c r="A261" i="18"/>
  <c r="A262" i="18"/>
  <c r="A263" i="18"/>
  <c r="A264" i="18"/>
  <c r="A265" i="18"/>
  <c r="A266" i="18"/>
  <c r="A267" i="18"/>
  <c r="A268" i="18"/>
  <c r="A269" i="18"/>
  <c r="A270" i="18"/>
  <c r="A271" i="18"/>
  <c r="A272" i="18"/>
  <c r="A273" i="18"/>
  <c r="A274" i="18"/>
  <c r="A275" i="18"/>
  <c r="A276" i="18"/>
  <c r="A277" i="18"/>
  <c r="A278" i="18"/>
  <c r="A279" i="18"/>
  <c r="A280" i="18"/>
  <c r="A281" i="18"/>
  <c r="A282" i="18"/>
  <c r="A283" i="18"/>
  <c r="A284" i="18"/>
  <c r="A285" i="18"/>
  <c r="A286" i="18"/>
  <c r="A287" i="18"/>
  <c r="A288" i="18"/>
  <c r="A289" i="18"/>
  <c r="A290" i="18"/>
  <c r="A291" i="18"/>
  <c r="A292" i="18"/>
  <c r="A293" i="18"/>
  <c r="A294" i="18"/>
  <c r="A295" i="18"/>
  <c r="A296" i="18"/>
  <c r="A297" i="18"/>
  <c r="A298" i="18"/>
  <c r="A299" i="18"/>
  <c r="X262" i="18"/>
  <c r="V262" i="18"/>
  <c r="W262" i="18"/>
  <c r="X260" i="18"/>
  <c r="V260" i="18"/>
  <c r="W260" i="18"/>
  <c r="X243" i="18"/>
  <c r="V243" i="18"/>
  <c r="W243" i="18"/>
  <c r="X240" i="18"/>
  <c r="V240" i="18"/>
  <c r="W240" i="18"/>
  <c r="X287" i="18"/>
  <c r="V287" i="18"/>
  <c r="W287" i="18"/>
  <c r="X286" i="18"/>
  <c r="V286" i="18"/>
  <c r="W286" i="18"/>
  <c r="X284" i="18"/>
  <c r="V284" i="18"/>
  <c r="W284" i="18"/>
  <c r="X283" i="18"/>
  <c r="V283" i="18"/>
  <c r="W283" i="18"/>
  <c r="X282" i="18"/>
  <c r="V282" i="18"/>
  <c r="W282" i="18"/>
  <c r="X279" i="18"/>
  <c r="V279" i="18"/>
  <c r="W279" i="18"/>
  <c r="V273" i="18"/>
  <c r="W273" i="18"/>
  <c r="X273" i="18"/>
  <c r="X277" i="18"/>
  <c r="V277" i="18"/>
  <c r="W277" i="18"/>
  <c r="X276" i="18"/>
  <c r="V276" i="18"/>
  <c r="W276" i="18"/>
  <c r="X275" i="18"/>
  <c r="V275" i="18"/>
  <c r="W275" i="18"/>
  <c r="X274" i="18"/>
  <c r="V274" i="18"/>
  <c r="W274" i="18"/>
  <c r="X272" i="18"/>
  <c r="V272" i="18"/>
  <c r="W272" i="18"/>
  <c r="X271" i="18"/>
  <c r="V271" i="18"/>
  <c r="W271" i="18"/>
  <c r="X270" i="18"/>
  <c r="V270" i="18"/>
  <c r="W270" i="18"/>
  <c r="X269" i="18"/>
  <c r="V269" i="18"/>
  <c r="W269" i="18"/>
  <c r="X268" i="18"/>
  <c r="V268" i="18"/>
  <c r="W268" i="18"/>
  <c r="X174" i="18"/>
  <c r="V174" i="18"/>
  <c r="W174" i="18"/>
  <c r="X267" i="18"/>
  <c r="V267" i="18"/>
  <c r="W267" i="18"/>
  <c r="X258" i="18"/>
  <c r="V258" i="18"/>
  <c r="W258" i="18"/>
  <c r="X247" i="18"/>
  <c r="V247" i="18"/>
  <c r="W247" i="18"/>
  <c r="X204" i="18"/>
  <c r="V204" i="18"/>
  <c r="W204" i="18"/>
  <c r="X203" i="18"/>
  <c r="V203" i="18"/>
  <c r="W203" i="18"/>
  <c r="X202" i="18"/>
  <c r="V202" i="18"/>
  <c r="W202" i="18"/>
  <c r="X201" i="18"/>
  <c r="V201" i="18"/>
  <c r="W201" i="18"/>
  <c r="X200" i="18"/>
  <c r="V200" i="18"/>
  <c r="W200" i="18"/>
  <c r="X199" i="18"/>
  <c r="V199" i="18"/>
  <c r="W199" i="18"/>
  <c r="X197" i="18"/>
  <c r="V197" i="18"/>
  <c r="W197" i="18"/>
  <c r="X196" i="18"/>
  <c r="V196" i="18"/>
  <c r="W196" i="18"/>
  <c r="X194" i="18"/>
  <c r="V194" i="18"/>
  <c r="W194" i="18"/>
  <c r="X193" i="18"/>
  <c r="V193" i="18"/>
  <c r="W193" i="18"/>
  <c r="X192" i="18"/>
  <c r="V192" i="18"/>
  <c r="W192" i="18"/>
  <c r="X191" i="18"/>
  <c r="V191" i="18"/>
  <c r="W191" i="18"/>
  <c r="X190" i="18"/>
  <c r="V190" i="18"/>
  <c r="W190" i="18"/>
  <c r="X185" i="18"/>
  <c r="V185" i="18"/>
  <c r="W185" i="18"/>
  <c r="X184" i="18"/>
  <c r="V184" i="18"/>
  <c r="W184" i="18"/>
  <c r="X183" i="18"/>
  <c r="V183" i="18"/>
  <c r="W183" i="18"/>
  <c r="X181" i="18"/>
  <c r="V181" i="18"/>
  <c r="W181" i="18"/>
  <c r="X81" i="18"/>
  <c r="V81" i="18"/>
  <c r="W81" i="18"/>
  <c r="X80" i="18"/>
  <c r="V80" i="18"/>
  <c r="W80" i="18"/>
  <c r="X266" i="18"/>
  <c r="V266" i="18"/>
  <c r="W266" i="18"/>
  <c r="X265" i="18"/>
  <c r="V265" i="18"/>
  <c r="W265" i="18"/>
  <c r="X264" i="18"/>
  <c r="V264" i="18"/>
  <c r="W264" i="18"/>
  <c r="X263" i="18"/>
  <c r="V263" i="18"/>
  <c r="W263" i="18"/>
  <c r="X238" i="18"/>
  <c r="V238" i="18"/>
  <c r="W238" i="18"/>
  <c r="X234" i="18"/>
  <c r="V234" i="18"/>
  <c r="W234" i="18"/>
  <c r="X232" i="18"/>
  <c r="V232" i="18"/>
  <c r="W232" i="18"/>
  <c r="X230" i="18"/>
  <c r="V230" i="18"/>
  <c r="W230" i="18"/>
  <c r="X228" i="18"/>
  <c r="V228" i="18"/>
  <c r="W228" i="18"/>
  <c r="X226" i="18"/>
  <c r="V226" i="18"/>
  <c r="W226" i="18"/>
  <c r="X223" i="18"/>
  <c r="V223" i="18"/>
  <c r="W223" i="18"/>
  <c r="X222" i="18"/>
  <c r="V222" i="18"/>
  <c r="W222" i="18"/>
  <c r="X220" i="18"/>
  <c r="V220" i="18"/>
  <c r="W220" i="18"/>
  <c r="X218" i="18"/>
  <c r="V218" i="18"/>
  <c r="W218" i="18"/>
  <c r="X216" i="18"/>
  <c r="V216" i="18"/>
  <c r="W216" i="18"/>
  <c r="X215" i="18"/>
  <c r="V215" i="18"/>
  <c r="W215" i="18"/>
  <c r="X214" i="18"/>
  <c r="V214" i="18"/>
  <c r="W214" i="18"/>
  <c r="X213" i="18"/>
  <c r="V213" i="18"/>
  <c r="W213" i="18"/>
  <c r="X212" i="18"/>
  <c r="V212" i="18"/>
  <c r="W212" i="18"/>
  <c r="X211" i="18"/>
  <c r="V211" i="18"/>
  <c r="W211" i="18"/>
  <c r="X210" i="18"/>
  <c r="V210" i="18"/>
  <c r="W210" i="18"/>
  <c r="X209" i="18"/>
  <c r="V209" i="18"/>
  <c r="W209" i="18"/>
  <c r="X208" i="18"/>
  <c r="V208" i="18"/>
  <c r="W208" i="18"/>
  <c r="X207" i="18"/>
  <c r="V207" i="18"/>
  <c r="W207" i="18"/>
  <c r="X206" i="18"/>
  <c r="V206" i="18"/>
  <c r="W206" i="18"/>
  <c r="X205" i="18"/>
  <c r="V205" i="18"/>
  <c r="W205" i="18"/>
  <c r="X299" i="18"/>
  <c r="V299" i="18"/>
  <c r="W299" i="18"/>
  <c r="X298" i="18"/>
  <c r="V298" i="18"/>
  <c r="W298" i="18"/>
  <c r="X297" i="18"/>
  <c r="V297" i="18"/>
  <c r="W297" i="18"/>
  <c r="X289" i="18"/>
  <c r="V289" i="18"/>
  <c r="W289" i="18"/>
  <c r="X288" i="18"/>
  <c r="V288" i="18"/>
  <c r="W288" i="18"/>
  <c r="X278" i="18"/>
  <c r="V278" i="18"/>
  <c r="W278" i="18"/>
  <c r="X261" i="18"/>
  <c r="V261" i="18"/>
  <c r="W261" i="18"/>
  <c r="X259" i="18"/>
  <c r="V259" i="18"/>
  <c r="W259" i="18"/>
  <c r="X248" i="18"/>
  <c r="V248" i="18"/>
  <c r="W248" i="18"/>
  <c r="X246" i="18"/>
  <c r="V246" i="18"/>
  <c r="W246" i="18"/>
  <c r="X245" i="18"/>
  <c r="V245" i="18"/>
  <c r="W245" i="18"/>
  <c r="X244" i="18"/>
  <c r="V244" i="18"/>
  <c r="W244" i="18"/>
  <c r="X242" i="18"/>
  <c r="V242" i="18"/>
  <c r="W242" i="18"/>
  <c r="X241" i="18"/>
  <c r="V241" i="18"/>
  <c r="W241" i="18"/>
  <c r="X239" i="18"/>
  <c r="V239" i="18"/>
  <c r="W239" i="18"/>
  <c r="V249" i="18"/>
  <c r="W249" i="18"/>
  <c r="X249" i="18"/>
  <c r="V250" i="18"/>
  <c r="W250" i="18"/>
  <c r="X250" i="18"/>
  <c r="V251" i="18"/>
  <c r="W251" i="18"/>
  <c r="X251" i="18"/>
  <c r="V252" i="18"/>
  <c r="W252" i="18"/>
  <c r="X252" i="18"/>
  <c r="X98" i="18"/>
  <c r="V98" i="18"/>
  <c r="W98" i="18"/>
  <c r="X97" i="18"/>
  <c r="V97" i="18"/>
  <c r="W97" i="18"/>
  <c r="X96" i="18"/>
  <c r="V96" i="18"/>
  <c r="W96" i="18"/>
  <c r="O325" i="18"/>
  <c r="O324" i="18"/>
  <c r="O323" i="18"/>
  <c r="O322" i="18"/>
  <c r="O321" i="18"/>
  <c r="O320" i="18"/>
  <c r="O319" i="18"/>
  <c r="O318" i="18"/>
  <c r="O317" i="18"/>
  <c r="O316" i="18"/>
  <c r="O315" i="18"/>
  <c r="O314" i="18"/>
  <c r="O313" i="18"/>
  <c r="H325" i="18"/>
  <c r="H324" i="18"/>
  <c r="H323" i="18"/>
  <c r="H322" i="18"/>
  <c r="H321" i="18"/>
  <c r="H320" i="18"/>
  <c r="H319" i="18"/>
  <c r="H318" i="18"/>
  <c r="H317" i="18"/>
  <c r="H316" i="18"/>
  <c r="H315" i="18"/>
  <c r="H314" i="18"/>
  <c r="H313" i="18"/>
  <c r="M307" i="18"/>
  <c r="M306" i="18"/>
  <c r="M305" i="18"/>
  <c r="D325" i="18"/>
  <c r="D324" i="18"/>
  <c r="D323" i="18"/>
  <c r="D322" i="18"/>
  <c r="D321" i="18"/>
  <c r="D320" i="18"/>
  <c r="D319" i="18"/>
  <c r="D318" i="18"/>
  <c r="D317" i="18"/>
  <c r="D316" i="18"/>
  <c r="D315" i="18"/>
  <c r="D314" i="18"/>
  <c r="D313" i="18"/>
  <c r="E320" i="18"/>
  <c r="E313" i="18"/>
  <c r="X161" i="18"/>
  <c r="V161" i="18"/>
  <c r="W161" i="18"/>
  <c r="X160" i="18"/>
  <c r="V160" i="18"/>
  <c r="W160" i="18"/>
  <c r="X159" i="18"/>
  <c r="V159" i="18"/>
  <c r="W159" i="18"/>
  <c r="X158" i="18"/>
  <c r="V158" i="18"/>
  <c r="W158" i="18"/>
  <c r="X157" i="18"/>
  <c r="V157" i="18"/>
  <c r="W157" i="18"/>
  <c r="X156" i="18"/>
  <c r="V156" i="18"/>
  <c r="W156" i="18"/>
  <c r="X155" i="18"/>
  <c r="V155" i="18"/>
  <c r="W155" i="18"/>
  <c r="X257" i="18"/>
  <c r="V257" i="18"/>
  <c r="W257" i="18"/>
  <c r="X256" i="18"/>
  <c r="V256" i="18"/>
  <c r="W256" i="18"/>
  <c r="X255" i="18"/>
  <c r="V255" i="18"/>
  <c r="W255" i="18"/>
  <c r="X254" i="18"/>
  <c r="V254" i="18"/>
  <c r="W254" i="18"/>
  <c r="X253" i="18"/>
  <c r="V253" i="18"/>
  <c r="W253" i="18"/>
  <c r="X180" i="18"/>
  <c r="V180" i="18"/>
  <c r="W180" i="18"/>
  <c r="X179" i="18"/>
  <c r="V179" i="18"/>
  <c r="W179" i="18"/>
  <c r="L307" i="18"/>
  <c r="K307" i="18"/>
  <c r="J307" i="18"/>
  <c r="X171" i="18"/>
  <c r="V171" i="18"/>
  <c r="W171" i="18"/>
  <c r="X170" i="18"/>
  <c r="V170" i="18"/>
  <c r="W170" i="18"/>
  <c r="X169" i="18"/>
  <c r="V169" i="18"/>
  <c r="W169" i="18"/>
  <c r="X168" i="18"/>
  <c r="V168" i="18"/>
  <c r="W168" i="18"/>
  <c r="X167" i="18"/>
  <c r="V167" i="18"/>
  <c r="W167" i="18"/>
  <c r="V164" i="18"/>
  <c r="W164" i="18"/>
  <c r="V166" i="18"/>
  <c r="W166" i="18"/>
  <c r="V172" i="18"/>
  <c r="W172" i="18"/>
  <c r="V173" i="18"/>
  <c r="W173" i="18"/>
  <c r="X164" i="18"/>
  <c r="X162" i="18"/>
  <c r="X165" i="18"/>
  <c r="X126" i="18"/>
  <c r="V126" i="18"/>
  <c r="W126" i="18"/>
  <c r="X95" i="18"/>
  <c r="V95" i="18"/>
  <c r="W95" i="18"/>
  <c r="X99" i="18"/>
  <c r="V99" i="18"/>
  <c r="W99" i="18"/>
  <c r="X93" i="18"/>
  <c r="V93" i="18"/>
  <c r="W93" i="18"/>
  <c r="Z303" i="18"/>
  <c r="D333" i="18"/>
  <c r="K341" i="18"/>
  <c r="L341" i="18"/>
  <c r="K342" i="18"/>
  <c r="L342" i="18"/>
  <c r="K343" i="18"/>
  <c r="L343" i="18"/>
  <c r="K344" i="18"/>
  <c r="L344" i="18"/>
  <c r="K345" i="18"/>
  <c r="L345" i="18"/>
  <c r="K340" i="18"/>
  <c r="L340" i="18"/>
  <c r="D340" i="18"/>
  <c r="E340" i="18"/>
  <c r="F340" i="18"/>
  <c r="G340" i="18"/>
  <c r="C320" i="18"/>
  <c r="F320" i="18"/>
  <c r="G320" i="18"/>
  <c r="K320" i="18"/>
  <c r="L320" i="18"/>
  <c r="M320" i="18"/>
  <c r="N320" i="18"/>
  <c r="P320" i="18"/>
  <c r="Q320" i="18"/>
  <c r="X92" i="18"/>
  <c r="V92" i="18"/>
  <c r="W92" i="18"/>
  <c r="X163" i="18"/>
  <c r="X140" i="18"/>
  <c r="V140" i="18"/>
  <c r="W140" i="18"/>
  <c r="A5" i="21"/>
  <c r="A6" i="21"/>
  <c r="A7" i="21"/>
  <c r="A8" i="21"/>
  <c r="A9" i="21"/>
  <c r="A10" i="21"/>
  <c r="A11" i="21"/>
  <c r="A12" i="21"/>
  <c r="A13" i="21"/>
  <c r="A14" i="21"/>
  <c r="A15" i="21"/>
  <c r="A16" i="21"/>
  <c r="A17" i="21"/>
  <c r="A18" i="21"/>
  <c r="A19" i="21"/>
  <c r="A20" i="21"/>
  <c r="A21" i="21"/>
  <c r="A22" i="21"/>
  <c r="A23" i="21"/>
  <c r="A24" i="21"/>
  <c r="A25" i="21"/>
  <c r="A26" i="21"/>
  <c r="A27" i="21"/>
  <c r="A28" i="21"/>
  <c r="A29" i="21"/>
  <c r="A30" i="21"/>
  <c r="A31" i="21"/>
  <c r="A32" i="21"/>
  <c r="A33" i="21"/>
  <c r="A34" i="21"/>
  <c r="A35" i="21"/>
  <c r="A36" i="21"/>
  <c r="A37" i="21"/>
  <c r="X34" i="18"/>
  <c r="V34" i="18"/>
  <c r="W34" i="18"/>
  <c r="X32" i="18"/>
  <c r="V32" i="18"/>
  <c r="W32" i="18"/>
  <c r="X137" i="18"/>
  <c r="V137" i="18"/>
  <c r="X136" i="18"/>
  <c r="V136" i="18"/>
  <c r="X135" i="18"/>
  <c r="V135" i="18"/>
  <c r="X139" i="18"/>
  <c r="V139" i="18"/>
  <c r="X138" i="18"/>
  <c r="V138" i="18"/>
  <c r="X173" i="18"/>
  <c r="X172" i="18"/>
  <c r="X166" i="18"/>
  <c r="X149" i="18"/>
  <c r="V149" i="18"/>
  <c r="W149" i="18"/>
  <c r="X148" i="18"/>
  <c r="V148" i="18"/>
  <c r="W148" i="18"/>
  <c r="X147" i="18"/>
  <c r="V147" i="18"/>
  <c r="W147" i="18"/>
  <c r="X87" i="18"/>
  <c r="V87" i="18"/>
  <c r="W87" i="18"/>
  <c r="V146" i="18"/>
  <c r="W146" i="18"/>
  <c r="V145" i="18"/>
  <c r="W145" i="18"/>
  <c r="V144" i="18"/>
  <c r="V143" i="18"/>
  <c r="V142" i="18"/>
  <c r="X146" i="18"/>
  <c r="X145" i="18"/>
  <c r="X144" i="18"/>
  <c r="X143" i="18"/>
  <c r="X142" i="18"/>
  <c r="X127" i="18"/>
  <c r="V127" i="18"/>
  <c r="W127" i="18"/>
  <c r="W88" i="18"/>
  <c r="V141" i="18"/>
  <c r="W141" i="18"/>
  <c r="V150" i="18"/>
  <c r="W150" i="18"/>
  <c r="V151" i="18"/>
  <c r="W151" i="18"/>
  <c r="V152" i="18"/>
  <c r="W152" i="18"/>
  <c r="V153" i="18"/>
  <c r="W153" i="18"/>
  <c r="V154" i="18"/>
  <c r="W154" i="18"/>
  <c r="X300" i="18"/>
  <c r="V300" i="18"/>
  <c r="X154" i="18"/>
  <c r="X153" i="18"/>
  <c r="X152" i="18"/>
  <c r="X151" i="18"/>
  <c r="X150" i="18"/>
  <c r="X141" i="18"/>
  <c r="X124" i="18"/>
  <c r="V124" i="18"/>
  <c r="W124" i="18"/>
  <c r="X123" i="18"/>
  <c r="V123" i="18"/>
  <c r="W123" i="18"/>
  <c r="X122" i="18"/>
  <c r="V122" i="18"/>
  <c r="W122" i="18"/>
  <c r="X121" i="18"/>
  <c r="V121" i="18"/>
  <c r="W121" i="18"/>
  <c r="X120" i="18"/>
  <c r="V120" i="18"/>
  <c r="W120" i="18"/>
  <c r="X118" i="18"/>
  <c r="V118" i="18"/>
  <c r="W118" i="18"/>
  <c r="X117" i="18"/>
  <c r="V117" i="18"/>
  <c r="W117" i="18"/>
  <c r="X115" i="18"/>
  <c r="V115" i="18"/>
  <c r="W115" i="18"/>
  <c r="X114" i="18"/>
  <c r="V114" i="18"/>
  <c r="W114" i="18"/>
  <c r="X113" i="18"/>
  <c r="V113" i="18"/>
  <c r="W113" i="18"/>
  <c r="X61" i="18"/>
  <c r="V61" i="18"/>
  <c r="W61" i="18"/>
  <c r="X65" i="18"/>
  <c r="V65" i="18"/>
  <c r="W65" i="18"/>
  <c r="X64" i="18"/>
  <c r="V64" i="18"/>
  <c r="W64" i="18"/>
  <c r="X63" i="18"/>
  <c r="V63" i="18"/>
  <c r="W63" i="18"/>
  <c r="X62" i="18"/>
  <c r="V62" i="18"/>
  <c r="W62" i="18"/>
  <c r="X109" i="18"/>
  <c r="V109" i="18"/>
  <c r="W109" i="18"/>
  <c r="X129" i="18"/>
  <c r="V129" i="18"/>
  <c r="W129" i="18"/>
  <c r="X128" i="18"/>
  <c r="V128" i="18"/>
  <c r="W128" i="18"/>
  <c r="X106" i="18"/>
  <c r="V106" i="18"/>
  <c r="W106" i="18"/>
  <c r="X105" i="18"/>
  <c r="V105" i="18"/>
  <c r="W105" i="18"/>
  <c r="X104" i="18"/>
  <c r="V104" i="18"/>
  <c r="W104" i="18"/>
  <c r="X103" i="18"/>
  <c r="V103" i="18"/>
  <c r="W103" i="18"/>
  <c r="X101" i="18"/>
  <c r="V101" i="18"/>
  <c r="W101" i="18"/>
  <c r="X134" i="18"/>
  <c r="V134" i="18"/>
  <c r="W134" i="18"/>
  <c r="X133" i="18"/>
  <c r="V133" i="18"/>
  <c r="W133" i="18"/>
  <c r="X132" i="18"/>
  <c r="V132" i="18"/>
  <c r="W132" i="18"/>
  <c r="X131" i="18"/>
  <c r="V131" i="18"/>
  <c r="W131" i="18"/>
  <c r="X130" i="18"/>
  <c r="V130" i="18"/>
  <c r="W130" i="18"/>
  <c r="X125" i="18"/>
  <c r="V125" i="18"/>
  <c r="W125" i="18"/>
  <c r="X119" i="18"/>
  <c r="V119" i="18"/>
  <c r="W119" i="18"/>
  <c r="X116" i="18"/>
  <c r="V116" i="18"/>
  <c r="W116" i="18"/>
  <c r="X112" i="18"/>
  <c r="V112" i="18"/>
  <c r="W112" i="18"/>
  <c r="X111" i="18"/>
  <c r="V111" i="18"/>
  <c r="W111" i="18"/>
  <c r="X110" i="18"/>
  <c r="V110" i="18"/>
  <c r="W110" i="18"/>
  <c r="X108" i="18"/>
  <c r="V108" i="18"/>
  <c r="W108" i="18"/>
  <c r="X107" i="18"/>
  <c r="V107" i="18"/>
  <c r="W107" i="18"/>
  <c r="X102" i="18"/>
  <c r="V102" i="18"/>
  <c r="W102" i="18"/>
  <c r="X100" i="18"/>
  <c r="V100" i="18"/>
  <c r="W100" i="18"/>
  <c r="X94" i="18"/>
  <c r="V94" i="18"/>
  <c r="W94" i="18"/>
  <c r="X88" i="18"/>
  <c r="X90" i="18"/>
  <c r="V90" i="18"/>
  <c r="W90" i="18"/>
  <c r="X89" i="18"/>
  <c r="V89" i="18"/>
  <c r="W89" i="18"/>
  <c r="X91" i="18"/>
  <c r="V91" i="18"/>
  <c r="W91" i="18"/>
  <c r="V8" i="18"/>
  <c r="X78" i="18"/>
  <c r="V78" i="18"/>
  <c r="W78" i="18"/>
  <c r="X76" i="18"/>
  <c r="V76" i="18"/>
  <c r="W76" i="18"/>
  <c r="X79" i="18"/>
  <c r="V79" i="18"/>
  <c r="W79" i="18"/>
  <c r="X77" i="18"/>
  <c r="V77" i="18"/>
  <c r="W77" i="18"/>
  <c r="X75" i="18"/>
  <c r="V75" i="18"/>
  <c r="W75" i="18"/>
  <c r="X74" i="18"/>
  <c r="V74" i="18"/>
  <c r="W74" i="18"/>
  <c r="X73" i="18"/>
  <c r="V73" i="18"/>
  <c r="W73" i="18"/>
  <c r="X72" i="18"/>
  <c r="V72" i="18"/>
  <c r="W72" i="18"/>
  <c r="X71" i="18"/>
  <c r="V71" i="18"/>
  <c r="W71" i="18"/>
  <c r="X70" i="18"/>
  <c r="V70" i="18"/>
  <c r="W70" i="18"/>
  <c r="X69" i="18"/>
  <c r="V69" i="18"/>
  <c r="W69" i="18"/>
  <c r="X68" i="18"/>
  <c r="V68" i="18"/>
  <c r="W68" i="18"/>
  <c r="X67" i="18"/>
  <c r="V67" i="18"/>
  <c r="W67" i="18"/>
  <c r="X83" i="18"/>
  <c r="V83" i="18"/>
  <c r="W83" i="18"/>
  <c r="X86" i="18"/>
  <c r="V86" i="18"/>
  <c r="W86" i="18"/>
  <c r="X85" i="18"/>
  <c r="V85" i="18"/>
  <c r="W85" i="18"/>
  <c r="X84" i="18"/>
  <c r="V84" i="18"/>
  <c r="W84" i="18"/>
  <c r="X82" i="18"/>
  <c r="V82" i="18"/>
  <c r="W82" i="18"/>
  <c r="G325" i="18"/>
  <c r="F325" i="18"/>
  <c r="E325" i="18"/>
  <c r="C325" i="18"/>
  <c r="G324" i="18"/>
  <c r="F324" i="18"/>
  <c r="E324" i="18"/>
  <c r="C324" i="18"/>
  <c r="G323" i="18"/>
  <c r="F323" i="18"/>
  <c r="E323" i="18"/>
  <c r="C323" i="18"/>
  <c r="G322" i="18"/>
  <c r="F322" i="18"/>
  <c r="E322" i="18"/>
  <c r="C322" i="18"/>
  <c r="G321" i="18"/>
  <c r="F321" i="18"/>
  <c r="E321" i="18"/>
  <c r="C321" i="18"/>
  <c r="G319" i="18"/>
  <c r="F319" i="18"/>
  <c r="E319" i="18"/>
  <c r="C319" i="18"/>
  <c r="G318" i="18"/>
  <c r="F318" i="18"/>
  <c r="E318" i="18"/>
  <c r="C318" i="18"/>
  <c r="G317" i="18"/>
  <c r="F317" i="18"/>
  <c r="E317" i="18"/>
  <c r="C317" i="18"/>
  <c r="G316" i="18"/>
  <c r="F316" i="18"/>
  <c r="E316" i="18"/>
  <c r="C316" i="18"/>
  <c r="G315" i="18"/>
  <c r="F315" i="18"/>
  <c r="E315" i="18"/>
  <c r="C315" i="18"/>
  <c r="E314" i="18"/>
  <c r="C314" i="18"/>
  <c r="G313" i="18"/>
  <c r="F313" i="18"/>
  <c r="C313" i="18"/>
  <c r="Q325" i="18"/>
  <c r="P325" i="18"/>
  <c r="N325" i="18"/>
  <c r="M325" i="18"/>
  <c r="Q324" i="18"/>
  <c r="P324" i="18"/>
  <c r="N324" i="18"/>
  <c r="M324" i="18"/>
  <c r="Q323" i="18"/>
  <c r="P323" i="18"/>
  <c r="N323" i="18"/>
  <c r="M323" i="18"/>
  <c r="Q322" i="18"/>
  <c r="P322" i="18"/>
  <c r="N322" i="18"/>
  <c r="M322" i="18"/>
  <c r="Q321" i="18"/>
  <c r="P321" i="18"/>
  <c r="N321" i="18"/>
  <c r="M321" i="18"/>
  <c r="Q319" i="18"/>
  <c r="P319" i="18"/>
  <c r="N319" i="18"/>
  <c r="M319" i="18"/>
  <c r="Q318" i="18"/>
  <c r="P318" i="18"/>
  <c r="N318" i="18"/>
  <c r="M318" i="18"/>
  <c r="Q317" i="18"/>
  <c r="P317" i="18"/>
  <c r="N317" i="18"/>
  <c r="M317" i="18"/>
  <c r="Q316" i="18"/>
  <c r="P316" i="18"/>
  <c r="N316" i="18"/>
  <c r="M316" i="18"/>
  <c r="Q315" i="18"/>
  <c r="P315" i="18"/>
  <c r="N315" i="18"/>
  <c r="M315" i="18"/>
  <c r="L325" i="18"/>
  <c r="K325" i="18"/>
  <c r="L324" i="18"/>
  <c r="K324" i="18"/>
  <c r="L323" i="18"/>
  <c r="K323" i="18"/>
  <c r="L322" i="18"/>
  <c r="K322" i="18"/>
  <c r="L321" i="18"/>
  <c r="K321" i="18"/>
  <c r="L319" i="18"/>
  <c r="K319" i="18"/>
  <c r="L318" i="18"/>
  <c r="K318" i="18"/>
  <c r="L317" i="18"/>
  <c r="K317" i="18"/>
  <c r="L316" i="18"/>
  <c r="K316" i="18"/>
  <c r="L315" i="18"/>
  <c r="K315" i="18"/>
  <c r="Q314" i="18"/>
  <c r="P314" i="18"/>
  <c r="N314" i="18"/>
  <c r="M314" i="18"/>
  <c r="L314" i="18"/>
  <c r="K314" i="18"/>
  <c r="Q313" i="18"/>
  <c r="P313" i="18"/>
  <c r="N313" i="18"/>
  <c r="M313" i="18"/>
  <c r="L313" i="18"/>
  <c r="K313" i="18"/>
  <c r="G345" i="18"/>
  <c r="F345" i="18"/>
  <c r="G344" i="18"/>
  <c r="F344" i="18"/>
  <c r="G343" i="18"/>
  <c r="F343" i="18"/>
  <c r="G342" i="18"/>
  <c r="F342" i="18"/>
  <c r="G341" i="18"/>
  <c r="F341" i="18"/>
  <c r="G339" i="18"/>
  <c r="F339" i="18"/>
  <c r="G338" i="18"/>
  <c r="F338" i="18"/>
  <c r="G337" i="18"/>
  <c r="F337" i="18"/>
  <c r="G336" i="18"/>
  <c r="F336" i="18"/>
  <c r="J336" i="18"/>
  <c r="G335" i="18"/>
  <c r="F335" i="18"/>
  <c r="G334" i="18"/>
  <c r="F334" i="18"/>
  <c r="E345" i="18"/>
  <c r="E344" i="18"/>
  <c r="J344" i="18"/>
  <c r="D344" i="18"/>
  <c r="E343" i="18"/>
  <c r="J343" i="18"/>
  <c r="E342" i="18"/>
  <c r="D342" i="18"/>
  <c r="J342" i="18"/>
  <c r="E341" i="18"/>
  <c r="E339" i="18"/>
  <c r="J339" i="18"/>
  <c r="D339" i="18"/>
  <c r="E338" i="18"/>
  <c r="J338" i="18"/>
  <c r="E337" i="18"/>
  <c r="D337" i="18"/>
  <c r="J337" i="18"/>
  <c r="E335" i="18"/>
  <c r="D335" i="18"/>
  <c r="J335" i="18"/>
  <c r="E334" i="18"/>
  <c r="D345" i="18"/>
  <c r="J345" i="18"/>
  <c r="D343" i="18"/>
  <c r="D341" i="18"/>
  <c r="J341" i="18"/>
  <c r="D338" i="18"/>
  <c r="D334" i="18"/>
  <c r="J334" i="18"/>
  <c r="V5" i="18"/>
  <c r="W5" i="18"/>
  <c r="V6" i="18"/>
  <c r="W6" i="18"/>
  <c r="V7" i="18"/>
  <c r="W7" i="18"/>
  <c r="V9" i="18"/>
  <c r="W9" i="18"/>
  <c r="V10" i="18"/>
  <c r="W10" i="18"/>
  <c r="V11" i="18"/>
  <c r="W11" i="18"/>
  <c r="V12" i="18"/>
  <c r="W12" i="18"/>
  <c r="V13" i="18"/>
  <c r="W13" i="18"/>
  <c r="V14" i="18"/>
  <c r="W14" i="18"/>
  <c r="V15" i="18"/>
  <c r="W15" i="18"/>
  <c r="V16" i="18"/>
  <c r="W16" i="18"/>
  <c r="V17" i="18"/>
  <c r="W17" i="18"/>
  <c r="V18" i="18"/>
  <c r="W18" i="18"/>
  <c r="V19" i="18"/>
  <c r="W19" i="18"/>
  <c r="V20" i="18"/>
  <c r="W20" i="18"/>
  <c r="V21" i="18"/>
  <c r="W21" i="18"/>
  <c r="V22" i="18"/>
  <c r="W22" i="18"/>
  <c r="V23" i="18"/>
  <c r="W23" i="18"/>
  <c r="V24" i="18"/>
  <c r="W24" i="18"/>
  <c r="V25" i="18"/>
  <c r="W25" i="18"/>
  <c r="V26" i="18"/>
  <c r="W26" i="18"/>
  <c r="V27" i="18"/>
  <c r="W27" i="18"/>
  <c r="V28" i="18"/>
  <c r="W28" i="18"/>
  <c r="V29" i="18"/>
  <c r="W29" i="18"/>
  <c r="V30" i="18"/>
  <c r="W30" i="18"/>
  <c r="V31" i="18"/>
  <c r="W31" i="18"/>
  <c r="V35" i="18"/>
  <c r="W35" i="18"/>
  <c r="V36" i="18"/>
  <c r="W36" i="18"/>
  <c r="V37" i="18"/>
  <c r="W37" i="18"/>
  <c r="V38" i="18"/>
  <c r="W38" i="18"/>
  <c r="V39" i="18"/>
  <c r="W39" i="18"/>
  <c r="V40" i="18"/>
  <c r="W40" i="18"/>
  <c r="V41" i="18"/>
  <c r="W41" i="18"/>
  <c r="V42" i="18"/>
  <c r="W42" i="18"/>
  <c r="V43" i="18"/>
  <c r="W43" i="18"/>
  <c r="V44" i="18"/>
  <c r="W44" i="18"/>
  <c r="V45" i="18"/>
  <c r="W45" i="18"/>
  <c r="V46" i="18"/>
  <c r="W46" i="18"/>
  <c r="V47" i="18"/>
  <c r="W47" i="18"/>
  <c r="V48" i="18"/>
  <c r="W48" i="18"/>
  <c r="V49" i="18"/>
  <c r="W49" i="18"/>
  <c r="V50" i="18"/>
  <c r="W50" i="18"/>
  <c r="V51" i="18"/>
  <c r="W51" i="18"/>
  <c r="V52" i="18"/>
  <c r="W52" i="18"/>
  <c r="V53" i="18"/>
  <c r="W53" i="18"/>
  <c r="V54" i="18"/>
  <c r="W54" i="18"/>
  <c r="V55" i="18"/>
  <c r="W55" i="18"/>
  <c r="V56" i="18"/>
  <c r="W56" i="18"/>
  <c r="V57" i="18"/>
  <c r="W57" i="18"/>
  <c r="V58" i="18"/>
  <c r="W58" i="18"/>
  <c r="V59" i="18"/>
  <c r="W59" i="18"/>
  <c r="V60" i="18"/>
  <c r="W60" i="18"/>
  <c r="V66" i="18"/>
  <c r="W66" i="18"/>
  <c r="V4" i="18"/>
  <c r="W4" i="18"/>
  <c r="F314" i="18"/>
  <c r="G314" i="18"/>
  <c r="I314" i="18"/>
  <c r="G326" i="18"/>
  <c r="G333" i="18"/>
  <c r="F333" i="18"/>
  <c r="E333" i="18"/>
  <c r="J333" i="18"/>
  <c r="X66" i="18"/>
  <c r="X60" i="18"/>
  <c r="X59" i="18"/>
  <c r="X58" i="18"/>
  <c r="X57" i="18"/>
  <c r="X56" i="18"/>
  <c r="X55" i="18"/>
  <c r="X54" i="18"/>
  <c r="X53" i="18"/>
  <c r="X52" i="18"/>
  <c r="X51" i="18"/>
  <c r="X50" i="18"/>
  <c r="X49" i="18"/>
  <c r="X48" i="18"/>
  <c r="X47" i="18"/>
  <c r="X46" i="18"/>
  <c r="X45" i="18"/>
  <c r="X44" i="18"/>
  <c r="X43" i="18"/>
  <c r="X42" i="18"/>
  <c r="X41" i="18"/>
  <c r="X40" i="18"/>
  <c r="X39" i="18"/>
  <c r="X38" i="18"/>
  <c r="X37" i="18"/>
  <c r="X36" i="18"/>
  <c r="X35" i="18"/>
  <c r="X31" i="18"/>
  <c r="X30" i="18"/>
  <c r="X29" i="18"/>
  <c r="X28" i="18"/>
  <c r="X27" i="18"/>
  <c r="X26" i="18"/>
  <c r="X25" i="18"/>
  <c r="X24" i="18"/>
  <c r="X23" i="18"/>
  <c r="X22" i="18"/>
  <c r="X21" i="18"/>
  <c r="X20" i="18"/>
  <c r="X19" i="18"/>
  <c r="X18" i="18"/>
  <c r="X17" i="18"/>
  <c r="X16" i="18"/>
  <c r="X15" i="18"/>
  <c r="X14" i="18"/>
  <c r="X13" i="18"/>
  <c r="X12" i="18"/>
  <c r="X11" i="18"/>
  <c r="X10" i="18"/>
  <c r="X9" i="18"/>
  <c r="X7" i="18"/>
  <c r="X6" i="18"/>
  <c r="X5" i="18"/>
  <c r="K334" i="18"/>
  <c r="L339" i="18"/>
  <c r="L338" i="18"/>
  <c r="L337" i="18"/>
  <c r="L336" i="18"/>
  <c r="L335" i="18"/>
  <c r="L334" i="18"/>
  <c r="K339" i="18"/>
  <c r="K338" i="18"/>
  <c r="K337" i="18"/>
  <c r="K336" i="18"/>
  <c r="K335" i="18"/>
  <c r="L333" i="18"/>
  <c r="K333" i="18"/>
  <c r="D305" i="18"/>
  <c r="X4" i="18"/>
  <c r="X301" i="18"/>
  <c r="D310" i="18"/>
  <c r="L306" i="18"/>
  <c r="L308" i="18"/>
  <c r="K306" i="18"/>
  <c r="J306" i="18"/>
  <c r="J308" i="18"/>
  <c r="F306" i="18"/>
  <c r="D306" i="18"/>
  <c r="L305" i="18"/>
  <c r="K305" i="18"/>
  <c r="K308" i="18"/>
  <c r="J305" i="18"/>
  <c r="F305" i="18"/>
  <c r="F308" i="18"/>
  <c r="J144" i="17"/>
  <c r="I144" i="17"/>
  <c r="H144" i="17"/>
  <c r="E144" i="17"/>
  <c r="D144" i="17"/>
  <c r="C144" i="17"/>
  <c r="J143" i="17"/>
  <c r="I143" i="17"/>
  <c r="H143" i="17"/>
  <c r="E143" i="17"/>
  <c r="D143" i="17"/>
  <c r="C143" i="17"/>
  <c r="J142" i="17"/>
  <c r="I142" i="17"/>
  <c r="H142" i="17"/>
  <c r="E142" i="17"/>
  <c r="D142" i="17"/>
  <c r="C142" i="17"/>
  <c r="J141" i="17"/>
  <c r="I141" i="17"/>
  <c r="H141" i="17"/>
  <c r="E141" i="17"/>
  <c r="D141" i="17"/>
  <c r="C141" i="17"/>
  <c r="J140" i="17"/>
  <c r="I140" i="17"/>
  <c r="H140" i="17"/>
  <c r="E140" i="17"/>
  <c r="D140" i="17"/>
  <c r="C140" i="17"/>
  <c r="J139" i="17"/>
  <c r="I139" i="17"/>
  <c r="H139" i="17"/>
  <c r="E139" i="17"/>
  <c r="D139" i="17"/>
  <c r="C139" i="17"/>
  <c r="J138" i="17"/>
  <c r="I138" i="17"/>
  <c r="H138" i="17"/>
  <c r="E138" i="17"/>
  <c r="D138" i="17"/>
  <c r="C138" i="17"/>
  <c r="J137" i="17"/>
  <c r="I137" i="17"/>
  <c r="H137" i="17"/>
  <c r="E137" i="17"/>
  <c r="D137" i="17"/>
  <c r="C137" i="17"/>
  <c r="J136" i="17"/>
  <c r="I136" i="17"/>
  <c r="H136" i="17"/>
  <c r="E136" i="17"/>
  <c r="D136" i="17"/>
  <c r="C136" i="17"/>
  <c r="J135" i="17"/>
  <c r="I135" i="17"/>
  <c r="H135" i="17"/>
  <c r="E135" i="17"/>
  <c r="D135" i="17"/>
  <c r="C135" i="17"/>
  <c r="J134" i="17"/>
  <c r="I134" i="17"/>
  <c r="H134" i="17"/>
  <c r="E134" i="17"/>
  <c r="D134" i="17"/>
  <c r="D133" i="17"/>
  <c r="D145" i="17"/>
  <c r="C134" i="17"/>
  <c r="J133" i="17"/>
  <c r="I133" i="17"/>
  <c r="H133" i="17"/>
  <c r="H145" i="17"/>
  <c r="E133" i="17"/>
  <c r="C133" i="17"/>
  <c r="K127" i="17"/>
  <c r="J127" i="17"/>
  <c r="I127" i="17"/>
  <c r="H127" i="17"/>
  <c r="F127" i="17"/>
  <c r="E127" i="17"/>
  <c r="D127" i="17"/>
  <c r="C127" i="17"/>
  <c r="K126" i="17"/>
  <c r="J126" i="17"/>
  <c r="I126" i="17"/>
  <c r="H126" i="17"/>
  <c r="F126" i="17"/>
  <c r="E126" i="17"/>
  <c r="D126" i="17"/>
  <c r="C126" i="17"/>
  <c r="K125" i="17"/>
  <c r="J125" i="17"/>
  <c r="I125" i="17"/>
  <c r="H125" i="17"/>
  <c r="F125" i="17"/>
  <c r="E125" i="17"/>
  <c r="D125" i="17"/>
  <c r="C125" i="17"/>
  <c r="K124" i="17"/>
  <c r="J124" i="17"/>
  <c r="I124" i="17"/>
  <c r="H124" i="17"/>
  <c r="F124" i="17"/>
  <c r="E124" i="17"/>
  <c r="D124" i="17"/>
  <c r="C124" i="17"/>
  <c r="K123" i="17"/>
  <c r="J123" i="17"/>
  <c r="I123" i="17"/>
  <c r="H123" i="17"/>
  <c r="F123" i="17"/>
  <c r="E123" i="17"/>
  <c r="D123" i="17"/>
  <c r="C123" i="17"/>
  <c r="K122" i="17"/>
  <c r="J122" i="17"/>
  <c r="I122" i="17"/>
  <c r="H122" i="17"/>
  <c r="F122" i="17"/>
  <c r="F116" i="17"/>
  <c r="F117" i="17"/>
  <c r="F118" i="17"/>
  <c r="F119" i="17"/>
  <c r="F120" i="17"/>
  <c r="F121" i="17"/>
  <c r="F128" i="17"/>
  <c r="E122" i="17"/>
  <c r="D122" i="17"/>
  <c r="C122" i="17"/>
  <c r="P121" i="17"/>
  <c r="P120" i="17"/>
  <c r="P122" i="17"/>
  <c r="O121" i="17"/>
  <c r="N121" i="17"/>
  <c r="N120" i="17"/>
  <c r="N122" i="17"/>
  <c r="K121" i="17"/>
  <c r="J121" i="17"/>
  <c r="J116" i="17"/>
  <c r="J117" i="17"/>
  <c r="J118" i="17"/>
  <c r="J119" i="17"/>
  <c r="J120" i="17"/>
  <c r="J128" i="17"/>
  <c r="I121" i="17"/>
  <c r="H121" i="17"/>
  <c r="H116" i="17"/>
  <c r="H117" i="17"/>
  <c r="H118" i="17"/>
  <c r="H119" i="17"/>
  <c r="H120" i="17"/>
  <c r="H128" i="17"/>
  <c r="E121" i="17"/>
  <c r="E116" i="17"/>
  <c r="E117" i="17"/>
  <c r="E118" i="17"/>
  <c r="E119" i="17"/>
  <c r="E120" i="17"/>
  <c r="E128" i="17"/>
  <c r="D121" i="17"/>
  <c r="C121" i="17"/>
  <c r="O120" i="17"/>
  <c r="O122" i="17"/>
  <c r="K120" i="17"/>
  <c r="I120" i="17"/>
  <c r="D120" i="17"/>
  <c r="C120" i="17"/>
  <c r="K119" i="17"/>
  <c r="I119" i="17"/>
  <c r="D119" i="17"/>
  <c r="C119" i="17"/>
  <c r="K118" i="17"/>
  <c r="I118" i="17"/>
  <c r="D118" i="17"/>
  <c r="C118" i="17"/>
  <c r="K117" i="17"/>
  <c r="I117" i="17"/>
  <c r="D117" i="17"/>
  <c r="C117" i="17"/>
  <c r="K116" i="17"/>
  <c r="I116" i="17"/>
  <c r="I128" i="17"/>
  <c r="D116" i="17"/>
  <c r="D128" i="17"/>
  <c r="C116" i="17"/>
  <c r="P114" i="17"/>
  <c r="P113" i="17"/>
  <c r="P115" i="17"/>
  <c r="O114" i="17"/>
  <c r="N114" i="17"/>
  <c r="N113" i="17"/>
  <c r="N115" i="17"/>
  <c r="O113" i="17"/>
  <c r="O115" i="17"/>
  <c r="C113" i="17"/>
  <c r="Q109" i="17"/>
  <c r="P109" i="17"/>
  <c r="O109" i="17"/>
  <c r="R109" i="17"/>
  <c r="N109" i="17"/>
  <c r="N108" i="17"/>
  <c r="N110" i="17"/>
  <c r="J109" i="17"/>
  <c r="I109" i="17"/>
  <c r="I108" i="17"/>
  <c r="I110" i="17"/>
  <c r="H109" i="17"/>
  <c r="F109" i="17"/>
  <c r="F108" i="17"/>
  <c r="F110" i="17"/>
  <c r="D109" i="17"/>
  <c r="Q108" i="17"/>
  <c r="P108" i="17"/>
  <c r="O108" i="17"/>
  <c r="R108" i="17"/>
  <c r="J108" i="17"/>
  <c r="J110" i="17"/>
  <c r="H108" i="17"/>
  <c r="H110" i="17"/>
  <c r="D108" i="17"/>
  <c r="D110" i="17"/>
  <c r="R103" i="17"/>
  <c r="Q103" i="17"/>
  <c r="R102" i="17"/>
  <c r="Q102" i="17"/>
  <c r="R101" i="17"/>
  <c r="Q101" i="17"/>
  <c r="R100" i="17"/>
  <c r="Q100" i="17"/>
  <c r="R99" i="17"/>
  <c r="Q99" i="17"/>
  <c r="R98" i="17"/>
  <c r="Q98" i="17"/>
  <c r="R97" i="17"/>
  <c r="Q97" i="17"/>
  <c r="R96" i="17"/>
  <c r="Q96" i="17"/>
  <c r="R95" i="17"/>
  <c r="Q95" i="17"/>
  <c r="R94" i="17"/>
  <c r="Q94" i="17"/>
  <c r="R93" i="17"/>
  <c r="Q93" i="17"/>
  <c r="R92" i="17"/>
  <c r="Q92" i="17"/>
  <c r="R91" i="17"/>
  <c r="Q91" i="17"/>
  <c r="R90" i="17"/>
  <c r="Q90" i="17"/>
  <c r="R89" i="17"/>
  <c r="Q89" i="17"/>
  <c r="R88" i="17"/>
  <c r="Q88" i="17"/>
  <c r="R87" i="17"/>
  <c r="Q87" i="17"/>
  <c r="R86" i="17"/>
  <c r="Q86" i="17"/>
  <c r="R85" i="17"/>
  <c r="Q85" i="17"/>
  <c r="R84" i="17"/>
  <c r="Q84" i="17"/>
  <c r="R83" i="17"/>
  <c r="Q83" i="17"/>
  <c r="R82" i="17"/>
  <c r="Q82" i="17"/>
  <c r="R81" i="17"/>
  <c r="Q81" i="17"/>
  <c r="R80" i="17"/>
  <c r="Q80" i="17"/>
  <c r="R79" i="17"/>
  <c r="Q79" i="17"/>
  <c r="R78" i="17"/>
  <c r="Q78" i="17"/>
  <c r="R77" i="17"/>
  <c r="Q77" i="17"/>
  <c r="R76" i="17"/>
  <c r="Q76" i="17"/>
  <c r="R75" i="17"/>
  <c r="Q75" i="17"/>
  <c r="R74" i="17"/>
  <c r="Q74" i="17"/>
  <c r="R73" i="17"/>
  <c r="Q73" i="17"/>
  <c r="R72" i="17"/>
  <c r="Q72" i="17"/>
  <c r="R71" i="17"/>
  <c r="Q71" i="17"/>
  <c r="R70" i="17"/>
  <c r="Q70" i="17"/>
  <c r="R69" i="17"/>
  <c r="Q69" i="17"/>
  <c r="R68" i="17"/>
  <c r="Q68" i="17"/>
  <c r="R67" i="17"/>
  <c r="Q67" i="17"/>
  <c r="R66" i="17"/>
  <c r="Q66" i="17"/>
  <c r="R65" i="17"/>
  <c r="Q65" i="17"/>
  <c r="R64" i="17"/>
  <c r="Q64" i="17"/>
  <c r="R63" i="17"/>
  <c r="Q63" i="17"/>
  <c r="R62" i="17"/>
  <c r="Q62" i="17"/>
  <c r="R61" i="17"/>
  <c r="Q61" i="17"/>
  <c r="R60" i="17"/>
  <c r="Q60" i="17"/>
  <c r="R59" i="17"/>
  <c r="Q59" i="17"/>
  <c r="R58" i="17"/>
  <c r="Q58" i="17"/>
  <c r="R57" i="17"/>
  <c r="Q57" i="17"/>
  <c r="R56" i="17"/>
  <c r="Q56" i="17"/>
  <c r="R55" i="17"/>
  <c r="Q55" i="17"/>
  <c r="R54" i="17"/>
  <c r="Q54" i="17"/>
  <c r="R53" i="17"/>
  <c r="Q53" i="17"/>
  <c r="R52" i="17"/>
  <c r="Q52" i="17"/>
  <c r="R51" i="17"/>
  <c r="Q51" i="17"/>
  <c r="R50" i="17"/>
  <c r="Q50" i="17"/>
  <c r="R49" i="17"/>
  <c r="Q49" i="17"/>
  <c r="R48" i="17"/>
  <c r="Q48" i="17"/>
  <c r="R47" i="17"/>
  <c r="Q47" i="17"/>
  <c r="R46" i="17"/>
  <c r="Q46" i="17"/>
  <c r="R45" i="17"/>
  <c r="Q45" i="17"/>
  <c r="R44" i="17"/>
  <c r="Q44" i="17"/>
  <c r="R43" i="17"/>
  <c r="Q43" i="17"/>
  <c r="R42" i="17"/>
  <c r="Q42" i="17"/>
  <c r="R41" i="17"/>
  <c r="Q41" i="17"/>
  <c r="R40" i="17"/>
  <c r="Q40" i="17"/>
  <c r="R39" i="17"/>
  <c r="Q39" i="17"/>
  <c r="R38" i="17"/>
  <c r="Q38" i="17"/>
  <c r="R37" i="17"/>
  <c r="Q37" i="17"/>
  <c r="R36" i="17"/>
  <c r="Q36" i="17"/>
  <c r="R35" i="17"/>
  <c r="Q35" i="17"/>
  <c r="R34" i="17"/>
  <c r="Q34" i="17"/>
  <c r="R33" i="17"/>
  <c r="Q33" i="17"/>
  <c r="R32" i="17"/>
  <c r="Q32" i="17"/>
  <c r="R31" i="17"/>
  <c r="Q31" i="17"/>
  <c r="R30" i="17"/>
  <c r="Q30" i="17"/>
  <c r="R29" i="17"/>
  <c r="Q29" i="17"/>
  <c r="R28" i="17"/>
  <c r="Q28" i="17"/>
  <c r="R27" i="17"/>
  <c r="Q27" i="17"/>
  <c r="R26" i="17"/>
  <c r="Q26" i="17"/>
  <c r="R25" i="17"/>
  <c r="Q25" i="17"/>
  <c r="R24" i="17"/>
  <c r="Q24" i="17"/>
  <c r="R23" i="17"/>
  <c r="Q23" i="17"/>
  <c r="R22" i="17"/>
  <c r="Q22" i="17"/>
  <c r="R21" i="17"/>
  <c r="Q21" i="17"/>
  <c r="R20" i="17"/>
  <c r="Q20" i="17"/>
  <c r="R19" i="17"/>
  <c r="Q19" i="17"/>
  <c r="R18" i="17"/>
  <c r="Q18" i="17"/>
  <c r="R17" i="17"/>
  <c r="Q17" i="17"/>
  <c r="R16" i="17"/>
  <c r="Q16" i="17"/>
  <c r="R15" i="17"/>
  <c r="Q15" i="17"/>
  <c r="R14" i="17"/>
  <c r="Q14" i="17"/>
  <c r="R13" i="17"/>
  <c r="Q13" i="17"/>
  <c r="R12" i="17"/>
  <c r="Q12" i="17"/>
  <c r="R11" i="17"/>
  <c r="Q11" i="17"/>
  <c r="R10" i="17"/>
  <c r="Q10" i="17"/>
  <c r="R9" i="17"/>
  <c r="Q9" i="17"/>
  <c r="R8" i="17"/>
  <c r="Q8" i="17"/>
  <c r="R7" i="17"/>
  <c r="Q7" i="17"/>
  <c r="R6" i="17"/>
  <c r="Q6" i="17"/>
  <c r="R5" i="17"/>
  <c r="Q5" i="17"/>
  <c r="R4" i="17"/>
  <c r="Q4" i="17"/>
  <c r="C145" i="17"/>
  <c r="F135" i="17"/>
  <c r="I145" i="17"/>
  <c r="C128" i="17"/>
  <c r="E145" i="17"/>
  <c r="F141" i="17"/>
  <c r="F140" i="17"/>
  <c r="F139" i="17"/>
  <c r="H326" i="18"/>
  <c r="F129" i="17"/>
  <c r="F143" i="17"/>
  <c r="F144" i="17"/>
  <c r="F142" i="17"/>
  <c r="F137" i="17"/>
  <c r="J145" i="17"/>
  <c r="K138" i="17"/>
  <c r="K140" i="17"/>
  <c r="K142" i="17"/>
  <c r="H111" i="17"/>
  <c r="F133" i="17"/>
  <c r="F134" i="17"/>
  <c r="F136" i="17"/>
  <c r="F138" i="17"/>
  <c r="F145" i="17"/>
  <c r="K128" i="17"/>
  <c r="N123" i="17"/>
  <c r="K134" i="17"/>
  <c r="R110" i="17"/>
  <c r="N116" i="17"/>
  <c r="K133" i="17"/>
  <c r="K144" i="17"/>
  <c r="K136" i="17"/>
  <c r="K135" i="17"/>
  <c r="K137" i="17"/>
  <c r="K139" i="17"/>
  <c r="K141" i="17"/>
  <c r="K143" i="17"/>
  <c r="I325" i="18"/>
  <c r="I313" i="18"/>
  <c r="I323" i="18"/>
  <c r="I316" i="18"/>
  <c r="I318" i="18"/>
  <c r="O326" i="18"/>
  <c r="I321" i="18"/>
  <c r="J340" i="18"/>
  <c r="P326" i="18"/>
  <c r="C326" i="18"/>
  <c r="D326" i="18"/>
  <c r="I315" i="18"/>
  <c r="I317" i="18"/>
  <c r="I319" i="18"/>
  <c r="I322" i="18"/>
  <c r="I324" i="18"/>
  <c r="I320" i="18"/>
  <c r="G346" i="18"/>
  <c r="N326" i="18"/>
  <c r="E326" i="18"/>
  <c r="F326" i="18"/>
  <c r="M308" i="18"/>
  <c r="L326" i="18"/>
  <c r="Q326" i="18"/>
  <c r="K326" i="18"/>
  <c r="M326" i="18"/>
  <c r="F346" i="18"/>
  <c r="K145" i="17"/>
  <c r="L346" i="18"/>
  <c r="I326" i="18"/>
  <c r="D308" i="18"/>
  <c r="G327" i="18"/>
  <c r="E346" i="18"/>
  <c r="K327" i="18"/>
  <c r="K346" i="18"/>
  <c r="D346" i="18"/>
  <c r="K309" i="18"/>
  <c r="J346" i="18"/>
  <c r="G347" i="18"/>
</calcChain>
</file>

<file path=xl/comments1.xml><?xml version="1.0" encoding="utf-8"?>
<comments xmlns="http://schemas.openxmlformats.org/spreadsheetml/2006/main">
  <authors>
    <author>MARIA HELENA PEDRAZA</author>
    <author>CXHormaza</author>
  </authors>
  <commentList>
    <comment ref="J3" authorId="0">
      <text>
        <r>
          <rPr>
            <b/>
            <sz val="9"/>
            <color indexed="81"/>
            <rFont val="Tahoma"/>
            <family val="2"/>
          </rPr>
          <t>Control Interno:</t>
        </r>
        <r>
          <rPr>
            <sz val="9"/>
            <color indexed="81"/>
            <rFont val="Tahoma"/>
            <family val="2"/>
          </rPr>
          <t xml:space="preserve">
Puede Combinarse, igual que la columna L, Presenta Plan de Mejoramiento</t>
        </r>
      </text>
    </comment>
    <comment ref="M36" authorId="0">
      <text>
        <r>
          <rPr>
            <b/>
            <sz val="9"/>
            <color indexed="81"/>
            <rFont val="Tahoma"/>
            <family val="2"/>
          </rPr>
          <t>MARIA HELENA PEDRAZA:</t>
        </r>
        <r>
          <rPr>
            <sz val="9"/>
            <color indexed="81"/>
            <rFont val="Tahoma"/>
            <family val="2"/>
          </rPr>
          <t xml:space="preserve">
Hoy 30 Marzo 2015:
Se modifica fecha de presentación de plan de mejoramiento, posterior a la fecha del informe. Se reportaba 13/06/2012.  se modifica fecha a 13/sep/2012</t>
        </r>
      </text>
    </comment>
    <comment ref="Q134" authorId="1">
      <text>
        <r>
          <rPr>
            <b/>
            <sz val="9"/>
            <color indexed="81"/>
            <rFont val="Tahoma"/>
            <family val="2"/>
          </rPr>
          <t>CXHormaza:</t>
        </r>
        <r>
          <rPr>
            <sz val="9"/>
            <color indexed="81"/>
            <rFont val="Tahoma"/>
            <family val="2"/>
          </rPr>
          <t xml:space="preserve">
Se ajusta fecha cambiando la inicial del 31 de marzo 2016.</t>
        </r>
      </text>
    </comment>
    <comment ref="Q135" authorId="1">
      <text>
        <r>
          <rPr>
            <b/>
            <sz val="9"/>
            <color indexed="81"/>
            <rFont val="Tahoma"/>
            <family val="2"/>
          </rPr>
          <t>CXHormaza:</t>
        </r>
        <r>
          <rPr>
            <sz val="9"/>
            <color indexed="81"/>
            <rFont val="Tahoma"/>
            <family val="2"/>
          </rPr>
          <t xml:space="preserve">
Se ajusta fecha cambiando la inicial del 31 de marzo 2016.</t>
        </r>
      </text>
    </comment>
    <comment ref="Q136" authorId="0">
      <text>
        <r>
          <rPr>
            <b/>
            <sz val="9"/>
            <color indexed="81"/>
            <rFont val="Tahoma"/>
            <family val="2"/>
          </rPr>
          <t>MARIA HELENA PEDRAZA:</t>
        </r>
        <r>
          <rPr>
            <sz val="9"/>
            <color indexed="81"/>
            <rFont val="Tahoma"/>
            <family val="2"/>
          </rPr>
          <t xml:space="preserve">
Se ajusta fecha cambiando la inicial del 31 de marzo 2016.</t>
        </r>
      </text>
    </comment>
    <comment ref="Q137" authorId="0">
      <text>
        <r>
          <rPr>
            <b/>
            <sz val="9"/>
            <color indexed="81"/>
            <rFont val="Tahoma"/>
            <family val="2"/>
          </rPr>
          <t>MARIA HELENA PEDRAZA:</t>
        </r>
        <r>
          <rPr>
            <sz val="9"/>
            <color indexed="81"/>
            <rFont val="Tahoma"/>
            <family val="2"/>
          </rPr>
          <t xml:space="preserve">
Se ajusta fecha cambiando la inicial del 31 de marzo 2016.</t>
        </r>
      </text>
    </comment>
    <comment ref="P138" authorId="0">
      <text>
        <r>
          <rPr>
            <b/>
            <sz val="9"/>
            <color indexed="81"/>
            <rFont val="Tahoma"/>
            <family val="2"/>
          </rPr>
          <t>MARIA HELENA PEDRAZA:</t>
        </r>
        <r>
          <rPr>
            <sz val="9"/>
            <color indexed="81"/>
            <rFont val="Tahoma"/>
            <family val="2"/>
          </rPr>
          <t xml:space="preserve">
Se ajusto numeración de la acción cambiando de 4 a 5</t>
        </r>
      </text>
    </comment>
    <comment ref="P139" authorId="0">
      <text>
        <r>
          <rPr>
            <b/>
            <sz val="9"/>
            <color indexed="81"/>
            <rFont val="Tahoma"/>
            <family val="2"/>
          </rPr>
          <t>MARIA HELENA PEDRAZA:</t>
        </r>
        <r>
          <rPr>
            <sz val="9"/>
            <color indexed="81"/>
            <rFont val="Tahoma"/>
            <family val="2"/>
          </rPr>
          <t xml:space="preserve">
Se ajusto la numeración de la acción de 5 a 6</t>
        </r>
      </text>
    </comment>
    <comment ref="Q239" authorId="0">
      <text>
        <r>
          <rPr>
            <b/>
            <sz val="9"/>
            <color indexed="81"/>
            <rFont val="Tahoma"/>
            <family val="2"/>
          </rPr>
          <t>MARIA HELENA PEDRAZA:</t>
        </r>
        <r>
          <rPr>
            <sz val="9"/>
            <color indexed="81"/>
            <rFont val="Tahoma"/>
            <family val="2"/>
          </rPr>
          <t xml:space="preserve">
Se modificó fecha al 16May2016 el 22 de marzo</t>
        </r>
      </text>
    </comment>
    <comment ref="Q240" authorId="0">
      <text>
        <r>
          <rPr>
            <b/>
            <sz val="9"/>
            <color indexed="81"/>
            <rFont val="Tahoma"/>
            <family val="2"/>
          </rPr>
          <t>MARIA HELENA PEDRAZA:</t>
        </r>
        <r>
          <rPr>
            <sz val="9"/>
            <color indexed="81"/>
            <rFont val="Tahoma"/>
            <family val="2"/>
          </rPr>
          <t xml:space="preserve">
Se modificó fecha del 30 dic2015 y se modifica para el  15 de Julio de 2016, luego de realizada la anterior actividad)</t>
        </r>
      </text>
    </comment>
    <comment ref="Q245" authorId="0">
      <text>
        <r>
          <rPr>
            <b/>
            <sz val="9"/>
            <color indexed="81"/>
            <rFont val="Tahoma"/>
            <family val="2"/>
          </rPr>
          <t>MARÍA HELENA PEDRAZA:</t>
        </r>
        <r>
          <rPr>
            <sz val="9"/>
            <color indexed="81"/>
            <rFont val="Tahoma"/>
            <family val="2"/>
          </rPr>
          <t xml:space="preserve">
Se amplia fecha al 30may2016</t>
        </r>
      </text>
    </comment>
    <comment ref="Q246" authorId="0">
      <text>
        <r>
          <rPr>
            <b/>
            <sz val="9"/>
            <color indexed="81"/>
            <rFont val="Tahoma"/>
            <family val="2"/>
          </rPr>
          <t>MARIA HELENA PEDRAZA:</t>
        </r>
        <r>
          <rPr>
            <sz val="9"/>
            <color indexed="81"/>
            <rFont val="Tahoma"/>
            <family val="2"/>
          </rPr>
          <t xml:space="preserve">
Se amplia fecha al 30may2016</t>
        </r>
      </text>
    </comment>
  </commentList>
</comments>
</file>

<file path=xl/comments2.xml><?xml version="1.0" encoding="utf-8"?>
<comments xmlns="http://schemas.openxmlformats.org/spreadsheetml/2006/main">
  <authors>
    <author>Gloria Marcela Luna Riaño</author>
  </authors>
  <commentList>
    <comment ref="H4" authorId="0">
      <text>
        <r>
          <rPr>
            <b/>
            <sz val="9"/>
            <color indexed="81"/>
            <rFont val="Tahoma"/>
            <family val="2"/>
          </rPr>
          <t>Gloria Marcela Luna Riaño:</t>
        </r>
        <r>
          <rPr>
            <sz val="9"/>
            <color indexed="81"/>
            <rFont val="Tahoma"/>
            <family val="2"/>
          </rPr>
          <t xml:space="preserve">
Oportunidad de mejora</t>
        </r>
      </text>
    </comment>
  </commentList>
</comments>
</file>

<file path=xl/comments3.xml><?xml version="1.0" encoding="utf-8"?>
<comments xmlns="http://schemas.openxmlformats.org/spreadsheetml/2006/main">
  <authors>
    <author>Tania Elena Esteban Ariza</author>
    <author>Administrador</author>
    <author>MARIA HELENA PEDRAZA</author>
  </authors>
  <commentList>
    <comment ref="B17" authorId="0">
      <text>
        <r>
          <rPr>
            <b/>
            <sz val="9"/>
            <color rgb="FF000000"/>
            <rFont val="Tahoma"/>
            <family val="2"/>
          </rPr>
          <t>Tania Elena Esteban Ariza:</t>
        </r>
        <r>
          <rPr>
            <sz val="9"/>
            <color rgb="FF000000"/>
            <rFont val="Tahoma"/>
            <family val="2"/>
          </rPr>
          <t xml:space="preserve">
Anteriormente se llamaba Acta de Inicio Contrato de Obra</t>
        </r>
      </text>
    </comment>
    <comment ref="B29" authorId="1">
      <text>
        <r>
          <rPr>
            <sz val="8"/>
            <color rgb="FF000000"/>
            <rFont val="Tahoma"/>
            <family val="2"/>
          </rPr>
          <t>Antes se llamaba 
FORMATO MOVILIZACIÓN DE RECURSOS A ENTIDAD BANCARIA</t>
        </r>
      </text>
    </comment>
    <comment ref="B31" authorId="1">
      <text>
        <r>
          <rPr>
            <b/>
            <sz val="8"/>
            <color rgb="FF000000"/>
            <rFont val="Tahoma"/>
            <family val="2"/>
          </rPr>
          <t xml:space="preserve"> ANTES SE LLAMABA FORMATO SOLICITUD DE DESEMBOLSO SDHT</t>
        </r>
      </text>
    </comment>
    <comment ref="B42" authorId="0">
      <text>
        <r>
          <rPr>
            <b/>
            <sz val="9"/>
            <color rgb="FF000000"/>
            <rFont val="Tahoma"/>
            <family val="2"/>
          </rPr>
          <t>Tania Elena Esteban Ariza:</t>
        </r>
        <r>
          <rPr>
            <sz val="9"/>
            <color rgb="FF000000"/>
            <rFont val="Tahoma"/>
            <family val="2"/>
          </rPr>
          <t xml:space="preserve">
Versión 4: nombre era "Plan de Trabajo de Obra"</t>
        </r>
      </text>
    </comment>
    <comment ref="K51" authorId="2">
      <text>
        <r>
          <rPr>
            <b/>
            <sz val="9"/>
            <color indexed="81"/>
            <rFont val="Tahoma"/>
            <family val="2"/>
          </rPr>
          <t>MARIA HELENA PEDRAZA:</t>
        </r>
        <r>
          <rPr>
            <sz val="9"/>
            <color indexed="81"/>
            <rFont val="Tahoma"/>
            <family val="2"/>
          </rPr>
          <t xml:space="preserve">
Porque están dos?</t>
        </r>
      </text>
    </comment>
    <comment ref="J54" authorId="2">
      <text>
        <r>
          <rPr>
            <b/>
            <sz val="9"/>
            <color indexed="81"/>
            <rFont val="Tahoma"/>
            <family val="2"/>
          </rPr>
          <t>MARIA HELENA PEDRAZA:</t>
        </r>
        <r>
          <rPr>
            <sz val="9"/>
            <color indexed="81"/>
            <rFont val="Tahoma"/>
            <family val="2"/>
          </rPr>
          <t xml:space="preserve">
</t>
        </r>
      </text>
    </comment>
    <comment ref="K54" authorId="2">
      <text>
        <r>
          <rPr>
            <b/>
            <sz val="9"/>
            <color indexed="81"/>
            <rFont val="Tahoma"/>
            <family val="2"/>
          </rPr>
          <t>MARIA HELENA PEDRAZA:</t>
        </r>
        <r>
          <rPr>
            <sz val="9"/>
            <color indexed="81"/>
            <rFont val="Tahoma"/>
            <family val="2"/>
          </rPr>
          <t xml:space="preserve">
No deben conservar la misma fecha si es versión 2</t>
        </r>
      </text>
    </comment>
    <comment ref="B69" authorId="0">
      <text>
        <r>
          <rPr>
            <b/>
            <sz val="9"/>
            <color rgb="FF000000"/>
            <rFont val="Tahoma"/>
            <family val="2"/>
          </rPr>
          <t>Tania Elena Esteban Ariza:</t>
        </r>
        <r>
          <rPr>
            <sz val="9"/>
            <color rgb="FF000000"/>
            <rFont val="Tahoma"/>
            <family val="2"/>
          </rPr>
          <t xml:space="preserve">
ANTES FORMATO CONCEPTO VIABILIDAD SIG – CATASTRAL-RURAL</t>
        </r>
      </text>
    </comment>
    <comment ref="B93" authorId="0">
      <text>
        <r>
          <rPr>
            <b/>
            <sz val="9"/>
            <color rgb="FF000000"/>
            <rFont val="Tahoma"/>
            <family val="2"/>
          </rPr>
          <t>Tania Elena Esteban Ariza:</t>
        </r>
        <r>
          <rPr>
            <sz val="9"/>
            <color rgb="FF000000"/>
            <rFont val="Tahoma"/>
            <family val="2"/>
          </rPr>
          <t xml:space="preserve">
Versión 1: nombre era ACTA DE PRÓRROGA DEL CONTRATO</t>
        </r>
      </text>
    </comment>
  </commentList>
</comments>
</file>

<file path=xl/sharedStrings.xml><?xml version="1.0" encoding="utf-8"?>
<sst xmlns="http://schemas.openxmlformats.org/spreadsheetml/2006/main" count="4661" uniqueCount="1192">
  <si>
    <t>Proceso</t>
  </si>
  <si>
    <t>Tema</t>
  </si>
  <si>
    <t>Reasentamientos Humanos</t>
  </si>
  <si>
    <t>Plan de Mejoramiento</t>
  </si>
  <si>
    <t>Fecha de Informe</t>
  </si>
  <si>
    <t>No se tienen documentados los incidentes en SIPROJWEB y las acciones de prevención del daño antijurídico.</t>
  </si>
  <si>
    <t>El registro y actualización de los procesos en SIPROJWEB carecen de supervisión.</t>
  </si>
  <si>
    <t>PIGA / PIRE</t>
  </si>
  <si>
    <t>Las carpetas del contratos 431 de 2009 se encuentra en desorden cronológico, faltan documentos soportes, además los folios 245, 246, 250, 285, 286,287 son documentos en papel químico y en las carpetas del contrato se encontró desorden de los documentos que lo componen, documentos que no corresponden al contrato como son: 1. Soportes del contrato de obra 452 de 2009 Jorge Armando Vinasco Muñoz, en 122 folios, 2. Contrato de consultoría 445 de Organización Garzón y Asociados en 95 folios, 3. Nuevamente contrato de obra 452 de 2009 Jorge Armando Vinasco Muñoz, en 88 folios; 4.Copia de la Orden de Pago 12646 de Industrial Show Producción Ltda. 1 folio  5. Copia de la orden de pago 12643 y soportes  de WBA Telecomunications contrat0 457 de 2009, en 5 folios. 6. Convenio 064 de 2009 Servicio Nacional de Aprendizaje SENA, copia certificación de recibo soportes de contratos en un folio</t>
  </si>
  <si>
    <t>PROCESO</t>
  </si>
  <si>
    <t>Comunicaciones</t>
  </si>
  <si>
    <t>Los arrendadores y arrendatarios manifiestan que dentro del pago mensual de arrendamiento, que es inferior al pactado  se incluye el valor de los servicios públicos.</t>
  </si>
  <si>
    <t xml:space="preserve">INHABILIDADES PARA CONTRATAR
El contrato 042 de 2013 fue suscrito con el cónyuge de la Ex Directora Jurídica de la Caja de la Vivienda Popular Dra. Pilar Alvinzy Velásquez Fandiño, sin haber transcurrido los dos años ordenados en el artículo 4 de la Ley 1474 de 2011 Estatuto Anticorrupción.
</t>
  </si>
  <si>
    <t>TEMA</t>
  </si>
  <si>
    <t>PIGA 2012: 3. Contratar la recolección y tratamiento de RAEES.</t>
  </si>
  <si>
    <t>Faltan de documentos soporte en algunas carpetas.</t>
  </si>
  <si>
    <t xml:space="preserve">Determinar el cumplimiento del procedimiento establecido en la Entidad para la vinculación, permanencia y retiro </t>
  </si>
  <si>
    <t>Fecha Recibo del Plan de Mejoramiento</t>
  </si>
  <si>
    <t>Fecha Recibo seguimiento del Plan de Mejoramiento</t>
  </si>
  <si>
    <t>No se encuentra registro documental que evidencie el cumplimiento del procedimiento 208-PLA-Pr-10 programa de criterios ambientales para las compras y la gestión contractual.</t>
  </si>
  <si>
    <t>No se han definido indicadores de gestión PIGA y PIRE en la entidad.</t>
  </si>
  <si>
    <t>Se observó que no se está dando cumplimiento al cronograma y las actividades establecidas en el Plan Institucional - PIGA</t>
  </si>
  <si>
    <t>No se evidencio la existencia del Plan de Acción PIRE vigencia 2012-2013</t>
  </si>
  <si>
    <t>Se evidenció que no se está dando cumplimiento a las actividades establecidas en el Plan Institucional de Respuesta a Emergencias de la CVP 208-PLA_Mn-05</t>
  </si>
  <si>
    <t>El porcentaje de avance en cumplimiento de metas no es acorde a la programación y a los tiempos en el Plan de Desarrollo “Bogotá Humana”.</t>
  </si>
  <si>
    <t>Mejoramiento de Vivienda</t>
  </si>
  <si>
    <t>Verificar el estado de los procesos de urbanización a cargo del Proyecto de Inversión y su debido registro documental.</t>
  </si>
  <si>
    <t>Se evidencia distribución inequitativa de procesos entre los abogados a cargo de la representación judicial de la Entidad.</t>
  </si>
  <si>
    <t>Al consultar los procesos registrados en SIPROJ se evidencia que algunos abogados no anexan los documentos PDF que soportan la gestión adelantada, generando un riesgo de pérdida de información pues los abogados no tienen vínculo permanente con la entidad.</t>
  </si>
  <si>
    <t>Existen 5 procesos a cargo de abogados que no tienen vínculo vigente con la Caja de la Vivienda Popular, 2 procesos que no han sido asignados a un abogado para la representación judicial.
Ver 2005-00476, 2010-00036, 1995-01418, 2013-01235, 19310797, 2013-01152, 2013-01546.</t>
  </si>
  <si>
    <t>Existen 3 conciliaciones extrajudiciales que no reportan abogado en representación de la entidad y al consultar el histórico no se presenta información sobre la gestión adelantada. Así mismo existe 1 proceso de reparación directa y 1 acción de tutela cuyos abogados a cargo reportaron la terminación del proceso para la entidad sin anexar soporte de dicho hecho y el proceso aún se encuentra activo.
Ver procesos 2008-00132, 2012-00140, 1-2011-11123, 1-2013-26409 y 1-2013-40151</t>
  </si>
  <si>
    <t>Realizar de manera objetiva la evaluación de las actividades, operaciones y resultados en el proceso Prevención del Daño Antijurídico y Representación Judicial.</t>
  </si>
  <si>
    <t>No conformidad</t>
  </si>
  <si>
    <t>Seguimiento (indicar fecha de seguimiento)</t>
  </si>
  <si>
    <t>Acciones</t>
  </si>
  <si>
    <t>Estado</t>
  </si>
  <si>
    <t xml:space="preserve">Prevención del Daño antijurídico y Representación Judicial </t>
  </si>
  <si>
    <t>Urbanizaciones y Titulación</t>
  </si>
  <si>
    <t>Mejoramiento de Barrios</t>
  </si>
  <si>
    <t>Plan de Contratación</t>
  </si>
  <si>
    <t xml:space="preserve">Se evidencia que no se utiliza el aplicativo SI CAPITAL en el módulo SISCO,  incumpliendo el  literal  C. MANEJO PLAN DE CONTRATACIÓN </t>
  </si>
  <si>
    <t>No se tiene formulado un plan de mejoramiento producto del análisis de quejas de clientes (internos), resultado de análisis de datos, autoevaluación o gestión del riesgo para el proceso auditado.</t>
  </si>
  <si>
    <t xml:space="preserve">Se recomienda que al finalizar el proceso del manejo de incentivos para la cartera hipotecaria, se realice análisis individualizado de la situación y respaldo de cada tercero para generar las provisiones correspondientes. </t>
  </si>
  <si>
    <t>No se tiene formulado un plan de mejoramiento producto de la autoevaluación para el procedimiento auditado.</t>
  </si>
  <si>
    <t>Tipo Auditoria</t>
  </si>
  <si>
    <t>Auditoria</t>
  </si>
  <si>
    <t>Especial</t>
  </si>
  <si>
    <t>Tipo Hallazgo</t>
  </si>
  <si>
    <t>Establecer que el proceso de las familias objeto de revisión se encuentran bajo la normatividad correspondiente al decreto 511 de 2010</t>
  </si>
  <si>
    <t>En el estudio de documentos se deberá analizar toda esta información anterior.</t>
  </si>
  <si>
    <t>Informes</t>
  </si>
  <si>
    <t>Tipo Acción</t>
  </si>
  <si>
    <t>Auditores</t>
  </si>
  <si>
    <t>Gestión Estratégica</t>
  </si>
  <si>
    <t>Acción Correctiva</t>
  </si>
  <si>
    <t>Abierta</t>
  </si>
  <si>
    <t>Asesor Control Interno</t>
  </si>
  <si>
    <t>Recomendación</t>
  </si>
  <si>
    <t>Acción Preventiva</t>
  </si>
  <si>
    <t>Cerrada</t>
  </si>
  <si>
    <t>Ana Sofía Estupiñan</t>
  </si>
  <si>
    <t>Acción de Mejora</t>
  </si>
  <si>
    <t>Gloria Marcela Luna</t>
  </si>
  <si>
    <t>María Helena Pedraza</t>
  </si>
  <si>
    <t>José E. Orjuela</t>
  </si>
  <si>
    <t xml:space="preserve">Gestión Humana </t>
  </si>
  <si>
    <t xml:space="preserve">Administración y Control de Recursos </t>
  </si>
  <si>
    <t xml:space="preserve">Administración de la Información </t>
  </si>
  <si>
    <t xml:space="preserve">Adquisición de bienes y servicios </t>
  </si>
  <si>
    <t xml:space="preserve">Evaluación de la Gestión </t>
  </si>
  <si>
    <t>VIGENCIA:</t>
  </si>
  <si>
    <t>AÑO</t>
  </si>
  <si>
    <t>Ítem</t>
  </si>
  <si>
    <t>Auditor Responsable</t>
  </si>
  <si>
    <r>
      <t xml:space="preserve">Fecha de Informe
</t>
    </r>
    <r>
      <rPr>
        <sz val="8"/>
        <color theme="1"/>
        <rFont val="Arial"/>
        <family val="2"/>
      </rPr>
      <t>dd/mmm/yyyy</t>
    </r>
  </si>
  <si>
    <t>Hallazgo
No Conformidad/Recomendaciones</t>
  </si>
  <si>
    <t>Presenta Plan de Mejoramiento</t>
  </si>
  <si>
    <r>
      <t xml:space="preserve">Fecha 
Plan de Mejoramiento
</t>
    </r>
    <r>
      <rPr>
        <sz val="8"/>
        <color theme="1"/>
        <rFont val="Arial"/>
        <family val="2"/>
      </rPr>
      <t>dd/mmm/yyyy</t>
    </r>
  </si>
  <si>
    <r>
      <t xml:space="preserve">Fecha de Cierre acción
</t>
    </r>
    <r>
      <rPr>
        <sz val="8"/>
        <color theme="1"/>
        <rFont val="Arial"/>
        <family val="2"/>
      </rPr>
      <t>dd/mmm/yyyy</t>
    </r>
  </si>
  <si>
    <t>Revisión de la Eficacia de las acciones</t>
  </si>
  <si>
    <t>Control fecha informe Vs plan de mejoramiento</t>
  </si>
  <si>
    <t>Control plan de mejoramiento Vs fecha cierre</t>
  </si>
  <si>
    <t>No Conformidad</t>
  </si>
  <si>
    <t>Si</t>
  </si>
  <si>
    <t>No</t>
  </si>
  <si>
    <t>Copie fila vacía e Inserte filas sobre esta!!</t>
  </si>
  <si>
    <t>RESUMEN</t>
  </si>
  <si>
    <t>Tipos de Hallazgo</t>
  </si>
  <si>
    <t>Hallazgos por tipo de auditoria</t>
  </si>
  <si>
    <t>Estado Total de Acciones propuestas</t>
  </si>
  <si>
    <t>Total</t>
  </si>
  <si>
    <t>Total Suma</t>
  </si>
  <si>
    <t>Gran Total</t>
  </si>
  <si>
    <t>Resumen consolidado por procesos</t>
  </si>
  <si>
    <t>Acciones Cerradas / tipo de auditoria</t>
  </si>
  <si>
    <t>Vigencia:</t>
  </si>
  <si>
    <t>Cerrada por No Conformidad</t>
  </si>
  <si>
    <t>Plan de Mejoramiento por Tipo Auditoria</t>
  </si>
  <si>
    <t>Total T. Aud</t>
  </si>
  <si>
    <t>Tipo de hallazgo</t>
  </si>
  <si>
    <t>Planes de Mejoramiento por procesos</t>
  </si>
  <si>
    <t>Cerrada por Recomendación</t>
  </si>
  <si>
    <t>Acciones Abiertas / tipo de auditoria</t>
  </si>
  <si>
    <t>Abierta por No Conformidad</t>
  </si>
  <si>
    <t>Abierta por Recomendación</t>
  </si>
  <si>
    <t>% Abiertas</t>
  </si>
  <si>
    <t>% Cerradas</t>
  </si>
  <si>
    <t>Responsable</t>
  </si>
  <si>
    <t xml:space="preserve">Manual Operativo y de Contratación Derivada FIDEICOMISO-FIDUBOGOTA S.A. V-1.   </t>
  </si>
  <si>
    <t>Corrección</t>
  </si>
  <si>
    <t>Comité Fiduciario</t>
  </si>
  <si>
    <t>se actualizara el manual operativo  respecto de las recomendaciones señaladas por la OCI.</t>
  </si>
  <si>
    <t>Se recomienda revisar los procesos de la Entidad y asignar este proceso en responsabilidad de Urbanizaciones y Titulación. Esto significa incluir el manual operativo, contable y de contratación derivada Versión 1 como documentos externo controlado y todos los formatos que allí se definan para su control. Se une a este punto la recomendación No. 7 y 8</t>
  </si>
  <si>
    <t>INCLUIR INDICADOR</t>
  </si>
  <si>
    <t>Alexander Villalobos</t>
  </si>
  <si>
    <t>Dirección de Urbanizaciones</t>
  </si>
  <si>
    <t>Procedimiento urbanizaciones</t>
  </si>
  <si>
    <t>Proyecto de ajuste de procesos y procedimientos</t>
  </si>
  <si>
    <t>Verificar que el proceso de Participación Ciudadana y Control Social en la Caja de Vivienda Popular, cuentan con los instrumentos contemplados por el Decreto Distrital 371 de 2010 "Por el cual se establecen lineamientos para preservar y fortalecer la transparencia y para prevención de la corrupción en las Entidades y Organismos del Distrito Capital".</t>
  </si>
  <si>
    <t>No fue posible evaluar el procedimiento correspondiente a "Programa de uso eficiente de energía procedimiento para la gestión energética". 208-PLA-Pr-12 dado que este no se está ejecutando, por lo tanto no hay registros ni documentos que den cuenta del desarrollo de las actividades asociadas al procedimiento.</t>
  </si>
  <si>
    <t>Dirección de gestión Corporativa, Subdirección administrativa
Oficina Asesora de Planeación</t>
  </si>
  <si>
    <t xml:space="preserve">Gestionar de manera ambientalmente segura la disposición final de  los Residuos de Aparatos Eléctricos y Electrónicos - RAEES restantes y no recuperables con una entidad que cuente con licencia ambiental para su disposición final.
</t>
  </si>
  <si>
    <t>Oficina Asesora de Planeación</t>
  </si>
  <si>
    <t xml:space="preserve">Oficina Asesora de Planeación </t>
  </si>
  <si>
    <t>Oficina Asesora de Planeación 
Subdirección administrativa</t>
  </si>
  <si>
    <t>1. Realizar la revisión y/o    ajuste del procedimiento con las partes involucradas.
2.  Socialización e Implementación del procedimiento en cada una de las dependencias de la CVP.</t>
  </si>
  <si>
    <t>Oficina Asesora de Planeación 
Dirección Jurídica</t>
  </si>
  <si>
    <t>Se debe reformular el procedimiento especificando  las actividades para hacer un uso eficiente de la energía en la CVP.</t>
  </si>
  <si>
    <t>Formular y/o ajustar el Plan de Acción incluyendo indicadores que den cuenta del cumplimiento del PIGA y PIRE.</t>
  </si>
  <si>
    <t>1. Identificar referentes o enlaces ambientales por dependencia.
2. Socializar el Plan Institucional de Gestión Ambiental PIGA a los directivos y enlaces de cada dependencia.</t>
  </si>
  <si>
    <t xml:space="preserve">Oficina Asesora de Planeación 
Jefes de dependencia </t>
  </si>
  <si>
    <t>Formular y/o ajustar el Plan de Acción de la entidad incluyendo indicadores que den cuenta del cumplimiento del PIRE.</t>
  </si>
  <si>
    <t>Oficina Asesora de Planeación 
Subdirección Administrativa</t>
  </si>
  <si>
    <t>1. Identificar referentes o enlaces  por dependencia.
2. Socializar el Plan Institucional de Respuesta a Emergencias PIRE a los directivos y enlaces de cada dependencia.</t>
  </si>
  <si>
    <t>Acción Mejora</t>
  </si>
  <si>
    <t>TOTAL</t>
  </si>
  <si>
    <t>Hallazgos por Tipo Auditoria</t>
  </si>
  <si>
    <t>RESUMEN HALLAZGOS</t>
  </si>
  <si>
    <t>RESUMEN DE ACCIONES</t>
  </si>
  <si>
    <t>Estado de acciones</t>
  </si>
  <si>
    <t>Estado del hallazgo</t>
  </si>
  <si>
    <t>Hallazgo Abierto</t>
  </si>
  <si>
    <t>Hallazgo Cerrado</t>
  </si>
  <si>
    <t>El manual de contratación se encuentra desactualizado en cuanto a la determinación de los honorarios para los contratos de prestación de servicios profesionales y de apoyo a la gestión, toda vez que no se ha ajustado el procedimiento teniendo en cuenta la Resolución 169 de 2012</t>
  </si>
  <si>
    <t>Dirección Jurídica</t>
  </si>
  <si>
    <t>Dirección Jurídica - Dirección Gestión Corporativa y CID y  Oficina Asesora de Planeación</t>
  </si>
  <si>
    <t>Dar traslado a las autoridades competentes de esta situación para que se adelanten las acciones a que haya lugar</t>
  </si>
  <si>
    <t>Dirección Jurídica y Oficina Asesora de Planeación</t>
  </si>
  <si>
    <t>Política del daño antijurídico</t>
  </si>
  <si>
    <t>Director de Reasentamientos</t>
  </si>
  <si>
    <t>Verificar la cesión del Contratos 431 y la ejecución
Verificar los contratos 413 – 418 – 469 y 470 de 2010, para determinar lo ordenado en el memorando 2012 IE2692 del 11 de julio, emanado de la Dirección General 
SE UNEN DOS AUDITORIAS POR SER HALLAZGO DEL MISMO TEMA</t>
  </si>
  <si>
    <t>Director Jurídica - Director de Mejoramiento de Barrios</t>
  </si>
  <si>
    <t>Director Jurídico</t>
  </si>
  <si>
    <t>Ajustar la obligación correspondiente a la responsabilidad de actualizar la información en el SIPROJ.</t>
  </si>
  <si>
    <t>Actualizar la información que se tiene en el SIPROJ, de conformidad con las actuaciones que se realizaron por cada apoderado y las que realizaran</t>
  </si>
  <si>
    <t>SIPROJWEB no se encuentra actualizado.
No se lleva a cabo el procedimiento de Representación judicial</t>
  </si>
  <si>
    <t>Dirección de Reasentamientos- Operativa</t>
  </si>
  <si>
    <t>Capacitar al personal operativo de la Dirección de Reasentamientos sobre el contenido del procedimiento ajustado.</t>
  </si>
  <si>
    <t>RESUMEN ACCIONES</t>
  </si>
  <si>
    <t>Documentar las acciones de mejoras de acuerdo a establecido por el Sistema de Gestión de Calidad</t>
  </si>
  <si>
    <t xml:space="preserve">Subdirectora Financiera, </t>
  </si>
  <si>
    <t>Subdirectora Financiera</t>
  </si>
  <si>
    <t>Se acepta recomendación, por lo cual se anota que se  debe plantear la acción una vez  se concluya el proceso de manejo de incentivos en el año 2015</t>
  </si>
  <si>
    <t xml:space="preserve">No se tiene integrado el sistema de información SI CAPITAL, aunque los módulos procesan la información solo están integrados, PREDIS, PAC Y OPGET, parcialmente del SAI, lo que genera la necesidad de digitar nuevamente la información producida por los otros módulos de PERNO, SAE y SISCO, incrementando el riesgo en los errores de digitación.
No se ha implementado totalmente la interacción entre los distintos módulos, en el manejo del sistema de información SI Capital. </t>
  </si>
  <si>
    <t>Directora de Gestión Corporativa y CID</t>
  </si>
  <si>
    <t>Subdirectora Administrativa</t>
  </si>
  <si>
    <t>Formalización de  política de administración de la información y su implementación , de su auditoria  y validación de los sistemas de información institucionales  lo cual ocasiona que la información no sea confiable, integra  y  disponible</t>
  </si>
  <si>
    <t xml:space="preserve">Definir la política de administración de la información 
</t>
  </si>
  <si>
    <t xml:space="preserve">Diseñar el proceso y el procedimiento de implementación de la política definida
</t>
  </si>
  <si>
    <t xml:space="preserve">Establecer los responsables y funciones para la administración de la información
</t>
  </si>
  <si>
    <t xml:space="preserve">Revisar e identificar del total (70 historias laborales) los documentos faltantes
</t>
  </si>
  <si>
    <t>Evaluación de Gestión por Dependencias</t>
  </si>
  <si>
    <t>Depurar la cuenta 2453
(Nota: Si capital y el plan de sostenibilidad se tiene cubiertas en otros hallazgos)</t>
  </si>
  <si>
    <t>Encuesta del Modelo de Control Interno del DAFP</t>
  </si>
  <si>
    <t>REVISIONES DE COHERENCIA DE LOS PLANES DE MEJORAMIENTO</t>
  </si>
  <si>
    <t>FECHA</t>
  </si>
  <si>
    <t>PERSONAL QUE PARTICIPO</t>
  </si>
  <si>
    <t>CONTROL INTERNO</t>
  </si>
  <si>
    <t>CONCLUSIONES</t>
  </si>
  <si>
    <t>HORA</t>
  </si>
  <si>
    <t>Los líderes o responsables de procesos no ejecutaron oportunamente la formulación, ejecución y avances de los planes de mejoramiento.</t>
  </si>
  <si>
    <t>Revisar y ajustar los procedimientos de 208-CI-Pr-01 Auditoria Interna y Visitas y 208-CI-Pr-05 Acciones correctivas y Preventivas, dando claridad el inicio y final de cada uno, adicionalmente incluir en el que corresponda: Ampliación del tiempo para la formulación de acciones.
Mesa de trabajo para discusión de los  informes de auditoria antes de ser radicados.</t>
  </si>
  <si>
    <t>Ente Certificador</t>
  </si>
  <si>
    <t xml:space="preserve">Todas las dependencias Misionales - Coordina Oficina Asesora de Planeación </t>
  </si>
  <si>
    <t xml:space="preserve">Incluir las metas intermedias que puedan evidenciar el cumplimiento de cada proyecto de inversión </t>
  </si>
  <si>
    <t>Los procesos, procedimientos no se encuentran actualizados a la realidad institucional, no existen indicadores ni riesgos asociados a procesos, algunos procedimientos no tienen puntos de control ni cargos responsables, la documentación del sistema de gestión en general,  esta desactualizada</t>
  </si>
  <si>
    <t xml:space="preserve">Ajuste Procesos y procedimientos-  Realizar reuniones para concretar el mapa de procesos de la entidad </t>
  </si>
  <si>
    <t xml:space="preserve">Ajuste Procesos y procedimientos - Caracterizar los procesos </t>
  </si>
  <si>
    <t xml:space="preserve">Ajuste Procesos y procedimientos - Identificar y/o actualizar  los productos no conforme, derivados de las caracterizaciones de los procesos misionales </t>
  </si>
  <si>
    <t xml:space="preserve">Ajuste Procesos y procedimientos -Actualizar los procedimientos de cada uno de los procesos </t>
  </si>
  <si>
    <t xml:space="preserve">Ajuste Procesos y procedimientos -Formular los indicadores asociados a los procesos de la CVP </t>
  </si>
  <si>
    <t xml:space="preserve">Ajuste Procesos y procedimientos - Formular los mapas de riesgo  asociados  a los procesos de la CVP </t>
  </si>
  <si>
    <t xml:space="preserve">Todas las dependencias- Coordina Oficina Asesora de Planeación </t>
  </si>
  <si>
    <t>Definir las competencias de cada una de las áreas que participa en el cargue de la información en el SISCO</t>
  </si>
  <si>
    <t>Jefe de la Oficina Asesora de Planeación</t>
  </si>
  <si>
    <t>Formular un plan de acción, con tiempos, responsables y actividades que permitan la materialización de la política de responsabilidad social, participación ciudadana y control social, teniendo en cuenta lo contemplado en el Decreto 371 de 2010</t>
  </si>
  <si>
    <t xml:space="preserve">La entidad deberá formular la plataforma estratégica que permita visualizar sus apuestas institucionales al plan de desarrollo Bogotá Humana, en el marco del Proyecto de Ajuste Institucional  
</t>
  </si>
  <si>
    <t xml:space="preserve">La entidad deberá formular la plataforma estratégica que permita visualizar sus apuestas institucionales al plan de desarrollo Bogotá Humana, en el marco del Proyecto de Ajuste Institucional  </t>
  </si>
  <si>
    <t xml:space="preserve">Realizar las reuniones para concretar misión, visión y objetivos estratégicos </t>
  </si>
  <si>
    <t xml:space="preserve">Consolidar el plan estratégico/Plan Institucional de la CVP </t>
  </si>
  <si>
    <t xml:space="preserve">Formular un procedimiento de planeación institucional, que permita visualizar las responsabilidades de los líderes de los procesos en la formulación de los planes de acción de gestión </t>
  </si>
  <si>
    <t>Autocontrol</t>
  </si>
  <si>
    <t>Evidenciar las acciones (reuniones, comunicaciones) que ha realizado cada proyecto de inversión con entidades del distrito para el cumplimiento de metas</t>
  </si>
  <si>
    <t>Realizar las acciones tendientes a la reformulación de los proyectos de inversión.</t>
  </si>
  <si>
    <t>Hallazgos y recomendaciones que de acuerdo a los líderes de proceso no amerita generar un plan de mejoramiento</t>
  </si>
  <si>
    <t>Observación del Líder del Proceso</t>
  </si>
  <si>
    <r>
      <t xml:space="preserve">Fecha de la observación
</t>
    </r>
    <r>
      <rPr>
        <sz val="8"/>
        <color theme="1"/>
        <rFont val="Arial"/>
        <family val="2"/>
      </rPr>
      <t>dd/mmm/yyyy</t>
    </r>
  </si>
  <si>
    <t>Revisar el estado de la Página Web y de la Intranet, su actualización y cumplimiento de lineamientos definidos en Gobierno en Línea.</t>
  </si>
  <si>
    <t>Auditoria Interna</t>
  </si>
  <si>
    <t>Decreto 371 Participación Ciudadana y Control Social.</t>
  </si>
  <si>
    <t>2. El “Plan Anticorrupción y de atención al ciudadano” no ha definido formalmente la manera de denominar o presentar el Grupo de Atención al Ciudadano: “Atención al ciudadano”, “Coordinación de atención al ciudadano”, “Oficina de Atención al Ciudadano” y “Coordinación de servicio al ciudadano”. (Revisar “Responsable” en cada uno de los componentes)</t>
  </si>
  <si>
    <t>3. El “Plan Anticorrupción y de atención al ciudadano”,
- Componente: Mapa de Riesgos, en cuanto al riesgo: “Facilitar el trabajo de tramitadores que cobran por los servicios o trámites de CVP, formuló la acción: “Actualizar los procedimientos o trámites, si es del caso, de acuerdo a la evaluación realizada.”. A 31 de diciembre de 2013 reportó un avance del 80% pero fue eliminada en el reporte del 30 de abril de 2014. La acción también está incluida en el componente anti-trámites de la vigencia 2013 con avance del 75% y para la vigencia 2014 reporta avance 0%. Por tratarse de la misma acción no reporta continuidad.
En el “Plan anticorrupción y de atención al ciudadano” componente Estrategia Anti Trámites, para la vigencia 2014 se formularon las mismas acciones de la vigencia 2013. Aunque en la vigencia 2013 se reporta un avance promedio del 56%, (cumplimiento parcial) el 30 de abril de 2014 reporta 0%. Lo anterior evidencia que no existe continuidad en la ejecución de las acciones formuladas.</t>
  </si>
  <si>
    <t xml:space="preserve">4. El POA del proyecto de inversión 943 de la vigencia 2013 “Fortalecimiento institucional para la transparencia, participación ciudadana, control y responsabilidad social y anticorrupción”, presenta inexactitud en el reporte de ejecución así:
• La sub-actividad “Seguimiento al cumplimiento de las acciones previstas en el Plan Anticorrupción”, se programa con un 40% en mayo; 30% en agosto; y 30% en diciembre y su ejecución se registra en el mismo porcentaje para las mismas fechas. Sin embargo, según el avance reportado en los informes divulgados en la WEB, se publicaron dos (2) seguimientos correspondientes a 31 de agosto y 31 de diciembre de 2013.
• En la sub-actividad “Registro de la publicación en la web: Publicar internamente y en la página Web los resultados de la encuesta de satisfacción del ciudadano en relación con los trámites y servicios de la CVP”, se reportó un cumplimiento del 100%. Esta misma acción formulada en el “Plan Anticorrupción - componente Rendición de cuentas” reportado a 31 de diciembre de 2013, reporta cumplimiento 0%, y en el seguimiento describe: “Para el mes de Diciembre no se realizó ninguna acción orientada al cumplimiento de ésta actividad. Este tema se trabajará y se comenzará en el primer trimestre de 2014”.
• En la sub-actividad “Diseño de la herramienta informática: Coordinar con los organismos distritales y las dependencias internas de la CVP para desarrollar una herramienta informática dirigida a mantener actualizada la información de la página web relacionada con los PQRS que han sido recibidas en la entidad y que posibilite consultar en línea por parte del ciudadano el estado actual de cada una de ellas”, se reporta en noviembre de 2013 un avance de cumplimiento del 30% y en diciembre del 40% para un total del 70%. En el “Plan anticorrupción - componente de Rendición de cuentas, para esta misma acción se reporta a 31 de diciembre de 2013, cumplimiento del 100%.
</t>
  </si>
  <si>
    <t xml:space="preserve">6. b. El proceso “Urbanizaciones y Titulación” no presentó los soportes de trabajo que evidencien el ejercicio de la participación ciudadana y el control social en el periodo auditado. </t>
  </si>
  <si>
    <t>7b. En los dos eventos de rendición de cuentas – vigencia 2013, cumplidos el pasado 30 de marzo quedó evidenciado, mediante informe, que la actividad destinada a “Respuestas a las preguntas de los ciudadanos” seis en Ciudad Bolívar, y “Preguntas” cinco en Chiguaza, no contó con la suficiente documentación, dado que los soportes escaneados registran veinte preguntas, de las cuales solo cuatro figuran en el informe. Así mismo, cinco preguntas en el informe de Chiguaza y dos en el de Ciudad Bolívar no están debidamente soportadas.</t>
  </si>
  <si>
    <t>8. No se ha dado cumplimiento a las acciones formuladas en el Plan de Mejoramiento resultante de la auditoría (Decreto Distrital 371 de 2010) vigencia 2013. Fecha de cumplimiento de las acciones contempladas en el mencionado plan: 30 mayo 2014.</t>
  </si>
  <si>
    <t>11. Formalizar dentro del formato del Sistema Integrado de Gestión,  los proyectos de mejora de los documentos planteados de políticas y directrices sobre el eje común de responsabilidad y control social, considerando su armonización, integración y/o unificación de los planes de acción para cada uno de estos temas y documentos planteados como proyectos.</t>
  </si>
  <si>
    <t>12. Definir dentro de estos documentos una secuencia descendente de presentación de las políticas, de tal manera que no se repita la información dentro de los documentos, sino que se alinee con prioridad, de acuerdo a su escala de armonización y dependencia congruente.</t>
  </si>
  <si>
    <t xml:space="preserve">Auditoria Institucional/Auditoria Proceso
</t>
  </si>
  <si>
    <t>Entes Externos</t>
  </si>
  <si>
    <t>Responsable
Entes externos</t>
  </si>
  <si>
    <t>Formulación y seguimiento a los proyectos de inversión - Procedimiento Digitación- Control Documental.</t>
  </si>
  <si>
    <t>Filas que se pueden combinar, las demás NO deben combinarse</t>
  </si>
  <si>
    <t>Total Acciones</t>
  </si>
  <si>
    <t>Auditoria Institucional/Auditoria Proceso</t>
  </si>
  <si>
    <t>Institucional</t>
  </si>
  <si>
    <t>Oportunidad Plan de Mejoramiento</t>
  </si>
  <si>
    <t>Auditoria de Nomina y Perno</t>
  </si>
  <si>
    <t xml:space="preserve">Recalculo de nómina
Se evidencian en el cálculo de la prima técnica las siguientes observaciones (el detalle en desarrollo de auditoría):
• Se tienen en cuenta certificados de estudio que no se ajustan a los requisitos de ley, para seis funcionarios de los 35 revisados que solicitaron                                                                                                                    el reconocimiento de la prima técnica.
• Para un funcionario se tomó en cuenta experiencia laboral anterior a la terminación de materias.
• Se registran diferencias en el cálculo del tiempo de experiencia laboral para cinco funcionarios de los 35 revisados.
• Para dos funcionarios se realizaron equivalencias para la determinación de la prima técnica aplicando el Decreto 785 de 2005 y la Resolución 402 de 2008, normatividad relacionada con el ingreso a un empleo y no a  la determinación de la prima técnica.
</t>
  </si>
  <si>
    <t>Auditoria Decreto Distrital 371 de 2010 en materia de Gestión Contractual</t>
  </si>
  <si>
    <t xml:space="preserve">DIVULGACIÓN Y PUBLICACIÓN 
Se evidencia que dentro de la muestra evaluada existen modificaciones  contractuales que no fueron publicadas  oportunamente dentro  del portal de SECOP.
Ver: cesión de contrato 001 de 2014 y Actas de suspensión de los contrato 181 y 201 de 2014
</t>
  </si>
  <si>
    <t>Incluir, dentro de las obligaciones generales del contratista de prestación de servicios, cuando se trate de personas naturales una obligación acerca de la adopción del autocontrol como mecanismo para organizar las actividades propias del contrato, para que permita detectar desviaciones y efectuar correctivos en la labor.</t>
  </si>
  <si>
    <t>Plataforma y Manejo de plataforma de correos de la Caja de la Vivienda Popular</t>
  </si>
  <si>
    <t>Asegurar que la información registrada en el directorio, sobre funcionarios y contratistas de la WEB y la Intranet sea congruente.</t>
  </si>
  <si>
    <t xml:space="preserve">Establecer unos criterios mínimos para la delegación de la Supervisión de los contratos en el Manual de contratación
</t>
  </si>
  <si>
    <t>Verificar la aplicación de las disposiciones contenidas en el Decreto 371 de 2010 en materia de Gestión Contractual, así como la aplicación del manual de contratación y del instructivo 208-SADM-In-02 INSTRUMENTO EVALUACIÓN POR COMP.</t>
  </si>
  <si>
    <t>DOCUMENTACIÓN PROCESO CONTRACTUAL
En el contrato 042 de 2013 la Solicitud de Certificado de Disponibilidad Presupuestal suscrita por un funcionario diferente al autorizado para este fin.</t>
  </si>
  <si>
    <r>
      <t xml:space="preserve">Capacitar a los encargados de las Direcciones y Subdirecciones en los procedimientos y competencias para la contratación de la entidad.
</t>
    </r>
    <r>
      <rPr>
        <sz val="10"/>
        <color rgb="FF00B0F0"/>
        <rFont val="Arial"/>
        <family val="2"/>
      </rPr>
      <t>Enviar solicitud para el traslado de este hallazgo al responsable de la implementación del Hallazgo ( Subdirección Financiera)
DEJAR LA ACCIÓN A SEGUIR</t>
    </r>
  </si>
  <si>
    <t>EJECUCIÓN CONTRACTUAL
Al revisar los soportes de culminación del contrato 022 de 2013, se encuentra el “Formato Entrega Contratistas” en el cual se especifica que no aplica la entrega de backup de información, a pesar que dentro de las obligaciones especiales del contrato se encuentra “efectuar el levantamiento, manejo y control de las bases de datos de contratación de la Caja.” Esto evidencia que la entidad no tiene claridad sobre los productos concretos que espera recibir de los contratistas.
SUPERVISIÓN E INTERVENTORÍA
No fue posible obtener evidencia sobre la verificación de condiciones mínimas de idoneidad de los supervisores e interventores, por cuando la dependencia responsable del proceso no suministro información.</t>
  </si>
  <si>
    <t>RETROALIMENTACIÓN PROCESO CONTRACTUAL
Una vez consultada la Dirección Jurídica de la entidad, no se pudo obtener evidencia sobre la retroalimentación del proceso contractual a los diferentes centros de gestión institucional, por cuando dicha dependencia no suministro información</t>
  </si>
  <si>
    <t>Generar espacios con las dependencias de la Caja para realizar análisis de casos contractuales, susceptibles de mejoramiento continuo.</t>
  </si>
  <si>
    <t xml:space="preserve">SEGUIMIENTO Y MEDICIÓN DEL PROCESO ADQUISICIÓN DE BIENES Y SERVICIOS
Una vez consultada la Dirección Jurídica de la entidad, no se pudo obtener evidencia sobre seguimientos y mediciones realizados al proceso en el último año,  por cuando dicha dependencia no suministro información.
</t>
  </si>
  <si>
    <t>Diseñar indicadores que permitan dar cuenta del proceso contractual para la toma de decisiones.</t>
  </si>
  <si>
    <t>Socializar la obligación y normatividad a los contratistas a cargo de la Representación Judicial, incluyendo el procedimiento de representación judicial establecido por la CVP.</t>
  </si>
  <si>
    <t>Control Interno Contable
Encuesta MECI y pormenorizado del Estado de Control Interno</t>
  </si>
  <si>
    <t xml:space="preserve">Generar un plan de trabajo para la integrabilidad de los módulos de SI CAPITAL </t>
  </si>
  <si>
    <t xml:space="preserve">Oficializar la misión, visión y objetivos estratégicos </t>
  </si>
  <si>
    <t>Prolongar el tiempo para la formulación de plan de mejoramiento a 10 días después de presentado el informe de auditoría</t>
  </si>
  <si>
    <t>Encuesta del MECI y Pormenorizado del Estado de Control Interno del DAFP</t>
  </si>
  <si>
    <t>Auditar la aplicación de la política de administración de la información en la Entidad</t>
  </si>
  <si>
    <t>Subdirector Administrativo y Comité de Prima Técnica</t>
  </si>
  <si>
    <t>Para los errores de planta fija se envía a la Oficina Jurídica para el concepto correspondiente considerando la antigüedad del reconocimiento y las acciones legales correspondiente que se deban tomar en el evento de ser necesarios.</t>
  </si>
  <si>
    <t>Subdirector Administrativo</t>
  </si>
  <si>
    <t xml:space="preserve">Marcela Mesa López / Profesional especializado / Dirección Jurídica. </t>
  </si>
  <si>
    <t xml:space="preserve">Realizar reuniones trimestrales con los servidores que se relacionan con la actividad contractual, para hacer retroalimentación de experiencias exitosas y dificultades en los procesos que se llevan a cabo en la Dirección, la cual se verá reflejada en las respectivas actas. </t>
  </si>
  <si>
    <t xml:space="preserve">Magaly Cala Rodríguez /Directora Jurídica/ Dirección Jurídica.  </t>
  </si>
  <si>
    <t>Documentos y papeles sueltos del Archivo de la Dirección Jurídica de Representación Judicial.</t>
  </si>
  <si>
    <t xml:space="preserve">Seguridad de la información efectuando la gestión necesaria y los trámites administrativos para el traslado de los archivos móviles de oficina abierta a un lugar con llave y control dentro de la misma oficina. </t>
  </si>
  <si>
    <t>Magaly Cala Rodríguez /Directora Jurídica</t>
  </si>
  <si>
    <t>Revisar, analizar, ajustar y mejorar la  articulación de los instrumentos de seguimiento, planes de acción y demás acciones formuladas con el fin de armonizar las acciones.
Se verificara especialmente los instrumentos de seguimiento al componente de servicio al ciudadano.</t>
  </si>
  <si>
    <t xml:space="preserve">
Ajustar las terminología con la cual se denominará al grupo de servicio al ciudadano y ajustar los instrumentos</t>
  </si>
  <si>
    <t>OAP</t>
  </si>
  <si>
    <t xml:space="preserve">Solicitar a los líderes de proceso que tengan en cuenta al formular el plan de la vigencia actual  la formulación y el seguimiento de las vigencias anteriores para hacer el análisis y manejar la continuidad e las acciones. </t>
  </si>
  <si>
    <t>Solicitar con el seguimiento al plan anticorrupción, la referencia de donde se encuentran las evidencias y soportes que den cuenta de las acciones ejecutadas por las direcciones misionales para garantizar los procesos de participación ciudadana</t>
  </si>
  <si>
    <t>OAP -Direcciones Misionales</t>
  </si>
  <si>
    <t>Formular e implementar el procedimiento y la estrategia de rendición de cuentas en donde se genere el protocolo de respuesta a las preguntas a la ciudadanía y los métodos y canales de publicación</t>
  </si>
  <si>
    <t>OAP
OAC
Dirección Corporativa y CID</t>
  </si>
  <si>
    <t>Se  solicita reprogramación de fecha, para el 30/10/2014
de la Acción 2013: Realizar un análisis detallado a la Política de Responsabilidad Social, participación ciudadana y control social de la CVP,  determinando los cambios que se requieran y de ser necesario reformularla</t>
  </si>
  <si>
    <t>Oficializar a través de SIG, las políticas de Transparencia, Responsabilidad Social y Servicio al Ciudadano. Del mismo modo se armonizarán los planes de acción para su implementación</t>
  </si>
  <si>
    <t>Cada mes realizar seguimiento de las modificaciones  que se encuentran pendientes por ingresar a la carpeta de calidad para darle trámite</t>
  </si>
  <si>
    <t>Revisar, analizar, ajustar y mejorar la  articulación de los instrumentos de seguimiento, planes de acción y demás acciones formuladas con el fin de armonizar las acciones.
Se verificara especialmente los instrumentos de seguimiento al componente de servicio al ciudadano</t>
  </si>
  <si>
    <t>Verificar información suministrada por la dirección corporativa y la dirección del programa de reasentamientos sobre presuntas irregularidades en el manejo del programa de relocalización transitoria</t>
  </si>
  <si>
    <t>Contabilidad y procedimiento VUR y provisión cartera</t>
  </si>
  <si>
    <t>Contabilidad y procedimiento VUR y provisión cartera
Control Interno Contable
Evaluación de Gestión por Dependencias</t>
  </si>
  <si>
    <t>Se tienen planteadas tres acciones, las cuales presentan un cumplimiento del 82%, 60% y 50%. El plan de acción de la vigencia de 2013 se debe trasladar como un plan de mejoramiento por procesos, en razón a que no se cumplió y sus actividades son importantes para la depuración de cuentas y la integración del SI CAPITAL.</t>
  </si>
  <si>
    <t>Inventarios y Almacén</t>
  </si>
  <si>
    <t>Fidolo Martínez Ramírez- Auxiliar Administrativa</t>
  </si>
  <si>
    <t xml:space="preserve">Se estableció que no se han realizado actividades tendientes al cumplimiento del 100% de la política de responsabilidad social, participación ciudadana y control social establecida en la entidad. 
Hallazgo Decreto 371
Articulo 4. PARTICIPACIÓN CIUDADANA Y CONTROL SOCIAL, 7. Verificar la existencia de registros en medio físico y/o electrónico de las intervenciones ciudadanas y su administración: (CALIFICACIÓN  0.) </t>
  </si>
  <si>
    <t>Evaluación por dependencias.</t>
  </si>
  <si>
    <t>Oficina Asesora de Planeación 
Jefes de dependencia</t>
  </si>
  <si>
    <t>1. Por instrucción de la Dirección Jurídica, se reforzó el área de archivo con dos contratistas, con el fin de revisar el archivo de la Gestión Documental de contratos 2012, y atender las acciones señaladas en el acápite "recomendaciones del informe de auditoria interna". 2. La Entidad suscribió un contrato de prestación de servicios profesionales, con el señor José Alfredo Melo Rodríguez, cuyo objeto es: "Prestación de servicios profesionales, para la elaboración, adopción, aplicación de las tablas de valoración y retención documental y la intervención de los documentos que constituyen el fondo documental de acuerdo con el subsistema interno de gestión documental y archivo (SIGA), el sistema de calidad, las normas vigente, los procedimientos y lineamientos internos de la Entidad"·, profesional que ya inspecciono el archivo documental de contratos, y dio pautas a la persona encargada del Archivo, pautas que conllevan a la optimización del archivo y la aplicación de normas que regulan la materia. 3. Adicionalmente la Dirección Jurídica esta implementando un instructivo dirigido a todas las áreas para que de manera oportuna allegue todos los documentos referentes a la ejecución del contrato y que deban reposar en el archivo de contratos, y así evitar que se presente represamiento documental en el archivo documental e el área de contratos. 4. La Dirección Jurídica está en proceso de seleccionar un apoyo técnico con conocimiento en Archivística para que preste sus servicios en el archivo de contratos,  teniendo en cuenta la saturación que presenta por el cumulo de documentación que se presentan diariamente. 5. Se está adelantando una licitación pública con el objeto de implementar la gestión y custodia de los archivos de la entidad , de esta forma se corrige la situación presentada por el poco espacio del archivo del área de contratos. 6. Se realizó la verificación documental del contrato 431 de 2009 y determinar los documentos que se deben sanear de conformidad con la "Auditoria Interna"</t>
  </si>
  <si>
    <t>13-06-2013 se cerro 1, 2, 5. Abiertas 3, 4 y 6, soporte en carpeta Daño antijurídico 2012.</t>
  </si>
  <si>
    <t>Álvaro Leonardo Garnica Guevara</t>
  </si>
  <si>
    <t>Organizar el archivo judicial, conforme las normas archivísticas, con previa valoración de la documentación, para generar uniforme que contenga el inventario actualizado de todos los procesos judiciales y la descripción del trabajo operativo que implica la organización de cada carpeta, eliminando copias repetidas, quitar ganchos y demás que se requieran. En el informe se deberá relacionar un capítulo que implique la organización específica de los documentos sueltos encontrados y relacionados en el acta.</t>
  </si>
  <si>
    <t>Presentar informes periódicos sobre el archivo judicial y en particular, describiendo las actualizaciones surtidas en los procesos o carpetas y la inclusión de nuevos expedientes al citado archivo. La periodicidad será de cada dos meses, contados a partir de la fecha en que se entregue el informe correctivo.</t>
  </si>
  <si>
    <t>Implementar un lineamiento dentro el proceso de gestión judicial donde se incluya el manejo adecuado de los procesos judiciales</t>
  </si>
  <si>
    <t xml:space="preserve">En el procedimiento 208-COM-Pr-02 V3 “Gobierno en línea”, Ítem 13 Evaluación, se establecen los siguientes  reportes: Google Analíticas; estadística de movimientos en redes sociales; informe con descripción de la inquietud o sugerencia y seguimiento al trámite; los cuales no se utilizan en el seguimiento. </t>
  </si>
  <si>
    <t>Dirección de Gestión Corporativa y CID (áreas de Sistemas) y Oficina Asesora de Comunicaciones - como responsables de contratar el rediseño del portal web de la entidad. 
OAC como responsable de actualización del procedimiento "Administración y Gestión de Contenidos de Web e Intranet" (Anterior Gobierno en Línea)</t>
  </si>
  <si>
    <t>En el procedimiento reformulado "Administración y Gestión de Contenidos de Web e Intranet" (Anterior Gobierno en Línea), tiene un aparte de evaluación sobre la percepción de la WEB e Intranet, de sus contenidos y servicios para atender de manera adecuada las necesidades de comunicación de los grupos de interés de la entidad.</t>
  </si>
  <si>
    <t xml:space="preserve">1. En algunos de los documentos que definen las políticas y estrategias que apuntan al eje de Responsabilidad Social (en trámite de aprobación) se incorpora un ítem de articulación no se evidencia una completa armonización:
• El POA del proyecto de inversión 943 de 2013, “Fortalecimiento institucional para la transparencia, participación ciudadana, control y responsabilidad social y anticorrupción”, presenta algunas acciones que no se enlazan con el plan de acción en cada una de estas políticas.
• El Plan Anticorrupción y de Atención al Ciudadano – mapa de riesgos de corrupción,  ítem – acciones en el proceso de “Servicio al Ciudadano” y los componentes: 2 Estrategia Anti trámites; 3 Estrategia Rendición de Cuentas y 4 Mecanismos para mejorar la Atención al Ciudadano. </t>
  </si>
  <si>
    <t>Se implementará por parte de la OAP control basado en la revisión de los planes nuevos formulados y  los seguimientos de vigencias anteriores con el fin de verificar la continuidad o finalización de las metas con sus porcentajes de ejecución.</t>
  </si>
  <si>
    <t>Enviar alertas tempranas a los líder de proceso de las acciones próximas a vencer registradas en los planes de mejoramiento de las auditorías al decreto 371 de 2010 artículo 4</t>
  </si>
  <si>
    <t>Formular, en caso que el concepto recibido así lo amerite, acción correctiva para revisar y ajustar los porcentajes de la prima técnica de los funcionarios de la CVP.</t>
  </si>
  <si>
    <t>Realizar una circular, para las áreas, recordando la aplicación de los Numerales 6.2.3 al 6.2.9 del Manual de Contratación y los procedimientos allí referidos</t>
  </si>
  <si>
    <t xml:space="preserve">Elaborar memorando  a la Oficina de Planeación, donde se solicite la eliminación del formato de Solicitud de CDP  en el SIG, en cabeza de la Dirección Jurídica, con copia a la Subdirección Financiera para que desde allí se solicite el formato en los procedimiento que allí se manejan. </t>
  </si>
  <si>
    <t>Realizar circular interna de la Dirección Jurídica, donde se definan responsabilidades y lineamientos en la organización y verificación de la documentación de los procesos contractuales  y diligenciamiento de la lista de chequeo.</t>
  </si>
  <si>
    <t xml:space="preserve">RETROALIMENTACIÓN PROCESO CONTRACTUAL
Dentro del proceso de adquisición de bienes y servicios se pudo determinar que se celebran comités de contratación en los cuales se exponen inquietudes relacionadas con los procesos contractuales. Sin embargo la Dirección Jurídica no utiliza espacios formales para retroalimentar a sus servidores sobre experiencias exitosas y problemas  encontrados en otros procesos.
</t>
  </si>
  <si>
    <t xml:space="preserve">Incluir dentro del formato de estudios previos, en las obligaciones generales de los contratos de prestación de servicios y apoyo a la gestión, la adopción del autocontrol como mecanismo para la organización de las actividades propias del contrato. </t>
  </si>
  <si>
    <t>Estado de las Acciones</t>
  </si>
  <si>
    <t>Establecer un cronograma de actividades a desarrollar para culminar la organización de los expedientes de Urbanizaciones.</t>
  </si>
  <si>
    <t>20 de agosto de 2014:
Se presenta a la OAP el 1 de agosto de 2014 por correo institucional la propuesta del procedimiento Auditorias internas y visitas ajustando el tiempo de entrega del plan de mejoramiento a 10 días. No se cierre porque no se ha dado la aprobación.
2 de  Diciembre de 2014:
Se ajusta la fecha considerando la ampliación de entrega del ajuste de procesos y procedimientos y la definición de nueva estructura de presentación de los procedimiento. Se cambia del 13 de junio de 2014 al 15 de marzo de 2015.</t>
  </si>
  <si>
    <t>20 de agosto de 2014:
Se presenta a la OAP el 1 de agosto de 2014 por correo institucional la propuesta del procedimiento Auditorias internas y visitas, ajustando la revisión del informe por parte del equipo de CI, la forma de la entrega del informe y el tiempo para entregar el plan de mejoramiento. Y se inicia la revisión y ajuste del procedimiento de acciones correctivas y preventivas.
2 de  Diciembre de 2014:
Se ajusta la fecha considerando la ampliación de entrega del ajuste de procesos y procedimientos y la definición de nueva estructura de presentación de los procedimiento. Se cambia del 13 de junio de 2014 al 15 de marzo de 2015.</t>
  </si>
  <si>
    <t>19-12-2014 Se evidencia el cumplimiento de esta acción por parte del personal de la Oficina Asesora de Planeación al definir las competencias dentro del SISCO, sin embargo se debe incluir  con los responsables de los gastos de funcionamiento.</t>
  </si>
  <si>
    <t xml:space="preserve">Subdirectora Financiera, Subdirección </t>
  </si>
  <si>
    <t>Arqueo de Caja menor</t>
  </si>
  <si>
    <t>El encargado de la caja menor debe velar porque siempre se tenga disponibilidad de dinero, (tope máximo los cinco salarios mínimos legales que se permiten) y evitar que se hagan préstamos entre la caja y su responsable, sin importar el monto del préstamo</t>
  </si>
  <si>
    <t>Los comprobantes de caja menor son numerados a mano y al momento del arqueo fue necesario que se corrigiera la numeración de cinco formatos. La numeración permite tener control de fecha y transacción.</t>
  </si>
  <si>
    <t>Se presentó desorganización en la custodia de los recibos de caja y los recibos provisionales, ya que no se mantienen en un solo lugar.</t>
  </si>
  <si>
    <t>Se deben hacer firmar los recibos provisionales, puesto que al momento del arqueo fueron encontrados tres recibos a nombre de Jorge Ocampo sin la respectiva firma. Cabe señalar que la firma garantiza la entrega del dinero y la responsabilidad de quien recibe para su legalización.
En el recibo provisional debe haber concordancia entre el nombre registrado en el espacio “Recibe” y quien firma. Se encontró un recibo a nombre de Juan Pablo Triviño y firmado como recibido por la doctora Ofir Duque B.
Los comprobantes de caja menor no cuentan con las firmas que solicita el documento. Tales firmas en los registros evidencian controles.</t>
  </si>
  <si>
    <t>Diligenciar adecuadamente los formatos de acuerdo a lo definido en el procedimiento documentado de caja menor.</t>
  </si>
  <si>
    <t xml:space="preserve">19 de diciembre de 2014:
En las reuniones de Comité Directivo los días 02/04/2014, 21/07/2014, y 15/08/2014 se trató entre otros el tema de ajuste de la Planeación Estratégica de la Entidad.
En comité Directivo de Fecha 15 de agosto, se presentó la propuesta de la misión, la visión, y los objetivos estratégicos ajustados.
A la fecha no se ha oficializado esta nueva misión visión y objetivos estratégicos. Y teniendo en cuenta que la modificación de la plataforma estratégica de la Entidad ha sido pospuesta, a efectos de adelantar un plan de auditoría de recertificación del subsistema de Calidad actualmente vigente, se solicita respetuosamente a la Oficina de control Interno modificar la fecha de cumplimiento de la acción para el 28 de febrero de 2015. 
</t>
  </si>
  <si>
    <t>19 de diciembre de 2014:
Se solicita cambio de fecha, ver celda anterior.</t>
  </si>
  <si>
    <t>19 de diciembre:
La oficina Asesora de Planeación definió no realizar un procedimiento de Planeación Institucional.
Sin embargo se contempla la posibilidad de documentarlo como un instructivo.</t>
  </si>
  <si>
    <t xml:space="preserve">19 de diciembre de 2014:
En las reuniones de Comité Directivo los días 02/04/2014, 21/07/2014, y 15/08/2014 se trató entre otros el tema de ajuste de ajuste del mapa de procesos de la Entidad.
En el comité del 15 de agosto se presentó la propuesta de un nuevo mapa de procesos.
A la fecha no se ha oficializado esta propuesta de mapa de procesos. Y teniendo en cuenta que la modificación de la plataforma estratégica de la Entidad ha sido pospuesta, a efectos de adelantar un plan de auditoría de recertificación del subsistema de Calidad actualmente vigente, se solicita respetuosamente a la Oficina de control Interno modificar la fecha de cumplimiento de la acción para el 28 de febrero de 2015. </t>
  </si>
  <si>
    <t>19 de diciembre de 2014:
En el marco del ajuste institucional, En el comité del 15 de agosto se presentó la propuesta de un nuevo mapa compuesto por 16 procesos, de los cuales ya se han formulado propuestas de caracterización para 15 de estos procesos.
Sin embargo la aprobación de estas caracterizaciones dependen de la oficialización del nuevo mapa de procesos.
A fin de cumplir con esta acción, se estima necesario un plazo aproximado de un mes a partir de la fecha en que se oficialice el mapa de procesos. Por lo cual se requiere ampliar la fecha de finalización de ésta acción para el 31 de marzo de 2015</t>
  </si>
  <si>
    <t xml:space="preserve">19 de diciembre de 2014:
Las caracterizaciones del servicio de los procesos misionales fueron revisadas y actualizadas y están oficializadas en la carpeta de calidad con corte 30 de septiembre de 2014
(seguimiento informado por el proceso).
No se puede cerrar el hallazgo con el soporte enviado por el proceso en razón en auditoria al proceso Reasentamientos Humanos no se tiene actualizado el servicio no conforme y su medición no fue clara, se deja abierto hasta tanto no se subsane.
</t>
  </si>
  <si>
    <t>19 de diciembre de 2014:
A la fecha la OAP ha revisado 93 procedimientos a ser oficializados, de los cuales ya han sido oficializados 43</t>
  </si>
  <si>
    <t>19 de diciembre de 2014:
Se encuentra el seguimiento a los indicadores de proceso actualizados a septiembre de 2014.
Sin embargo los indicadores se deberán reformular o ajustar una vez sea aprobado el nuevo mapa de procesos.</t>
  </si>
  <si>
    <t>19 de diciembre de 2014:
Se encuentra el seguimiento a mapa de riesgos de los procesos, con corte a septiembre de 2014.
Sin embargo los riesgos muy posiblemente se deberán reformular o ajustar una vez sea aprobado el nuevo mapa de procesos.</t>
  </si>
  <si>
    <t xml:space="preserve"> 19-12-2014 
El instructivo no ha sido actualizado, se propone su eliminación y en su lugar formular un procedimiento llamado Plan de Adquisición.
El documento ya fue formulado por la OAP y se encuentra en proceso de revisión y ajuste, por lo cual se considera que a la fecha se tiene un avance del 50% </t>
  </si>
  <si>
    <t xml:space="preserve">Levantamiento del procedimiento Plan de Adquisiciones </t>
  </si>
  <si>
    <t xml:space="preserve">Se tiene formulado un plan estratégico que se visualiza en el manual de calidad 208-Pla-Mn-01 V4 y se definen cuatro objetivos estratégicos. Cuando estos objetivos se despliegan en la caracterización, se presentan unas subdivisiones que no se visualizan en ningún documento formal.
Se tienen estos objetivos de calidad en el plan estratégico de la vigencia 2008 al 2012, y que se visualiza en la carpeta de documentos de referencia del proceso Gestión Estratégica.
</t>
  </si>
  <si>
    <t>Sistema de Gestión de Calidad Gestión Estratégica</t>
  </si>
  <si>
    <t xml:space="preserve">No se puede evidenciar el control que se da a los registros presentados en los procedimientos de la carpeta de calidad que se indica en el manual de calidad y el manejo que se da a través de las TRD aprobadas el 30 de septiembre del 2013. 
- Proceso de Reasentamientos: 
Se definen formatos como:
Formato acta de archivo administrativo 208-REAS-Ft-21
Formato acta de cierre administrativo 208-REAS-Ft-24
Formato ficha de seguimiento relocalización transitoria 208-REAS-Ft-26
Encuesta de calidad en la prestación del servicio relocalización transitoria. 208-REAS-Ft-29
Formato ficha socioeconómica familiar, técnica y jurídica. 208-REAS-Ft-31
Formato asistencia reuniones con comunidad - 208-REAS-Ft-32
Lista de chequeo reasentamientos - 208-REAS-Ft-33
 Los anteriores formatos no guardan relación con el control de las TRD para esta área.
- Mejoramientos de vivienda:
Las TRD no mencionan ninguno de los registros presentados en el procedimiento aprobado 208-MV-Pr-01 V4 Procedimiento mejoramiento de vivienda y formatos reportados en el listado maestro de documentos.
</t>
  </si>
  <si>
    <t>Servicio al Ciudadano</t>
  </si>
  <si>
    <t>Se efectúa una asignación inadecuada de correspondencia externa recibida, con lo cual se generan demoras en la atención de los requerimientos, producto de la reasignación de los mismos.</t>
  </si>
  <si>
    <t>Sistema de Información Si-Capital</t>
  </si>
  <si>
    <t xml:space="preserve">NIVELES DE RESPONSABILIDAD.
Se evidencia que no están claramente definidos los niveles de responsabilidad y las  cadenas de aprobación para solicitar los requerimientos dentro de los módulos SI CAPIT@L.
</t>
  </si>
  <si>
    <t xml:space="preserve">PLAN DE CONTRATACIÓN
Se evidencia que aunque en  la actualidad el módulo SISCO permite el ingreso de información con respecto a las líneas del PLAN DE CONTRATACIÓN y que a su vez se han llevado a cabo capacitaciones sobre el tema, el plan se encuentra desactualizado por parte de los responsables de su ingreso  ya que se han incluido 307 líneas de contratación de las 377 existentes en la actualidad. No se han alimentado con las cifras de ejecución correspondientes.
De igual forma, se observa que no se ha contado con la participación por parte del personal de la subdirección administrativa para el manejo de los gastos de funcionamiento.
</t>
  </si>
  <si>
    <t xml:space="preserve">MANUALES E INSTRUCTIVOS PARA USUARIOS
Se evidencia que aunque existen manuales de usuario, estos no contienen documentación sobre los desarrollos y ajustes que se han implementado en la entidad.
</t>
  </si>
  <si>
    <t xml:space="preserve">MANUALES TÉCNICOS SOBRE CAMBIOS AL CÓDIGO
No se evidencia control de versiones al código de SI CAPIT@L en sus diferentes módulos. Se requiere llevar un registro de los cambios o ajustes realizados, la descripción del resultado, la fecha y autorización del funcionario que lo solicitó y el funcionario que aprobó tal cambio.
</t>
  </si>
  <si>
    <t>Se evidenció que no se enviaron a la Dirección de Defensa Jurídica del Estado, los reportes bimestrales del resultado de los Indicadores de enero a agosto de 2014, correspondientes a: 1) La eficacia de la conciliación reflejada en la disminución de procesos en contra de la entidad; 2) La eficacia de la conciliación reflejada en la disminución porcentual de condenas contra la entidad; 3) La efectividad de las decisiones del Comité de Conciliación traducidas en el porcentaje de conciliaciones aprobadas judicialmente; y 4) El ahorro patrimonial que se logre con ocasión de los acuerdos conciliatorios aprobados por la jurisdicción</t>
  </si>
  <si>
    <t>Mediante el procedimiento 208-DJ-17-06, Control de legalidad, se estableció el cumplimiento de los requisitos legales, entre otros, en el acompañamiento que la Dirección Jurídica le presta a los diferentes procesos que atienden la población objetivo y demás partes interesadas; el mencionado documento  presenta inconsistencias entre la fecha de aprobación y la fecha de vigencia y carece del correspondiente registro de elaboración, revisión y aprobación.</t>
  </si>
  <si>
    <t>Los documentos contenidos en los expedientes de los procesos que conforman el archivo de la Dirección Jurídica no están digitalizados; con lo cual se expone a la consecuente inseguridad en la conservación documental de sus archivos (numeral 12.3 de las Políticas</t>
  </si>
  <si>
    <t>En relación con la distribución de procesos entre los profesionales del Derecho, tanto contratistas como funcionarios, la responsabilidad en la asignación de la atención de los procesos judiciales de la entidad, es una función del funcionario(a) que desempeñe el cargo de Director(a) de la dependencia. Aparentemente no existe distribución equitativa en la mencionada asignación de la atención de los procesos a cargo de la entidad, sin embargo, se indica que la carga laboral por proceso jurídico no es proporcionada, dada la diferencia en la complejidad que atraviesa la tipología de los procesos; aunque es evidente que no es la única variable a analizar. Para verificar lo anterior se revisó el reporte denominado carga laboral del SIPROJ con fecha 19 de noviembre y arrojó la información descrita en el siguiente cuadro:</t>
  </si>
  <si>
    <t>El inventario de procesos judiciales en curso, tanto en contra de la CVP, como iniciados por la entidad, también está contenido en la Matriz mencionada en el numeral anterior, sin embargo, no hace referencia al nivel de eficiencia y eficacia de la representación judicial, teniendo en cuenta los tiempos de gestión, contenido de los informes y fallo</t>
  </si>
  <si>
    <t xml:space="preserve">El proceso no ha formulado planes de mejoramiento producto de la autoevaluación. Tal es el caso del resultado obtenido en el análisis del servicio no conforme, medido con corte al 30 de mayo de 2014, que según el formato para cuarta tipología presenta no conformidad.
Es preciso anotar que en la autoevaluación se puede generar planes de mejoramiento en el análisis del mapa de riesgo, el cumplimiento del plan de acción, quejas o reclamos de los usuarios, análisis de datos y/o cumplimiento de metas, entre otros.
</t>
  </si>
  <si>
    <t xml:space="preserve">SATISFACCIÓN DEL CLIENTE
Se evidencia que el proceso  cuenta con un instrumento que permite realizar un seguimiento a la satisfacción del usuario,  denominado encuesta de satisfacción finalización de obra área social  con código 208-Mb-Ft-12 versión 2, el cual se encuentra oficializado  en la carpeta de calidad. Sin embargo las encuestas no han sido tabuladas por los responsables, lo que origina que no se midan ni se  analicen para una oportuna toma de decisiones.
</t>
  </si>
  <si>
    <t xml:space="preserve">MEDICIÓN Y ANÁLISIS (INDICADORES)
El proceso de Mejoramiento de Barrios cuenta actualmente con 3 indicadores para el proyecto 208, de los cuales no se tiene un registro periódico ni frecuencia en su medición. Quiere ello decir que no cuenta con descripción clara del indicador. Además, dentro de su formulación no se tiene claro lo que va en el numerador y en el denominador, pues se traspone erróneamente. Es indispensable que se ajuste para un adecuado seguimiento a las actividades y una oportuna toma de decisiones; de igual forma sería  conveniente que estos tuvieran correlación con los indicadores que se encuentran dentro del FUSS para una coherente medición del proyecto.
</t>
  </si>
  <si>
    <t>Solicitar a la Dirección de Reasentamientos el avance de los procesos cuyo respaldo está representado en títulos valores que permanezcan bajo custodia de la Tesorería en la Caja Fuerte, con el fin de dar de baja títulos que no representen respaldo económico.</t>
  </si>
  <si>
    <t>Caja fuerte</t>
  </si>
  <si>
    <t>Adelantar las acciones pertinentes para dar de baja lo contenido en las carpetas:
No. 4, con 114 pagarés Candelaria – 1983
No. 5, con 114 pagarés Candelaria La Nueva -  1984
No. 6, con 43  pagarés Candelaria La Nueva – 1984
No. 8, con 65 pagarés Casa Nueva – 1985
No. 9, con 56 pagarés locales y apartamentos – 1985</t>
  </si>
  <si>
    <t>Averiguar con las entidades bancarias correspondientes, cuál es el procedimiento a seguir  para devolver o dar de baja los token inactivos que se encuentran en custodia en la caja fuerte.</t>
  </si>
  <si>
    <t>Analizar los documentos que se tienen en custodia: los 239 folios correspondientes a las licencias de software recibidas de American Outsourcing, entregadas para custodia el 4 de mayo de 2009 con memorando 2009IE1831</t>
  </si>
  <si>
    <t>˗ Dirección de Gestión Corporativa y CID. Área de Sistemas.
-Dirección Jurídica
˗Área Financiera.
˗Oficina Asesora de Planeación.
˗Área de Personal.
˗Subdirección  Administrativa.
˗Administrador Cordis</t>
  </si>
  <si>
    <t>Expedir circular con las obligaciones y condiciones de uso de SI Capital para supervisores, contratistas y gestores en las diferentes áreas funcionales de la CVP.</t>
  </si>
  <si>
    <t xml:space="preserve">Crear repositorios de manuales de uso del SI C@pital en la carpeta Calidad de la CVP.
</t>
  </si>
  <si>
    <t>Incentivar  a través de la intranet la consulta de dichos documentos.</t>
  </si>
  <si>
    <t>Dirección de Gestión Corporativa y CID - Área de Sistemas
Ingenieros de soporte SI C@pital. Supervisor</t>
  </si>
  <si>
    <t>Entregar a la OAP dichos manuales para que sean incorporados en la carpeta de calidad cada vez que sean actualizados.</t>
  </si>
  <si>
    <t>Directora de Mejoramiento de Barrios
-Profesional enlace Oficina Asesora de Planeación.</t>
  </si>
  <si>
    <t>Realizar el análisis de la satisfacción de finalización de las obras y presentar informe de resultados.</t>
  </si>
  <si>
    <t>2 de febrero de 2015:
En el año 2014 el funcionario que lidera el PIGA, realizó capacitación y sensibilización en materia de Gestión Ambiental Contractual en todas las dependencias de la Entidad, y adicionalmente se verificaron las necesidades en materia contractual de cada dependencia con el fin de identificar posibles mejoras que se puedan hacer a las fichas verdes.
El procedimiento 208-PLA-Pr-10 PROCEDIMIENTO PROGRAMA DE CRITERIOS AMBIENTALES PARA LAS COMPRAS Y LA GESTIÓN CONTRACTUAL se encuentra publicado en la carpeta de calidad, con vigencia 06/01/2012.
La acción de revisión y ajuste del procedimiento no se ha cumplido, se solicita ampliar la fecha de cumplimiento a 31 de marzo de 2015.</t>
  </si>
  <si>
    <t>2 de febrero de 2015:
Al respecto la Oficina Asesora e Planeación formuló un plan de acción con indicadores para el seguimiento al PIGA, el cual se reportó a la Secretaría Distrital de Ambiente en agosto de 2014.
A este plan de acción se le hace seguimiento cada seis meses, y finalizará el 31 de enero de 2015.
Se propone incluir este plan de acción dentro del Documento Plan de Acción de la Dependencia.
Dado que aún no se han incluido indicadores de cumplimiento del PIRE dentro del plan de acción de la Entidad, se solicita respetuosamente a Control Interno ampliar la fecha de cumplimiento de la acción para el próximo 31 de diciembre de 2015.</t>
  </si>
  <si>
    <t>Realizar un taller semestral para  reforzar las conocimientos sobre cada uno de los tipos de documentos que el ciudadano radica en la entidad para mejorar la asignación de los mismos.</t>
  </si>
  <si>
    <t>Secretario Comité de conciliación</t>
  </si>
  <si>
    <t>Se expedirá la correspondiente constancia por parte del Secretario del Comité de la vigencia 2014</t>
  </si>
  <si>
    <t>Se realizara por el Secretario del Comité de Conciliación la correspondiente constancia bimestral del no reporte de los indicadores. - Dejando este punto de control en el procedimiento de la conciliación</t>
  </si>
  <si>
    <t xml:space="preserve">Se programa jornada de capacitación sobre Prevención del Daño Antijurídico y Representación Judicial, de manera trimestral iniciando desde el mes de marzo de 2015. 
</t>
  </si>
  <si>
    <t>Se ajustara el formato a lo establecido en calidad.</t>
  </si>
  <si>
    <t>Identificación del total de cajas que conforman el archivo de jurídica a 30 de diciembre de 2014, generando un informe del mismo.</t>
  </si>
  <si>
    <t>Sensibilizar a la persona encargada del archivo de jurídica sobre los lineamientos de conservación, seguridad y custodia de los documentos judiciales.</t>
  </si>
  <si>
    <t xml:space="preserve">1. Se verificara la distribución de los procesos con el personal que se contrate.
</t>
  </si>
  <si>
    <t xml:space="preserve">2. Se verificara la carga laboral de los funcionarios de planta temporal.
</t>
  </si>
  <si>
    <t xml:space="preserve">3. Se justificara el no reparto de estos procesos al personal de planta temporal.
</t>
  </si>
  <si>
    <t>Contratación personal necesario</t>
  </si>
  <si>
    <t>Actualización del SIPROJ (ver plan de mejoramiento con la Contraloría)</t>
  </si>
  <si>
    <t>Sensibilizar al personal contratado y de plata para el manejo de procesos sobre la actualización del SIPROJ Circular 6 de 2014.</t>
  </si>
  <si>
    <t>En lo referente a  los informes que deben rendir los abogados que atienden los procesos, la Dirección Jurídica proporciona un archivo digital denominado “Matriz de procesos judiciales”, el cual contiene: resultados de revisión SIPROJ del 6 y 19 de septiembre de 2014; Informe de apoderados con fecha 18 de septiembre de 2014; y Acciones a realizar. Se alude que la falta de actualización obedece al paro de la rama judicial desde el 6 de octubre de 2014.
La información generada en la atención a los procesos judiciales de la CVP, debe ser actualizada mediante la incorporación de datos y documentos (PDF), para permitir su consulta y análisis; sin embargo, los abogados que tienen como obligación contractual esa actividad no la cumplen (ver cuadro “Seguimiento Procesos Activos CVP (2)” tomado del SIPROJ con fecha 19 de noviembre de 2014, en copia digitalizada que reposa en la carpeta compartida de Control Interno). Este hallazgo también se detectó en el 2012, el 31 de feb./2013 se formuló plan de mejoramiento, el cual consta dos (2) acciones propuestas que a la fecha no se han  ejecutado.</t>
  </si>
  <si>
    <t>Actualizar el Manual de contratación teniendo en cuenta la Resolución de honorarios para la vigencia 2015</t>
  </si>
  <si>
    <t xml:space="preserve">Se verificará su eficacia en la revisión de los contratos que hacen parte de la Auditoría  para el 2015 </t>
  </si>
  <si>
    <t>15/01/2015 
No se evidencia del traslado a las autoridades competentes , la acción sigue abierta.</t>
  </si>
  <si>
    <r>
      <rPr>
        <b/>
        <sz val="10"/>
        <color theme="1"/>
        <rFont val="Arial"/>
        <family val="2"/>
      </rPr>
      <t>15-01-2015</t>
    </r>
    <r>
      <rPr>
        <sz val="10"/>
        <color theme="1"/>
        <rFont val="Arial"/>
        <family val="2"/>
      </rPr>
      <t xml:space="preserve"> No se han cumplido con las acciones propuestas
03-09-2014
Se evidencia que en los procesos de contratación , donde participan los directores de las áreas, se ponen en conocimiento los procesos contractuales  Sin embargo la Dirección Jurídica no utiliza espacios formales para retroalimentar a sus servidores sobre experiencias exitosas y problemas  encontrados en otros procesos. Lo anterior se evidencia en la ultima auditoría al Decreto 371 de 2014.
</t>
    </r>
    <r>
      <rPr>
        <b/>
        <sz val="10"/>
        <color theme="1"/>
        <rFont val="Arial"/>
        <family val="2"/>
      </rPr>
      <t/>
    </r>
  </si>
  <si>
    <r>
      <rPr>
        <b/>
        <sz val="10"/>
        <color theme="1"/>
        <rFont val="Arial"/>
        <family val="2"/>
      </rPr>
      <t>30/01/2015</t>
    </r>
    <r>
      <rPr>
        <sz val="10"/>
        <color theme="1"/>
        <rFont val="Arial"/>
        <family val="2"/>
      </rPr>
      <t xml:space="preserve"> No se encontró evidencia sobre esta acción </t>
    </r>
  </si>
  <si>
    <r>
      <rPr>
        <b/>
        <sz val="10"/>
        <color theme="1"/>
        <rFont val="Arial"/>
        <family val="2"/>
      </rPr>
      <t xml:space="preserve">30/01/2015 </t>
    </r>
    <r>
      <rPr>
        <sz val="10"/>
        <color theme="1"/>
        <rFont val="Arial"/>
        <family val="2"/>
      </rPr>
      <t xml:space="preserve">
No se logro evidenciar avances con respecto a esta acción </t>
    </r>
  </si>
  <si>
    <t>Realizar la transferencia de los archivos muertos a archivo central, con el fin de liberar espacio en el archivo existente y los expedientes que se encuentran ubicados fuera del mismo incluirlos para su custodia.</t>
  </si>
  <si>
    <t>Consolidado:</t>
  </si>
  <si>
    <t>Puede combinarse</t>
  </si>
  <si>
    <t>Plantear las acciones de mejora de acuerdo al informe de resultados de satisfacción de finalización de obras.</t>
  </si>
  <si>
    <t xml:space="preserve">
Realizar el análisis de los resultados arrojados por los indicadores de seguimiento al PI 208 y presentar informe del avance de los indicadores del proyecto 208
</t>
  </si>
  <si>
    <t>Demora en el cumplimiento  del programa de Auditorias, respecto la fecha de inicio y a la agenda de las auditorias.</t>
  </si>
  <si>
    <t>El profesional responsable del Acta</t>
  </si>
  <si>
    <t>Dejar en el procedimiento de Auditorias Internas cuando se levanten las auditorias y definir las implicaciones</t>
  </si>
  <si>
    <t>El formato de evaluación de la auditoria no  es claro y el modo de evaluación  no es el más conveniente</t>
  </si>
  <si>
    <t>Revisar y ajustar el formato.</t>
  </si>
  <si>
    <t>Dejar en el procedimiento de Auditorias Internas:  Diligenciar el formato de evaluación de la auditoria y evaluación del auditor</t>
  </si>
  <si>
    <t>No se toma la evaluación de la auditoria tan pronto como se termine la auditoria.</t>
  </si>
  <si>
    <t>Organizar y hacer los trámites necesarios para que la dirección Jurídica reciba los archivos del proyecto 691.</t>
  </si>
  <si>
    <t>Actualizar  el directorio de la  página web y de la intranet con la información de los servidores</t>
  </si>
  <si>
    <t xml:space="preserve">Actualizar y aprobar la política de seguridad de la información.
</t>
  </si>
  <si>
    <t>Gestión Estratégica – Sistema Integrado de Gestión</t>
  </si>
  <si>
    <t xml:space="preserve">No se han formulado procedimientos definidos en la norma NTD-SIG-2011, entre otros: 
- 7) El reporte de accidentes de trabajo. 
- 8) La investigación de accidentes laborales 
- 11) La protección del intercambio de información. 
- 12) El monitoreo del uso de los medios de procesamiento de información 
- 14) Planificación Operativa
- 15) La construcción y actualización del Normograma, 
Y otros documentos como:
Procedimiento de evaluación periódica de lo legal
Nota: Numerales tomados de la norma NTD-SIG-001: 2011
</t>
  </si>
  <si>
    <t>Imagen corporativa. Se definió en el documento: 208-COM-G-01 GUÍA DE MANEJO DE IMAGEN CVP el logo de la entidad como “Caja de la Vivienda Popular”. Sin embargo no se ha dado cumplimiento total en los procedimientos actualizados en la vigencia 2014.</t>
  </si>
  <si>
    <t>Actualización del MECI 2014. Se adelantó mediante cronograma la actualización del MECI, dispuesta en el Decreto 943 de 2014. En el informe sobre la actualización del MECI en la fase de cierre 21 de diciembre de 2014 (reportado el 16 de febrero de 2015) no se habían completado las acciones propuestas</t>
  </si>
  <si>
    <t xml:space="preserve">DIVULGACIÓN Y PUBLICACIÓN 
Se evidencia que dentro de la muestra revisada, no obran constancias documentales completas de divulgación y publicidad – SECOP.
Ver: Contratos 282 y 283 de 2015.
</t>
  </si>
  <si>
    <t xml:space="preserve">DOCUMENTACIÓN PROCESO CONTRACTUAL - FORMATO DISPONIBILIDAD PRESUPUESTAL
En 17 de los 32 contratos revisados, no existe evidencia documental de la utilización del formato 208-DJ-Ft-01 FORMATO SOLICITUD CERTIFICACIÓN DISPONIBILIDAD DE PRESUPUESTAL, aunque los certificados de disponibilidad en todos los casos señalan el origen del mismo. 
</t>
  </si>
  <si>
    <t xml:space="preserve">DOCUMENTACIÓN - LISTA DE CHEQUEO
Se evidencia que en 3 de los 32 contratos revisados no hay diligenciamiento del formato 208-SADM – Ft-05 Lista de Chequeo que permite llevar un control de la documentación que obra en la carpeta del contrato.
</t>
  </si>
  <si>
    <t xml:space="preserve">1. Profesionales técnicos y sociales de la DMV. 
Profesional encargado de planeación en la DMV.
</t>
  </si>
  <si>
    <t xml:space="preserve"> Profesional encargado de planeación en la DMV.</t>
  </si>
  <si>
    <t>1. Profesionales técnicos y sociales de la DMV. 
Profesional encargado de planeación en la DMV.</t>
  </si>
  <si>
    <t>4. Profesional encargado de planeación en la DMV.</t>
  </si>
  <si>
    <t xml:space="preserve">1. Realizar la formulación de indicadores  de eficiencia, eficacia y efectividad del proceso de mejoramiento de vivienda.
</t>
  </si>
  <si>
    <t xml:space="preserve">
2. Revisar y/o aprobar la propuesta de indicadores  de eficiencia, eficacia y efectividad del proceso de mejoramiento de vivienda.
</t>
  </si>
  <si>
    <t xml:space="preserve">3. Solicitar la formalización de los indicadores de eficiencia, eficacia y efectividad del proceso de mejoramiento de vivienda.
</t>
  </si>
  <si>
    <t xml:space="preserve">4. Socializar al recurso humano del proceso de Mejoramiento de Vivienda los indicadores  de eficiencia, eficacia y efectividad del proceso de mejoramiento de vivienda.
</t>
  </si>
  <si>
    <t xml:space="preserve">1. Revisar y/o ajustar las actividades del proyecto 7328 a cargo de la Dirección de Mejoramiento de Vivienda, para la vigencia 2015 en el Plan Operativo Anual.
</t>
  </si>
  <si>
    <t>Dirección de Urbanizaciones y Titulación</t>
  </si>
  <si>
    <t>Es necesario que se tengan en cuenta todas las fuentes para la mejora, como el análisis de datos arrojados por lo indicadores contemplados en el proyecto de inversión, los mapas de riesgos por proceso y de anticorrupción y de la satisfacción del usuario y formular el  plan de mejoramiento producto de la evaluación del servicio no conforme</t>
  </si>
  <si>
    <t>Realizar un documento del análisis de los resultados obtenidos en la meta de proyecto y herramientas de gestión.</t>
  </si>
  <si>
    <t>Continuar con la entrega de los contratos a la Dirección Jurídica.</t>
  </si>
  <si>
    <t>Subdirector Administrativo - Ordenador del Gasto</t>
  </si>
  <si>
    <t>Automatizar la generación de los comprobantes de las operaciones de caja menor</t>
  </si>
  <si>
    <t>Organizar la documentación que se genere en la operación de la caja menor de acuerdo a la TRD</t>
  </si>
  <si>
    <t>Realizar arqueos periódicos a la operación de la Caja Menor</t>
  </si>
  <si>
    <t xml:space="preserve">Adquisición de Bienes y Servicios </t>
  </si>
  <si>
    <t>Contraloría</t>
  </si>
  <si>
    <t xml:space="preserve">Prevención del Daño Antijurídico y Representación Judicial </t>
  </si>
  <si>
    <t>x</t>
  </si>
  <si>
    <t>DOCUMENTACIÓN - LISTA DE CHEQUEO
Se evidencia que en la totalidad de los contratos revisados, no hubo diligenciamiento del formato 208-SADM – Ft-05 Lista de Chequeo que permite llevar un control de la documentación que obra en la carpeta del contrato.
DOCUMENTACIÓN PROCESO CONTRACTUAL
El cincuenta y cuatro por ciento 54% de las carpetas revisadas no se encuentran organizadas cronológicamente de acuerdo  con las etapas de los procesos contractuales y con la lista de chequeo  que reposa en cada carpeta.
Ver contratos 001, 011, 031, 041, 051, 061, 071, 081, 161, 171, 181 y 191 de 2014.
Así mismo, la totalidad de las carpetas de los contratos celebrados bajo las modalidades Contratación Directa - Mínima Cuantía,  Selección Abreviada - Subasta Inversa, Selección Abreviada - Mínima cuantía, objeto de revisión adolecen de deficiencias en el mismo sentido.
Ver contratos 219, 220, 221, 222, 223, 224, 225 y 226 de 2014</t>
  </si>
  <si>
    <t>Oficina Asesora de Planeación.</t>
  </si>
  <si>
    <t>Wilber Abril</t>
  </si>
  <si>
    <t>26/11/2014
22/04/2015</t>
  </si>
  <si>
    <t>Oficina asesora de planeación,
Procesos Misionales</t>
  </si>
  <si>
    <t>Solicitar a los procesos que aplique, el seguimiento del servicio no conforme al último trimestre del año 2014.</t>
  </si>
  <si>
    <t xml:space="preserve">Socializar a los enlaces de cada proceso el manejo del formato Servicio No Conforme.
</t>
  </si>
  <si>
    <t xml:space="preserve">
Solicitar a los procesos el envío periódico de la información trimestre vencido.</t>
  </si>
  <si>
    <t>Profesional Especializado Oficina Asesora de Planeación</t>
  </si>
  <si>
    <t>No se tienen actualizados los registros de los Productos No conformes para cada uno de los procesos de la Entidad. Se presenta en la carpeta de calidad los No conformes con fecha de corte 21 de Nov 
Se evidencia el registro de la caracterización del servicio para la vigencia 2013 de los procesos misionales y el reporte del producto No conforme, en la “carpeta de calidad”
- En el consolidado del producto No Conforme, se presenta solo para la vigencia 2013 y no ha registros para la vigencia 2014.
Se indica en el procedimiento de Producto No conforme 208-PLA-Pr-03 V4, el reporte de manera trimestral. No se pueden visualizar estos registros trimestrales para la vigencia 2014 para los procesos misionales -como reasentamientos-, ni una fecha consolidada de este reporte.
Reasentamientos: un reporte, 30 de mayo de 2014
Titulación: un reporte, 30 de septiembre de 2014
Mejoramiento de Vivienda: dos reportes, 30 de mayo y 30 de diciembre de 2014.
Mejoramiento de Barrios: Dos reportes, 21 de noviembre y 15 de diciembre de 2014.
Se mantiene la dificultad en la apropiación de la definición e identificación del caso del producto no conforme, al considerar que se tienen diferentes criterios para el uso del formato y no se evidencian planes de mejoramiento suscritos.</t>
  </si>
  <si>
    <t xml:space="preserve">Socializar a través de los enlaces la correcta aplicación de las TRD aprobadas.
</t>
  </si>
  <si>
    <t>Actualizar la Guía de Manejo de imagen CVP, donde se incluya todos los logos utilizados actualmente por la entidad.</t>
  </si>
  <si>
    <t>Oficina Asesora de Planeación - Oficina Asesora de Comunicaciones</t>
  </si>
  <si>
    <t>12-08-2015
Se solicitó a la Oficina Asesora de Comunicaciones la actualización de la  Guía de Manejo de imagen CVP. (en esta revisión se incluyó todos los logos institucionales que actualmente esta manejando la entidad). 
Esta guía esta en proceso de ajuste por parte de la oficina asesora de comunicaciones.</t>
  </si>
  <si>
    <t>Elaborar un cronograma (Plan de Trabajo) donde se identifiquen las acciones pendientes para la implementación de los productos mínimos que aún se encuentren pendientes o que requieran de actualización, y dar seguimiento al mismo para la vigencia 2015.</t>
  </si>
  <si>
    <t>Oficina asesora de Planeación.</t>
  </si>
  <si>
    <t xml:space="preserve">Establecer dentro del procedimiento de control documental una actividad para que al momento de aprobar nuevos documentos, o de actualizar documentos, se haga la respectiva actualización de la versión y vigencia de los mismos en el listado maestro de documentos </t>
  </si>
  <si>
    <r>
      <t>Oficina Asesora de Planeación -</t>
    </r>
    <r>
      <rPr>
        <sz val="10"/>
        <color rgb="FFFF0000"/>
        <rFont val="Arial"/>
        <family val="2"/>
      </rPr>
      <t xml:space="preserve"> </t>
    </r>
    <r>
      <rPr>
        <sz val="10"/>
        <rFont val="Arial"/>
        <family val="2"/>
      </rPr>
      <t>Oficina Asesora de Control Interno</t>
    </r>
  </si>
  <si>
    <t>Director de Reasentamientos/Profesional Especializado</t>
  </si>
  <si>
    <t>Realizar análisis a los instrumentos del proceso, tales  como, plan de acción, mapa de riesgos, producto y servicio no conforme, cumplimiento de los procedimientos, indicadores y generar plan de mejoramiento a las   desviaciones encontradas</t>
  </si>
  <si>
    <t>No se genero Plan de mejoramiento relacionado a la auditoria interna adelantada en diciembre de 2014</t>
  </si>
  <si>
    <t>No se ha medido el servicio no conforme para la vigencia 2015</t>
  </si>
  <si>
    <t>Garantizar contar en la Dirección con un servidor que atienda los requerimientos asociados al SIG</t>
  </si>
  <si>
    <t>Medición trimestral de la matriz de servicio no conforme con reporte a planeación</t>
  </si>
  <si>
    <t>No se han actualizado los procedimientos según las observaciones del informe a diciembre de 2014</t>
  </si>
  <si>
    <t>Ajustar los procedimientos del Proceso de Reasentamientos</t>
  </si>
  <si>
    <t xml:space="preserve">Dejar la acción de revisar y actualizar los instrumentos del SIG en el plan de acción de gestión.  </t>
  </si>
  <si>
    <t>4 de septiembre de 2015: Se iniciaron los arqueos por parte del ordenador del gasto el día 3 de septiembre.</t>
  </si>
  <si>
    <t xml:space="preserve">Dirección Corporativa y CID
OAP
</t>
  </si>
  <si>
    <t>Dirección Corporativa y CID</t>
  </si>
  <si>
    <t> El 24 de abril se realizó el primer taller sobre los tipos de documentos.
4 de Septiembre de 2015:
Se solicita el cambio de responsable atendiendo al nuevo líder del proceso Gestión corporativa.</t>
  </si>
  <si>
    <t>Profesional Especializado
Directora de Gestión Corporativa y CID</t>
  </si>
  <si>
    <t xml:space="preserve">1. Los procedimientos e instructivos que conforman el proceso se encuentran desactualizados en cuanto a normatividad y actividades que ya no se cumplen o se cumplen de forma diferente. Ver los ejemplos en el punto 3 de la sección VII. Desarrollo de la Auditoria. </t>
  </si>
  <si>
    <t>3. En el mapa de riesgos se han formulado acciones que ya se tiene definidas como controles. Ver ejemplo en el punto 3 de la sección VII. Desarrollo de la Auditoria.</t>
  </si>
  <si>
    <t xml:space="preserve">4. Los indicadores que se formularon para hacer seguimiento a las acciones de los riesgos en zona baja no aportan un parámetro de análisis del proceso. </t>
  </si>
  <si>
    <t>5. Se presenta diferencia en el presupuesto disponible para la vigencia 2015 por  valor de $190.408.917, entre lo registrado en el FUSS y en el documento Proyecto de Inversión 404.</t>
  </si>
  <si>
    <t>6. No se generan planes de mejoramiento producto de autocontrol y autoevaluación. Se identificó este hallazgo en 2013 para Inventarios y Almacén. Se recomienda generar acciones que incluyan todo el proceso.</t>
  </si>
  <si>
    <t>8. Se registra una alta participación de las áreas que conforman el proceso Administración y control de recursos en las sensibilizaciones de los subsistemas del sistema de gestión de la CVP. Sin embargo se recomienda adelantar actividades desde el proceso que coadyuven en la  implementación de los mismos.</t>
  </si>
  <si>
    <t>En el procedimiento 208-SADM-Pr-34 Administración de Servicios Generales, en la sección “9. Puntos de Control”, se están asociando los controles del procedimiento a algunos riesgos que dado su alcance no son cubiertos. Ver los ejemplos en el punto 3 de la sección VII. Desarrollo de la Auditoria.</t>
  </si>
  <si>
    <t>Fecha</t>
  </si>
  <si>
    <t>Cambio</t>
  </si>
  <si>
    <t>ítem</t>
  </si>
  <si>
    <t>Oportunidad de mejora</t>
  </si>
  <si>
    <t>Subdirector Financiero 
Subdirector Administrativo</t>
  </si>
  <si>
    <t>Resultado de la revisión por la dirección</t>
  </si>
  <si>
    <t>La encuesta de satisfacción realizada en el 2014, no ha sido socializada a los procesos misionales.</t>
  </si>
  <si>
    <t>Socializar los resultados de la encuesta de satisfacción realizada a los procesos misionales.</t>
  </si>
  <si>
    <t>Lideres y/o enlaces de los procesos misionales 
Profesional especializado OAP</t>
  </si>
  <si>
    <t>Asesor de Control Interno y equipo de trabajo</t>
  </si>
  <si>
    <t>Revisar el consolidado de la matriz de riesgos de cada uno de los procesos de la entidad con el fin de unificar riesgos acorde a los objetivos de los procesos y asesorar a los líderes y/o enlaces de los procesos en la formulación de acciones que soporte la mitigación de estos riesgos.</t>
  </si>
  <si>
    <t>Profesional especializado de la OAP y enlaces de los procesos</t>
  </si>
  <si>
    <t>Jefe OAP coordinara con los líderes de los procesos la revisión y análisis del contexto estratégico.</t>
  </si>
  <si>
    <t>Revisar y analizar el contexto estratégico de la entidad</t>
  </si>
  <si>
    <t>Realizar la actualización y/o actualización de la matriz DOFA</t>
  </si>
  <si>
    <t>Análisis del sistema integrado de gestión</t>
  </si>
  <si>
    <t>Se evidenció al revisar el documento del procedimiento de servicio al ciudadano imprecisiones e incoherencias  referente a formatos y secuenciación de las actividades, respectivamente, con lo cual se incumple los parámetros de documentación definidos  para el SIG</t>
  </si>
  <si>
    <t xml:space="preserve">Se evidenció al revisar la documentación del proceso que no se encuentran documentadas las Tablas de Retención Documental de acuerdo con lo establecido la Ley 594 de 2000  y el Acuerdo 039 de 2002 del Archivo General de la Nación </t>
  </si>
  <si>
    <t>Director (a) de Gestión Corporativa y CID o a quien designe para esta función o el
Coordinador (a) de la oficina de servicio al ciudadano
Profesional Especializado de la Oficina Asesora de Planeación</t>
  </si>
  <si>
    <t>Validar los documentos y/o registros evidenciados  en el procedimiento vs el listado maestro de documentos con el fin de garantizar la codificación de los registros</t>
  </si>
  <si>
    <t>Cuando se realice la próxima modificación de procedimiento</t>
  </si>
  <si>
    <t>Realizar el levantamiento y formulación de la Tabla de Retención Documental para el proceso</t>
  </si>
  <si>
    <t xml:space="preserve">Caracterización del proceso: Este instrumento formuló dos actividades a las que no se les estableció producto a generar y sin embargo tienen cliente. </t>
  </si>
  <si>
    <t>Auditoria combinada Gestión Humana</t>
  </si>
  <si>
    <t xml:space="preserve">Acuerdos, compromisos y protocolos éticos: de conformidad con la descripción consignada en el capítulo VII Desarrollo de la auditoría, del presente informe; no se halló evidencia de sostenibilidad en la gestión directa de las actividades vinculadas a las declaraciones éticas desde el proceso Gestión Humana en la vigencia 2015. </t>
  </si>
  <si>
    <t>Gestión del riesgo, mapas de riesgo por proceso y anticorrupción: Producto de la revisión a la forma de gestionar el riesgo por parte de este proceso, se estableció que: 1) En algunos casos no se evidenció avance de las acciones propuestas; y 2) No se han definido algunos puntos de control y por lo tanto no se han calificado, afectando la valoración del riesgo. Lo anterior, de acuerdo con la descripción del numeral 4.</t>
  </si>
  <si>
    <t xml:space="preserve">Planes de acción e Indicadores de gestión: Verificada esta herramienta se encontró la inconsistencia en la formulación de un indicador, descrita en el numeral 5 de este documento. </t>
  </si>
  <si>
    <t>Planes de mejoramiento: teniendo en cuenta lo descrito en el numeral 6 del presente informe, se estableció que las aludidas acciones no se ejecutaron y por el contrario se han reprogramado hasta el final del 2015; por lo cual, los hechos identificados por Control Interno en vigencias anteriores, persisten sin solución definitiva.</t>
  </si>
  <si>
    <t>Sistema de Gestión de la Seguridad y Salud en el Trabajo (SG-SST): De conformidad con lo descrito en el numeral 7, se estableció que no se han ejecutado las actividades pertinentes para cumplir con los ítems 2 y 10 del correspondiente procedimiento.</t>
  </si>
  <si>
    <t xml:space="preserve">Gestión Documental: Con relación a este tema, en la revisión de la muestra aleatoria de historias laborales, se detectó que para efectos del préstamo de carpetas del archivo de gestión, no se utiliza el formato estandarizado para tal fin; dado que no satisface las necesidades y requerimientos de control manifestadas por el personal que realiza esta labor. </t>
  </si>
  <si>
    <t xml:space="preserve">Manual de Funciones: Este documento institucional, tal como está publicado en la página web; está compuesto por varias resoluciones, las cuales registran reiteradamente sus modificaciones; y por falta de compilación se dificulta su uso y consulta, por las partes interesadas. Ver numeral 9. </t>
  </si>
  <si>
    <t>Ingreso, permanencia y retiro de funcionarios: de acuerdo con los resultados de la verificación a la muestra aleatoria de historias laborales, se identificaron inconsistencias relativas a: 1) nombramiento sin el lleno requisitos; 2) encargo sin acto administrativo que sustente dicha novedad; y 3) diligenciamiento incompleto del formato estandarizado para verificación de requisitos de ingreso. Ver numeral 10.</t>
  </si>
  <si>
    <t>Gloria Marcela y Maria Helena</t>
  </si>
  <si>
    <t xml:space="preserve">Se ajusta herramienta unificando hallazgos independiente de las acciones formuladas. Ya que un hallazgo puede presentar varias acciones bien acciones correcciones  </t>
  </si>
  <si>
    <t>Gloria Marcela</t>
  </si>
  <si>
    <t>Se ajusto herramienta introduciendo hallazgos "Oportunidad Mejora" acorde al formato de informe auditoria V3. 06 de julio de 2015 y se introdujo como tipo de auditoria las formuladas ejercicios de "Autocontrol"</t>
  </si>
  <si>
    <t>Se formulo herramienta, para el control de los hallazgos productos de la auditoria</t>
  </si>
  <si>
    <t>Maria Helena Pedraza</t>
  </si>
  <si>
    <t xml:space="preserve">01/12/2015:
Aunque la matriz está definida la medición no es coherente con la caracterización, esta debilidad se refleja en el informe de diciembre de 2015. </t>
  </si>
  <si>
    <t>Contexto estratégico</t>
  </si>
  <si>
    <t xml:space="preserve">DOCUMENTACIÓN PROCESO CONTRACTUAL - EVALUACIÓN DE COMPETENCIAS
Se evidencia que el formato  208-SADM-FT-63 EVALUACIÓN DE COMPETENCIAS Y HABILIDADES COMPORTAMENTALES NIVEL PROFESIONAL que reposa en cada una de las carpetas de contratos de prestación de servicios con persona natural no ha sido incluido en la carpeta de calidad. 
</t>
  </si>
  <si>
    <t xml:space="preserve">CONTROL SOCIAL Y PARTICIPACIÓN CIUDADANA
La evidencia documental sobre la  publicación en el Sistema Electrónico de Contratación Pública SECOP de la convocatoria a las veedurías ciudadanas para ejercer control social en los  procesos, debe ser incorporada al respectivo expediente. 
</t>
  </si>
  <si>
    <t>Se identifica que la entidad cuenta común gran numero de riesgos por procesos y algunos riesgos redactados en diferente presentación.</t>
  </si>
  <si>
    <t>Se identifica que en las actividades realizadas por la entidad (socializaciones y/o sensibilizaciones y/o capacitaciones) existe poca participación y/o asistencia por parte de los funcionarios a estas.</t>
  </si>
  <si>
    <t>Formalizar la revisión anual del plan estratégico de la entidad.</t>
  </si>
  <si>
    <t>17-12-2015 Revisar en la vigencia 2016</t>
  </si>
  <si>
    <t>Revisar y corregir en el listado maestro y/o en a carpeta de calidad los hallazgos detectados por Control Interno (en el plan de mejoramiento del proceso se generó una acción por cada error encontrado)</t>
  </si>
  <si>
    <t xml:space="preserve">El procedimiento se construyó y está en proceso de revisión y firma.
20 de octubre de 2015
El procedimiento 208-COM-Pr-03 ADMINISTRACIÓN Y GESTIÓN DE CONTENIDOS EN WEB E INTRANET, Vr 2 formalizado a partir del 22 de septiembre de 2015, no cuenta con  el aparte de evaluación sobre la percepción de la WEB e Intranet.
Revisada la página web se encontró, en el link de servicio al ciudadano, sondeo de percepción portal web, el cual no se encuentra asociado a ningún procedimiento del proceso.
</t>
  </si>
  <si>
    <t>Mayo 30 de 2014:  Se concede prorroga de fecha para cumplir la acción.
Septiembre 21 de 2015: Se solicita prorroga de fecha a través del oficio 2015IE4163, el documento se encuentra listo para su aprobación.</t>
  </si>
  <si>
    <t>Se debe continuar con la labor de identificación, organización y archivo de los expedientes que contienen información histórica extensa.</t>
  </si>
  <si>
    <t xml:space="preserve">La Dirección de Urbanizaciones y Titulación presenta un cronograma con actividades que se desarrollarán durante 2016. Sin embargo una de las actividades propuestas se desarrollará en 2017.
Esta acción correctiva se deja abierta hasta diciembre de 2016.
</t>
  </si>
  <si>
    <t>27-Noviembre de 2015
El seguimiento al servicio no conforme para la vigencia 2014, se encuentra publicado en la carpeta de calidad  \serv-cv11\calidad\17. CONSOLIDADO SERVICIO NO CONFORME\2014.
Para la vigencia 2015 se encuentra el seguimiento cada trimestre. \\serv-cv11\calidad\17. CONSOLIDADO SERVICIO NO CONFORME\2015.
Se validó que a la fecha se encuentra la información reportada para 4 de los 5 procesos misionales. A la fecha el líder de proceso de Mejoramiento de Barrios no ha entregado el reporte correspondiente, por lo cual se continuará con el acompañamiento a fin de lograr el cumplimiento efectivo del reporte para los 5 procesos misionales.
Por lo anterior se solicita a Control Interno ampliar la fecha de cumplimiento a 31 de diciembre de 2015</t>
  </si>
  <si>
    <t>No se tienen actualizados los registros de los Productos No conformes para cada uno de los procesos de la Entidad. Se presenta en la carpeta de calidad los No conformes con fecha de corte 21 de Nov 
Se evidencia el registro de la caracterización del servicio para la vigencia 2013 de los procesos misionales y el reporte del producto No conforme, en la “carpeta de calidad”
- En el consolidado del producto No Conforme, se presenta solo para la vigencia 2013 y no ha registros para la vigencia 2014.
Se indica en el procedimiento de Producto No conforme 208-PLA-Pr-03 V4, el reporte de manera trimestral. No se pueden visualizar estos registros trimestrales para la vigencia 2014 para los procesos misionales -como reasentamientos-, ni una fecha consolidada de este reporte.
Reasentamientos: un reporte, 30 de mayo de 2014
Titulación: un reporte, 30 de septiembre de 2014
Mejoramiento de Vivienda: dos reportes, 30 de mayo y 30 de diciembre de 2014.
Mejoramiento de Barrios: Dos reportes, 21 de noviembre y 15 de diciembre de 2014.
Se mantiene la dificultad en la apropiación de la definición e identificación del caso del producto no conforme, al considerar que se tienen diferentes criterios para el uso del formato y no se evidencian planes de mejoramiento suscritos.</t>
  </si>
  <si>
    <t xml:space="preserve">27 de noviembre de 2015:
El reporte de accidentes de trabajo: Para este reporte no se va a realizar procedimiento, esta actividad se va a dejar inmersa dentro del manual de SST.
La investigación de accidentes laborales.  Para este reporte no se va a realizar procedimiento, esta actividad se va a dejar inmersa dentro del manual de SST.
La construcción y actualización del Normograma: Esta actividad quedo inmersa dentro del procedimiento Control Documental.
El monitoreo del uso de los medios de procesamiento de información. Esta actividad va a quedar inmersa dentro de los nuevos  procedimientos del proceso de administración de la información.
La Planificación Operativa esta descrita en las siguientes herramientas: Caracterización del proceso, caracterización del producto y/o servicio, la matriz de trámites y servicios y en la matriz de servicios del proceso de administración de la información.
</t>
  </si>
  <si>
    <t>12/08/2015
Se elaboró el cronograma para los productos mínimos de los  trece elementos de control, y se debe continuar con la elaboración del cronograma para los productos mínimos del eje transversal de Información y Comunicación. Por lo cual se determina un avance de 2/3 partes de la primera Actividad de formular el cronograma o plan de trabajo, la cual tiene un porcentaje ponderado de 25%.
Para la segunda actividad de seguimiento a la implementación la cual tiene una ponderación del 75%, ya se tiene un avance de 11 productos (componente talento humano) y cinco productos  (componente administración del riesgo) de los 64 productos mínimos requeridos.
=(2/3*0,25) + (36/64)*0,75 = 35%.
27 de noviembre de 2015
Se elaboró el cronograma y se realiza seguimiento permanente con un consolidado semestral, dado que aún se requiere implementar algunos productos mínimos y que en cuadro de seguimiento se estima un porcentaje de implementación del 87%, se solicita a control interno ampliar la fecha a 31 de marzo de 2016.</t>
  </si>
  <si>
    <t>Se debe revisar y ajustar la caracterización del proceso, con atención a:
El objetivo del proceso ajustado a la normatividad.
La trazabilidad de los documentos
Los productos que genera el proceso al cliente externo o interno
Reportar la actividad que asegure el diseño que desarrolla este proceso.</t>
  </si>
  <si>
    <t>Dentro del Sistema Documental, el proyecto de inversión 7328 cuenta  con el manual correspondiente. El proyecto de inversión 962, registra un documento sin estructura de manual y no incluido en el sistema documental. Así mismo debe ajustarse la normatividad aplicable a los dos proyectos ( decretos 190 de 2004 y 360 de 2013).</t>
  </si>
  <si>
    <t>Auditoria, estado del sistema integrado de gestión.</t>
  </si>
  <si>
    <t>No existe evidencia de la actualización total de los procedimientos, puesto que no se identifican las políticas de operación ni controles definidos para cada proceso. Tampoco han sido actualizados los procedimientos obligatorios de la NTC GP 1000.</t>
  </si>
  <si>
    <t>No existe evidencia de la socialización de documentos como el manual de calidad y la política de administración de riesgos, entre otros, a cada uno de los servidores y contratistas de la entidad.</t>
  </si>
  <si>
    <t>No existe evidencia acerca de construir la coherencia institucional de acuerdo con la nueva planeación estratégica, los objetivos de los procesos y las herramientas que permitan verificar el cumplimiento de objetivos y metas.</t>
  </si>
  <si>
    <t>Los nombres de los documentos registrados en el listado maestro de documentos no corresponden con los del formato que se encuentra en la carpeta de calidad.</t>
  </si>
  <si>
    <t xml:space="preserve">5. No existe evidencia de trazabilidad en las caracterizaciones de los procesos, como el documento de la formulación y cambio de las actividades para cada uno.
No es clara la identificación del cliente receptor de los productos salidas de cada una de las actividades. 
El proceso mejoramiento de vivienda realiza el registro de la herramienta de diseño y desarrollo, pero no se evidencia en las actividades de la caracterización ni en los requisitos aplicables del proceso.
</t>
  </si>
  <si>
    <t xml:space="preserve">Se utilizan dos formatos en la rutina de las reuniones, que corresponden a:
- 208-PLA-Ft-54. Registro de reunión, ubicado en este proceso.
- 208-SADM-Ft- 06 Acta de reunión, ubicado en el proceso de Administración de la Información.
</t>
  </si>
  <si>
    <t>El FUSS es un formato externo del cual no se asegura su control.</t>
  </si>
  <si>
    <t>No se evidenció la generación de acciones correctivas y preventivas que se presentan en Atención al ciudadano a través del mecanismo de PQRS</t>
  </si>
  <si>
    <t>No se pudo evidenciar la eficacia de las acciones tomadas ya que no existe socialización de las mismas en lo relacionado con atención al ciudadano.</t>
  </si>
  <si>
    <t>Se deben revisar los productos y servicios registrados que son entregados al mismo proceso, entendiendo que la caracterización debe demostrar la articulación de este con los otros procesos de la entidad o el cliente externo.</t>
  </si>
  <si>
    <t xml:space="preserve">Revisar  las herramientas de Servicio no conforme y Diseño y desarrollo, con el fin de dar claridad en la herramienta de la medición o seguimiento a los controles en el desarrollo de la prestación de los servicios y la medición de un servicio ya prestado y el tratamiento de las no conformidades del mismo.  </t>
  </si>
  <si>
    <t>No se tiene la evidencia del diligenciamiento de los  documentos y/o registros establecidos en los procedimientos del proceso.</t>
  </si>
  <si>
    <t>Auditoria combinada Comunicaciones</t>
  </si>
  <si>
    <t>Auditoria combinada Mejoramiento de Vivienda</t>
  </si>
  <si>
    <t xml:space="preserve">DOCUMENTACIÓN PROCESO CONTRACTUAL - FORMATO DISPONIBILIDAD PRESUPUESTAL
Se evidencia que en el sesenta y ocho por ciento (68%) de los contratos revisados  no es utilizado el formato 208-DJ-Ft-01 FORMATO SOLICITUD CERTIFICACIÓN DISPONIBILIDAD DE PRESUPUESTAL,  el cual hace parte de la documentación aprobada dentro del Sistema combinada de Gestión. 
Tal situación se presenta así mismo en todos los contratos celebrados bajo las modalidades Contratación Directa - Mínima Cuantía,  Selección Abreviada - Subasta Inversa, Selección Abreviada - Mínima cuantía, objeto de revisión.
</t>
  </si>
  <si>
    <t>Decreto 371 de 2010 y auditoria combinada Adquisición de bienes y servicios</t>
  </si>
  <si>
    <t>Auditoria combinada Mejoramiento de Barrios</t>
  </si>
  <si>
    <t>No hay coherencia entre los documentos descritos en el listado maestro y los incluidos en el proceso (Ver tabla  listado maestro de documentos).</t>
  </si>
  <si>
    <t>Las tablas de retención documental se encuentran desactualizadas. Ver apartes (tablas de retención documental – TRD).</t>
  </si>
  <si>
    <t>La documentación del proceso se archiva  en forma virtual. Sin embargo adolece de una estandarización para su manejo, lo que dificulta el control de su totalidad, además del acceso, trazabilidad y conservación.</t>
  </si>
  <si>
    <t>El líder  del proceso debe asegurarse de efectuar las correcciones y tomar las acciones correctivas y preventivas, producto de los resultados de las auditorías internas.</t>
  </si>
  <si>
    <t>La página web cuenta con el link 3   Transparencia y acceso a información pública”, pero este no contiene  la información requerida.</t>
  </si>
  <si>
    <t>El directorio de información de servidores públicos, empleados y contratistas, publicado en la página web, está desactualizado y no cumple con los requisitos de la norma</t>
  </si>
  <si>
    <t>La web cuenta con el link que guíe a los usuarios a la página del SECOP, pero este no está asociado a los contratos de la Entidad, además no se publica la información sobre la ejecución de los mismos.</t>
  </si>
  <si>
    <t>No se evidencia información en la página web que de cumplimiento al título V Instrumentos de gestión de la información, solamente se encuentra el numeral III esquema de publicación de la información y este no cumple con los componentes descritos en el artículo 42 del Decreto Reglamentario 103 de 2015.</t>
  </si>
  <si>
    <t>En la página web no se encontró publicado el informe de solicitudes de acceso a la información</t>
  </si>
  <si>
    <t>El mapa de riesgos por procesos debe ser revisado para constatar que las acciones formuladas aporten para mitigarlos, reducirlos o evitarlos.</t>
  </si>
  <si>
    <t xml:space="preserve">Se ha informado, a través del correo institucional, sobre las rutas de acceso a los procedimientos. Correo del 20 de noviembre de 2015.
Se deja abierto para verificar en próxima auditoria si el personal de reasentamientos apropió los procedimientos de su proceso.
</t>
  </si>
  <si>
    <t>Sin reporte de seguimiento.</t>
  </si>
  <si>
    <t>Auditoria combinada Reasentamientos Humanos</t>
  </si>
  <si>
    <t xml:space="preserve">Se debe revisar y ajustar la caracterización del proceso, con atención a:
• El objetivo del proceso ajustado a la normatividad.
• La trazabilidad de los documentos.
• Los productos que genera el proceso y el cliente externo o interno.
</t>
  </si>
  <si>
    <t xml:space="preserve">Revisar y ajustar el objetivo del  procedimiento 208-REAS-Pr-04 Adquisición de Predios V. 1 del 5 de noviembre de 2014. </t>
  </si>
  <si>
    <t>Evaluar la conveniencia de que el instructivo “208-REAS-In -02 Respuesta derechos petición”, Versión 1 del 8 de abril de 2014, en atención a su contenido, forme parte del proceso de Reasentamientos Humanos o del proceso transversal Atención al Ciudadano.</t>
  </si>
  <si>
    <t>En el seguimiento y medición de servicio no existe relación entre los requisitos definidos del servicio en la hoja “Servicio Conforme” con la medición que se realiza en la hoja “Servicio no conforme”. Así mismo, no se cumple con lo solicitado en la norma NTCGP 1000:2009 en lo que se refiere al tratamiento de los servicios no conformes.</t>
  </si>
  <si>
    <t>Efectuar el análisis de los riesgos después de cumplidas las acciones, con el fin de definir si estas pasan a ser controles del procedimiento o si se requiere plantear nuevas acciones que permitan minimizar los riesgos.</t>
  </si>
  <si>
    <t>Revisar la formulación de los indicadores en la matriz de riesgos y en el plan de acción, para que su acumulado muestre el resultado real de las acciones. De manera adicional, tener el registro de los datos con los que se calcula el indicador, de tal forma que tenga trazabilidad.</t>
  </si>
  <si>
    <t>Analizar con Gestión Documental la posibilidad de incluir en las tablas de retención documental de Reasentamientos Humanos, las actividades adelantadas con la comunidad que se enmarcan como memoria institucional.</t>
  </si>
  <si>
    <t>Establecer un criterio para el reporte de las familias atendidas, recomendadas por el IDIGER.</t>
  </si>
  <si>
    <t>Evaluar la conveniencia de modificar o utilizar el formato 208-REAS-Ft-04 Acta entrega vivienda de reposición, Versión 1 del 8 de abril de 2014.</t>
  </si>
  <si>
    <t>Verificar que se incluya toda la información de la familia en el reporte de datos en el FUSS para los traslados finales.</t>
  </si>
  <si>
    <t xml:space="preserve">Revisar que en el proceso no se estén solicitando, al beneficiario, documentos que ya se tienen en la entidad. </t>
  </si>
  <si>
    <t>Auditoria combinada Urbanización y titulaciones</t>
  </si>
  <si>
    <t>El procedimiento 208-TIT-Pr-02 URBANIZACIONES: se encuentra desactualizado.</t>
  </si>
  <si>
    <t>Los formatos descritos en el aparte de “Documento del Sistema Integrado de Gestión”, no guardan relación con los procedimientos del proceso.</t>
  </si>
  <si>
    <t xml:space="preserve">Las tablas de retención documental se deben armonizar con los procedimientos actualizados en el año 2015, además se debe incluir en estas el proyecto 691. </t>
  </si>
  <si>
    <t>Subdirector(a) Administrativo (a)</t>
  </si>
  <si>
    <t>Ajustar el procedimiento 208-SADM-Pr-13 donde la responsabilidad y el punto de control respecto a la verificación del cumplimiento de los requisitos para el cargo y validez de la documentación (actividades 18 y 6 punto de control) recaiga sobre el profesional universitario 219-03 de talento humano</t>
  </si>
  <si>
    <t>Se implementará un  control trimestral, solicitando a cada líder de proceso al cierre de cada trimestre, enviar los formatos diligenciados de inducción en el puesto de trabajo de las personas que han ingresado a la entidad</t>
  </si>
  <si>
    <t>Coordinadores DMV con el acompañamiento del profesional de planeación de la DMV</t>
  </si>
  <si>
    <t>Profesional de planeación de la DMV</t>
  </si>
  <si>
    <t>Equipo de gestión documental con apoyo del profesional de planeación d la DMV
Director de Mejoramiento de Vivienda</t>
  </si>
  <si>
    <t>Coordinadores DMV con el acompañamiento del profesional de planeación de la DMV
Director de Mejoramiento de Vivienda</t>
  </si>
  <si>
    <t>El diligenciamiento del formato M-ODT-FM-026 Certificación de Actualización de Información Distrital del Empleo y la Administración Pública – SIDEAP; se llevó a cabo hasta el mes de febrero de 2014 (ver numeral 3.3).</t>
  </si>
  <si>
    <t xml:space="preserve">Noviembre 12 de 2015:
En la documentación realizada de los procedimientos se especifican los responsables de la aplicación de los políticas por cada actividad del procedimiento. En proceso la implementación de los procedimientos.
</t>
  </si>
  <si>
    <t>29 de diciembre de 2015:
Se estableció que la ejecución de esta acción fue modificada, por cuanto la antigüedad de la mayoría de las mencionadas historias y la necesidad de dar cumplimiento a los requerimientos normativos vigentes a partir de segundo semestre de 2015, dio inicio a un proceso de organización documental de cada uno de los expedientes de las historias laborales de la entidad, a cargo del contratista Fredy Camacho Guerrero, con el fin de elaborar el Inventario Único Documental FUID. Esta nueva gestión se soporta en los informes remitidos vía correo institucional, sobre sus avances. Por lo anterior, esta acción aunque modificada continúa en ejecución.</t>
  </si>
  <si>
    <t>Diciembre 31 de 2015:
La circular se expedirá una vez se valide por parte de la OAP.</t>
  </si>
  <si>
    <t>Auditoria Si Capital</t>
  </si>
  <si>
    <t xml:space="preserve">En el módulo SAI se encuentra registrado el inventario de los bienes devolutivos y de consumo, sin incluir el inventario de los bienes inmuebles. </t>
  </si>
  <si>
    <t>Se requiere constancia de que se lleva a cabo, con su respectiva verificación, la integración entre los diferentes módulos.</t>
  </si>
  <si>
    <t>En el módulo PERNO no queda el registro (evidencia) de las pruebas que se efectúan.</t>
  </si>
  <si>
    <t>El aplicativo SI CAPITAL carece de alcance para el desembolso, tanto de los valores únicos de reconocimiento (VUR) como de las ayudas temporales</t>
  </si>
  <si>
    <t>Deben contabilizarse  en forma integrada los giros de la nómina y los parafiscales en el módulo PERNO, lo cual exige generar órdenes de pago para enviar la información a OPGET.</t>
  </si>
  <si>
    <t>El manual del módulo SAE no contempla el procedimiento para enviar información al módulo LIMAY.</t>
  </si>
  <si>
    <t>Informe PQR´S</t>
  </si>
  <si>
    <t>Sensibilizar a los operadores sobre el manejo del aplicativo SDQS en su conjunto, relacionados con la respuesta que se carga, con las fechas de cierre o finalización en el sistema y con los traslados que se hacen, entre otros.</t>
  </si>
  <si>
    <t>Revisar la tipología de los aplicativos de CORDIS-SDQS y ajustarlas a la misionalidad de la entidad.</t>
  </si>
  <si>
    <t>Tener en cuenta las recomendaciones de la Defensora del ciudadano.</t>
  </si>
  <si>
    <t>Ajustar el objetivo del procedimiento de Adquisición de Predios</t>
  </si>
  <si>
    <t>Ajustar las tablas de retención documental con el registro de las actividades desarrolladas por la comunidad</t>
  </si>
  <si>
    <t>Actualizar la lista de chequeo con la relación de documentos del proceso de reasentamientos</t>
  </si>
  <si>
    <t>10:15:00 a 11:00 a.m.</t>
  </si>
  <si>
    <t>Se realiza la revisión de coherencia, en general no se tienen un buen análisis de causas y solo se proponen acciones correctivas, las fechas propuesta para ejecutar la acción es 30 de diciembre de 2015, fecha ya cumplida, falto incluir la no conformidad, se devuelve por correo institucional a Wilber Abril para su corrección.</t>
  </si>
  <si>
    <t>9:23 a 9:40 a.m.</t>
  </si>
  <si>
    <t>Claudia Ximena Hormanza</t>
  </si>
  <si>
    <t>Se verifica los ajustes de la revisión inicial realizado en diciembre 3 de 2015, se reitera que el hallazgo y la causa no deben ser lo mismo.</t>
  </si>
  <si>
    <t>Encuesta de percepción realizada a los ciudadanos</t>
  </si>
  <si>
    <t>Director(a) de Mejoramiento de Vivienda y/o Coordinador (a)Equipo Asistencia Técnica como operador del Subsidio Distrital de Vivienda en Especie – SDVE</t>
  </si>
  <si>
    <t xml:space="preserve">Socializar la información de la DMV que se entrega a los ciudadanos en los territorios incluyendo los tiempos que transcurren desde el momento en que se aprueba el proyecto y se asigna el SDVE al Hogar y el desembolso efectivo de los recursos por parte de la fiducia al Oferente, durante los Foros de Apertura que se realizan en el marco del inicio de los Proyectos que serán desarrollados en los territorios.  </t>
  </si>
  <si>
    <t xml:space="preserve">Solicitar la oficialización del formato para informar al ciudadano y/o ciudadana solicitante de asistencia técnica para el trámite ante curaduría urbana en el Sistema integrado de Gestión de la Entidad y publicado en la carpeta de calidad. </t>
  </si>
  <si>
    <t>Socializar e implementar el formato de seguimiento trámite ante curaduría, al ciudadano y/o ciudadana solicitante de asistencia técnica para el trámite ante curaduría urbana</t>
  </si>
  <si>
    <t>Coordinador(a) Asistencia Técnica para el Trámite ante Curaduría Urbana.</t>
  </si>
  <si>
    <t>Director (a) Mejoramiento de Vivienda.</t>
  </si>
  <si>
    <t>Profesional de planeación de la DMV.</t>
  </si>
  <si>
    <t>Equipo de Asistencia Técnica para el Trámite ante Curaduría Urbana</t>
  </si>
  <si>
    <t>Administración de la Información</t>
  </si>
  <si>
    <t>Mario Rolando Benavides</t>
  </si>
  <si>
    <t>Dirección de Gestión Corporativa y CID</t>
  </si>
  <si>
    <t>Realizar inducción y seguimiento a la implementación del procedimiento de mantenimiento y desarrollo de software junto con los formatos respectivos para cualquier proyecto de mantenimiento y desarrollo de software.</t>
  </si>
  <si>
    <t>13/01/2016
14/01/2016</t>
  </si>
  <si>
    <t>Considerando que en el manual para SAE ubicado en la direcciòn http://serv-cv2/documentacion/sae/SAE.pdf, pagina Nº 9 describe que se  debe "hacer clic" en el boton "generar comprobante" y luego hacer clic en el botòn contabilizar para envìar la informaciòn de este modulo al de contabilidad (mòdulo LIMAY), comedidamente se solicitano considerar esta oportunidad de mejora dado con lo anteriormente descrito se cumple lo solicitado</t>
  </si>
  <si>
    <t>Auditoria Si capital</t>
  </si>
  <si>
    <t>El manual del módulo LIMAY no facilita identificar la información que se encuentra integrada ni la forma de recuperarla.
En los manuales de los módulos PERNO, SISCO y SAI la instrucción de ingreso es general. Además se ocupa de transacciones manuales sin especificación de su procedencia u origen.</t>
  </si>
  <si>
    <t>4:00 a 4:30 p.m.
9:00 A 9:40</t>
  </si>
  <si>
    <t>Se devuelve el plan de mejoramiento con dos observaciones, para pasar al formato version 4, ajustar y firmar. Se envío por correo instituciona a Mario Rolando</t>
  </si>
  <si>
    <t>10:40 a 11:00 a.m.</t>
  </si>
  <si>
    <t>Gestion Humana</t>
  </si>
  <si>
    <t>Carolina Cuartas</t>
  </si>
  <si>
    <t>Se revisa los ajustes de la primera revisión, se devuelve con dos pequeños ajustes, para impresión y firma, se dejan pendientes siete OM que se pregunta en el correo quien debe formularlas.</t>
  </si>
  <si>
    <t>Dirección de Mejoramiento / Oficina Asesora de Planeación</t>
  </si>
  <si>
    <t>Realizar reunión conjunta con la OAP para revisión de la caracterización del proceso de mejoramiento de barrios</t>
  </si>
  <si>
    <t>Realizar reunión conjunta con la OAP para revisión de herramientas de servicio no conforme y diseño y desarrollo</t>
  </si>
  <si>
    <t>2:00 a 2:30 p.m.</t>
  </si>
  <si>
    <t>Nicolas Padilla</t>
  </si>
  <si>
    <t>Se realiza revisión de coherencia y se devulve con observaciones por correo institucional, las observaciones tiene que ver con el diligenciamiento del formato y la determinación de las causas.</t>
  </si>
  <si>
    <t>Elaborar y comunicar los actos administrativos de prorroga de los encargados y nombramientos provisionales</t>
  </si>
  <si>
    <t>Auditoria combinada Administración de la Información</t>
  </si>
  <si>
    <t xml:space="preserve">El proceso auditado no cuenta con una política actualizada de Administración de la Información que se ajuste a los requerimientos de gestión del mismo; situación que se evidencia en:
1. El subproceso Sistemas de Información requiere adelantar las gestiones pertinentes, tendientes a la actualización de su política marco, incluyendo la normatividad vigente en materia de TIC; así como la armonización de los roles y responsabilidades para su adecuada funcionalidad.
2. El subproceso Gestión documental adoptó una política que no cumple los parámetros establecidos en la normatividad vigente, especialmente los relativos a los componentes definidos en el Decreto 2609 de 2012 artículo 6.
3. La falta de formulación de una política unificada para el proceso, refleja la carencia de una visión sistémica sobre la administración de la información, en la que se debe armonizar tanto los subprocesos internos como los demás procesos que conforman el mapa institucional. (Ver numerales 1.1 y 1.2)
</t>
  </si>
  <si>
    <t>Los subprocesos de manera independiente han logrado una ejecución significativa de los productos formulados en la caracterización; no obstante, es necesario que se genere una sinergia en la gestión de las actividades, que tienda a dar cumplimiento armónico a los objetivos del proceso. Lo anterior, por cuanto existen prácticas y resultados mancomunados cuyo cumplimiento impacta la gestión de todos los procesos de la entidad así como de las demás partes interesadas; tal como sucede con el “modelo de requisitos para la gestión de archivos electrónicos” que no ha sido implementado.</t>
  </si>
  <si>
    <t>Algunos procedimientos y formatos implementados por el proceso requieren revisión y ajustes por cuanto se encuentran desactualizados, obsoletos e incluso, duplicados.(Ver numeral 4.2)</t>
  </si>
  <si>
    <t>Al cierre de la vigencia 2015, quedaron pendientes de ejecución algunas de las actividades propuestas en el plan de acción para la implementación de la estrategia GEL; situación que ha sido objeto de seguimiento por la Contraloría y la Veeduría distritales. (Ver numeral 4.3)</t>
  </si>
  <si>
    <t xml:space="preserve">Producto de la verificación efectuada por Control Interno al nivel de cumplimiento de las disposiciones contenidas en la Ley de Transparencia, con corte al 30 de noviembre del presente; se evidenció que aún se encuentran pendientes por implementar algunos de los requisitos de dicha norma, o los mismos se encuentran desactualizados o incompletos. (Ver numeral 5) </t>
  </si>
  <si>
    <t>Concluir la fase de pruebas de integración y los ajustes que se generen de la funcionalidad de giro integrado  de nómina y parafiscales en los módulos PERNO, OPGET y LIMAY de acuerdo con lo establecido en el procedimiento mantenimiento y desarrollo e software.</t>
  </si>
  <si>
    <t>Generar un instructivo que identifique las operaciones susceptibles de registro contable que se realizan tanto en forma integrada como manual para los módulos de SI CAPITAL</t>
  </si>
  <si>
    <t>Realizar autoevaluación semestral a  la implementación de la caracterización del proceso</t>
  </si>
  <si>
    <t>Realizar revisión trimestral a la organización de la carpeta de calidad del proceso.</t>
  </si>
  <si>
    <t>Si se requiere ajustar la herramienta y/o la caracterización del proceso de mejoramiento de barrios, la OAP se encargará de revisar, aprobar y oficializar la caracterización remitida por la DMB.</t>
  </si>
  <si>
    <t>Solicitar capacitación a la OAP en el diligenciamiento  y aplicación de las herramientas (Servicio no Conforme y Diseño y Desarrollo) con el fin de realizar un seguimiento más acorde a las necesidades de la dirección.</t>
  </si>
  <si>
    <t>10 a 10:30 a.m.</t>
  </si>
  <si>
    <t>Se reviso el archivo con las correcciones de la primera revisión, se reenvía con la observacion de mejorar el análisis de acusas, para poder formular mejor las acciones.</t>
  </si>
  <si>
    <t>31-07-2015
Se han enviado los correos a partir del mes de abril recordando las auditorias o los informes del mes.</t>
  </si>
  <si>
    <t>31-07-2015
Se tiene ya definido en el procedimiento pero se encuentra en proceso de aprobación y publicación.</t>
  </si>
  <si>
    <t xml:space="preserve">31-07-2015
Al formato se le han realizado ajuste pero se encuentra en revisión por el equipo auditor.
</t>
  </si>
  <si>
    <t>Capacitar  a servidores y contratistas sobre los conceptos básicos de PQR´S</t>
  </si>
  <si>
    <t>No se mejor el análisis de causas, se devulve archivo con observaciones la mayoría igual que la primera revisión.</t>
  </si>
  <si>
    <t>7:40 a 8:30 a.m.</t>
  </si>
  <si>
    <t>07:40 a.m. 8:20 a.m.</t>
  </si>
  <si>
    <t>Se explica las observaciones personalmente al enlace para su ajuste</t>
  </si>
  <si>
    <r>
      <rPr>
        <b/>
        <sz val="8"/>
        <color theme="1"/>
        <rFont val="Arial"/>
        <family val="2"/>
      </rPr>
      <t>30/01/2015</t>
    </r>
    <r>
      <rPr>
        <sz val="8"/>
        <color theme="1"/>
        <rFont val="Arial"/>
        <family val="2"/>
      </rPr>
      <t xml:space="preserve">
Se verifico que dentro de los estudios previos de los contratos 141 y 143 de 2015, correspondientes a los abogados de representación judicial y extrajudicial, se incluyo la obligación especial correspondiente a la actualización y diligenciamiento de la información en el SIPROJ de acuerdo con lo señalado en el art. 110 del Decreto 654 de 2011
13-06-2013 Se evidenció que dentro de las obligaciones especiales de los contratos 057, 096 y 044 de 2013, suscritos para la representación como apoderado y asesor judicial y extrajudicial… se incluyó "Hacer seguimiento diario de la información necesaria para alimentar la base de datos Siproj, garantizando que en ella se encuentren todos los procesos que se cursen en contra de la Entidad.
12-01-2016
Se incluyó dentro de las obligaciones especiales: en el numeral 15 “Hacer seguimiento diario de la información necesaria para alimentar la base de datos del SIPROJWEB (…)”; y de la misma manera en la obligación N° 16 que dice: “Inmediatamente se profiera una sentencia sea favorable o desfavorable el contratista deberá (…)”.  Por las razones expuestas, se solicita cerrar la acción. (Se adjunta archivo electrónico copia página 3, Ítem 2.4. OBLIGACIONES ESPECIALES, Sisco: 2015 -228, 37-f-04 V.5.)</t>
    </r>
  </si>
  <si>
    <r>
      <rPr>
        <b/>
        <sz val="8"/>
        <color theme="1"/>
        <rFont val="Arial"/>
        <family val="2"/>
      </rPr>
      <t xml:space="preserve">30-01-2015 </t>
    </r>
    <r>
      <rPr>
        <sz val="8"/>
        <color theme="1"/>
        <rFont val="Arial"/>
        <family val="2"/>
      </rPr>
      <t>De acuerdo a la última Auditoría realizada en el mes de Diciembre el sistema SIPROJWEB, se encuentra aún desactualizado.
13-06-2013 No se evidenciaron soportes que den cuenta de la actividad realizada por los contratistas para la fecha de corte. Y en los informes mensuales de los contratistas se observó que cada uno enuncia haber realizado la actualización en la pagina de SIPROJ, sin embargo lo hace de manera general y no detalla los procesos actualizados.
12-01-2016
La acción continúa abierta, por cuanto se siguen presentando procesos judiciales desactualizados en el SIPROJ, en especial en lo relacionado con los documentos en PDF.</t>
    </r>
  </si>
  <si>
    <t>12-01-2016
Se organizó el archivo judicial supeditado a esta acción, en unidades de almacenamiento (carpetas) conforme a las normas archivísticas, y previamente se incluyó en el inventario de los procesos judiciales. Se anexan los soportes en archivo electrónico que incluye copia Pdf de 34 folios del Formato Único de Inventario Documental FUID 208-SADM-Ft-02 V3 (13/10/2011) diligenciados con la intervención de  Gestión Documental. Se solicita cierre.</t>
  </si>
  <si>
    <t>Se da cierre por José Orjuela en seguimiento en enero de 2016, comprobando el cumplimiento</t>
  </si>
  <si>
    <t>12-01-2016
El último informe presentado fue en el mes de octubre de 2015, relacionado con el inventario de los procesos judiciales con el estado actual.  Se anexa soporte en archivo electrónico remitido por Álvaro Leonardo Garnica Guevara, Técnico Operativo de la Dirección Jurídica – Encargado del Archivo. Se solicita cierre.</t>
  </si>
  <si>
    <t>Se da cierre por José Orjuela en seguimiento en enero de 2016, comprobando el cumplimiento, y los soportes se dejan en carpeta de soportes del plan de mejoramiento</t>
  </si>
  <si>
    <t xml:space="preserve">12-01-2016
Se verificó que el archivo de gestión de la Dirección Jurídica, se encuentra custodiado con un mecanismo de seguridad bajo llave.  Por lo tanto, se solicita sea cerrada la acción. </t>
  </si>
  <si>
    <t>12-01-2016
Se hizo entrega de las cajas de los archivos muertos a gestión documental, área encargada de hacer la intervención en calidad de apoyo a la Dirección Jurídica; actividad que está en proceso. Una vez terminada esta labor se procederá a formalizar la transferencia, de conformidad con el cronograma de la vigencia 2016, aprobado por el Comité Interno de Archivo de la entidad. Por lo anterior, esta acción continúa abierta.</t>
  </si>
  <si>
    <t>12-01-2016
Se expidió constancia por parte del Secretario del Comité de Conciliación, de la no generación de reporte de indicadores.  Se anexa soporte. (Certificación suscrita el 08 de enero de 2016). Se solicita el cierre de esta acción.</t>
  </si>
  <si>
    <t>12-01-2016
Se expidió constancia por parte del Secretario del Comité de Conciliación, de la no generación de reporte de indicadores.  Se anexa soporte. Esta acción estableció incluir en el procedimiento de la conciliación el punto de control vinculado a la expedición de la constancia bimestral de no generación del reporte de indicadores. Revisado el PROCEDIMIENTO AUDIENCIAS DE CONCILIACIÓN Y DE PACTO DE CUMPLIMIENTO 208-DJ-Pr-05; se evidencia que no se  ha incluido el mencionado punto de control. Continúa Abierta.</t>
  </si>
  <si>
    <t>12-01-2016
Se realizó solo una capacitación en la vigencia 2015.  Por lo tanto, esta acción continúa abierta.</t>
  </si>
  <si>
    <t>12-01-2016
El formato 2018-DJ-Pr-06, no ha sido actualizado. Esta acción continúa abierta.</t>
  </si>
  <si>
    <t>12-01-2016
Se remitió inventario del archivo a gestión documental, para que con su intervención se lleve a cabo la foliación y digitalización de los documentos.  Se anexan soportes. Se solicita el cierre de esta acción.</t>
  </si>
  <si>
    <t>12-01-2016
Se asignó funcionario de planta encargado del archivo de jurídica. Esta acción establece la sensibilización al funcionario encargado, de lo cual no se presenta evidencia. Continúa abierta.</t>
  </si>
  <si>
    <t>12-01-2016
Los documentos de los procesos judiciales son digitalizados y subidos en el SIPROJWEB. EL SIPROJWEB es una “herramienta de trabajo para la consulta, análisis y actualización de información judicial relacionada con Bogotá.”. La Entidad cuenta con el aplicativo Zaffiro, que permite entre otros aspectos, la digitalización de la totalidad de los tipos documentales susceptibles de archivo. Esta acción continúa abierta.</t>
  </si>
  <si>
    <t>12/01/2016
El Director Jurídico de la CVP, realizó reunión con el fin de impartir las directrices para la distribución de los procesos a los abogados contratados, reparto que es realizado por el mismo Director. Se solicita el cierre de esta acción.</t>
  </si>
  <si>
    <t>12-01-2016
El Director Jurídico de la CVP, realizó reunión con el fin de impartir las directrices para la distribución de los procesos a los abogados contratados, reparto que es realizado por el mismo Director. Se solicita el cierre de esta acción.</t>
  </si>
  <si>
    <t>12-01-2016
Se contrató el personal necesario.</t>
  </si>
  <si>
    <t>12-01-2016
Se realizaron cinco (5) capacitaciones por parte de la Alcaldía Mayor, relacionadas con el SIPROJ, dirigida a los abogados que ejercen la representación judicial de la Entidad.  Se anexan los correos de solicitud e invitación a las capacitaciones, en archivo electrónico. Se solicita el cierre de esta acción.</t>
  </si>
  <si>
    <t xml:space="preserve">12-01-2016
Acción cerrada en el Plan de Mejoramiento de la Contraloría. Sin embargo, en revisión del 06 de enero de 2016, se evidenció en presencia de la contratista Maryoris Esther Carrilllo Esmeral, que se siguen presentando procesos judiciales desactualizados en el SIPROJ, en especial en lo relacionado con los documentos en PDF. Por lo anterior, la acción continúa abierta. </t>
  </si>
  <si>
    <t xml:space="preserve">12-01-2016
Se realizó sensibilización sobre actualización del SIPROJ, haciendo énfasis en la Circular del 6 de octubre de 2014.  Se anexan listados y correos electrónicos. Se solicita el cierre de esta acción. </t>
  </si>
  <si>
    <t>Garantizar que el procedimiento  este ajustado de acuerdo a las necesidades del programa, para tal fin, se revisara mensualmente frente a la normatividad y necesidades del programa.</t>
  </si>
  <si>
    <t>Ajustar las formulas de las herramientas que permita medir efectivamente los avances en cada una de las acciones</t>
  </si>
  <si>
    <t>Garantizar que en las tablas de retención documental se encuentre el registro de las actividades realizadas con la comunidad bajo la orientación de la Dirección de Gestión Corporativa y el Grupo de Gestión Documental y archivo, se solicitara reunión en el mes de febrero/16.</t>
  </si>
  <si>
    <t xml:space="preserve">Definir un criterio para el reporte y consulta de las familias reportadas por IDIGER
</t>
  </si>
  <si>
    <t>Definir dentro de la matriz del FUSS el estado que se encuentra en traslado final a su alternativa habitacional definitiva.</t>
  </si>
  <si>
    <t>Socializar el Check list definitivo y su uso con el equipo de la Dirección de Reasentamientos y evitar la dualidad en la documentación.</t>
  </si>
  <si>
    <t>07:52:00 a.m. a 9:11 a.m.</t>
  </si>
  <si>
    <t>Se revisa el plan de mejoramiento en borrador, se generan algunas recomendaciones frente a las acciones formuladas y a los indicadores, se deja como compromiso ajustar, revisar las fechas de cumplimiento de remitir a CI</t>
  </si>
  <si>
    <t>Debe coordinarse con las respectivas dependencias a cargo de la supervisión de los contratos, el correcto y completo diligenciamiento de las listas de chequeo. (ver contratos 560, 563, 564, 572, 579, 584, 590, 601, 604).
Este informe se reporto al cierre de la vigencia en forma preliminar, el informe final se radico en enero de 2016.</t>
  </si>
  <si>
    <t>Deben consignarse, a}demás de la firma, el nombre y el apellido de quien aprueba las pólizas (ver contratos 560, 563, 564, 572, 579, 584, 590, 601, 604).
Este informe se reporto al cierre de la vigencia en forma preliminar, el informe final se radico en enero de 2016.</t>
  </si>
  <si>
    <t>Debe coordinarse con las respectivas dependencias a cargo de los contratos, la incorporación oportuna de los documentos a los expedientes, tanto de la etapa precontractual como de la etapa de ejecución. (ver contratos 560, 563, 564, 572, 579, 584, 590, 601, 604).
Este informe se reporto al cierre de la vigencia en forma preliminar, el informe final se radico en enero de 2016.</t>
  </si>
  <si>
    <t>Debe incorporarse a la carpeta de calidad la última actualización del manual de funciones, puesto que figura la del 31 de julio de 2014.</t>
  </si>
  <si>
    <t>Solicitar un concepto al DASCD, sobre la validez del documento presentado por el funcionario para efectos de certificar el cumplimiento de requisitos respecto a la educación formal (especialización) solicitada en convocatoria</t>
  </si>
  <si>
    <t>Se debe revisar y ajustar la caracterización del proceso, con atención a:
• El objetivo del proceso ajustado a la normatividad.
• La trazabilidad de los documentos.
• Los productos que genera el proceso y el cliente externo o interno.</t>
  </si>
  <si>
    <t>Adqusición de Bienes y Servicios, decreto 371 de 2010, contratación</t>
  </si>
  <si>
    <t xml:space="preserve"> Bienes y Servicios, decreto 371 de 2010, contratación</t>
  </si>
  <si>
    <t>Nota:  A partir del 2015 se toma la decisión de separar nuevamente el plan de mejoramiento con entes externos, para facilitar el manejo de las estadísticas y el seguimiento.</t>
  </si>
  <si>
    <t>19 de diciembre de 2014:
Se solicitó la información vía correo electrónico a los enlaces de cada proceso misional, a fin de consolidar el seguimiento de esta acción correctiva. 
Al respecto se recibió vía e-mail respuesta por parte de los procesos de Mejoramiento de Barrios y Mejoramiento de Vivienda.
El reporte se hace citando las fechas de los oficios y / o actas, y el objetivo de las mismas.
Es decir ya se cuenta con información de acciones por parte de dos de los cuatro misionales lo que se interpreta como un avance del 50%.
Se espera que una vez se cuente con la información consolidada de los procesos de Urbanizaciones y Titulación y Reasentamientos se pueda dar cierre a la acción</t>
  </si>
  <si>
    <t xml:space="preserve">19 de diciembre de 2014:
A la fecha se lleva un porcentaje de avance del 79% en la reformulación de los proyectos de inversión en los cuales se han  venido incorporando las metas intermedias.
Sin embargo, no se cuenta con el 100% de la acción debido a que se ha trabajando en conjunto con cada uno de los proyectos con el fin de ajustar las reformulaciones de acuerdo a lo definido en la Alta Dirección.
Por lo anterior y teniendo en cuenta que estos lineamientos fueron definidos el 19 de mayo de 2014 en el Comité Directivo, se solicita respetuosamente a la Oficina de control Interno modificar la fecha de cumplimiento de la acción para el 31 de enero de 2015. </t>
  </si>
  <si>
    <t>Decepcionar el recibo de pago de arriendo, firmado por el arrendador</t>
  </si>
  <si>
    <t>11 de septiembre de 2015:
Con respecto a  la cuenta 2453 se concluyó la depuración de las cuentas : Los comuneros y Proyecto Miravalle.
Actualmente se encuentran en proceso de análisis para la respectiva depuración : Subsidio de Vivienda, Arborizadora Alta, Proyecto la Esperanza, Nueva Roma Oriental y la cuenta 1510 - Inventarios - Mercancías en Administración-Terceros.
Los avances están documentados en las actas de seguimiento a la depuración contable.
Se solicita ampliar fecha de terminación a 31 de diciembre de 2015.</t>
  </si>
  <si>
    <t>Formular Plan de mejoramiento, según las evidencias durante el proceso de: Toma de inventarios, recibo e ingreso de pedidos de bienes al almacén, entrega de inventarios devolutivos a contratistas o personal de planta, recibo de bienes a contratistas o personal de planta por cesación de vinculo laboral o contractual con la CVP y traslados.</t>
  </si>
  <si>
    <t>4 de septiembre de 2015:
Durante la toma de inventario que se realizó en el periodo comprendido entre el 18 noviembre y 19 de diciembre de 2014 desde mayo 20 de 2015 al 23 de junio de 2015, no se evidenciaron inconsistencias frente a los elementos devolutivos, por lo tanto no hace necesario formular plan de mejoramiento. No se cierra porque se va a evaluar en auditoria de septiembre de 2015.
CI evidencia que si existen mejoras que se pueden aplicar al proceso se cambia de fecha para medirlo con el inventario a 31 de diciembre de 2015.</t>
  </si>
  <si>
    <t xml:space="preserve">19 de diciembre de 2014:
La oficina Asesora de Planeación y el Equipo Operativo del Comité de Ética formuló el documento Plan de Acción.
El mismo se encuentra pendiente de aprobación por parte del Comité de Ética, por lo cual se estima n avance del 60% en la acción.
Por lo anterior se solicita respetuosamente a la Oficina de control Interno modificar la fecha de cumplimiento de la acción para el 31 de enero de 2015, a fin de que el comité se reúna y apruebe el plan de acción. </t>
  </si>
  <si>
    <t>2 de Febrero de 2015:
Seguimiento registrado en acción anterior, adicional: dado que a la fecha, los RAEES que se han identificado se tienen previstos para su entrega al programa Computadores para educar, de momento no se han identificado RAEES restantes y no recuperables que requieran ser entregados a entidades con licencia ambiental para su disposición final.
Se deja abierto hasta tanto no se realice la entrega y se confirme que no hay elementos para dar disposición final.
Se solicita cambio de fecha a 31 de diciembre de 2015, sujeta al cumplimiento de la anterior acción.
4 de Septiembre de 2015: 
Se está adelantando una gestión con ECOCOMPUTO, con el fin de realizar la entrega ambientalmente segura de los RAESS, para dar continuidad con el proceso de entrega, se encuentra pendiente la calibración de la báscula para realizar el pesaje de los elementos la cual depende de asignación presupuestal que se encuentra en gestión</t>
  </si>
  <si>
    <t>05/01/2015 
Se informa que es necesario replantear la acción de mejoramiento involucrando los responsables de la implementación de la acción y se identifiquen las necesidades(en términos de contratación de profesionales en ingeniería eléctrico electrónica y que la información generada del contrato sea de consulta permanente.) 
2 de febrero de 2015:
Al respecto la Oficina Asesora e Planeación aclara que si  se han adelantado  seguimientos a los consumos institucionales de energía, lo cual se ha documentado en formatos suministrados por la Secretaría Distrital de Ambiente.
No obstante lo anterior La acción propuesta de revisión del procedimiento todavía es necesaria, por lo cual se solicita ampliar la fecha de cumplimiento a 31 de marzo de 2015.</t>
  </si>
  <si>
    <t>2 de febrero de 2015:
En comité directivo del 2 de abril de 2014 se realizó la socialización del Plan Institucional de Gestión Ambiental PIGA a los Directivos.
Así mismo se incluyó este tema en las jornadas de capacitación de Re inducción adelantadas en los meses de agosto y septiembre para todos los funcionarios de la CVP.
Se solicita ampliación de fecha para analizar y dar cumplimiento a la acción No. 1.</t>
  </si>
  <si>
    <t>05/01/2015 
Se solicita replantear la fecha de finalización de la acción dado que situaciones administrativos en el distrito asociadas al cambio de entidades responsables. El plan de acción se crearía en el primer trimestre de 2015
2 de febrero de 2015:
Se revisó el estado de la no conformidad planteada y de la acción correctiva formulada.
Al respecto se advierte que por cambios normativos que se han dado a raíz de la restructuración que se produjo en el antiguo FOPAE hoy IDIGER, se requiere hacer una actualización al PIRE de la Entidad.
Se solicita respetuosamente ampliar la fecha:
Actualización del PIRE de la CVP para el primer trimestre de 2015 (31 de marzo)
Formular el plan de acción del PIRE para el primer trimestre de 2015 (31 de marzo).</t>
  </si>
  <si>
    <t xml:space="preserve">2 de febrero de 2015:
Al respecto se advierte que por cambios normativos que se han dado a raíz de la restructuración que se produjo en el antiguo FOPAE hoy IDIGER, se requiere hacer una actualización al PIRE de la Entidad.
Se solicita respetuosamente ampliar la fecha a 31 de junio 2015
</t>
  </si>
  <si>
    <t xml:space="preserve">3. Líder del proceso de Mejoramiento de Vivienda.
</t>
  </si>
  <si>
    <r>
      <rPr>
        <b/>
        <sz val="10"/>
        <color theme="1"/>
        <rFont val="Arial"/>
        <family val="2"/>
      </rPr>
      <t>15 -01-2015</t>
    </r>
    <r>
      <rPr>
        <sz val="10"/>
        <color theme="1"/>
        <rFont val="Arial"/>
        <family val="2"/>
      </rPr>
      <t xml:space="preserve">
El manual se ha ido actualizando  de acuerdo a los cambios normativos sin embargo se modifico la acción de acuerdo a la nueva resolución de honorarios para la vigencia 2015 y se replanteo  la fecha de finalización de la acción 
03-09-2014
No se ha actualizado con respecto a la resolución.
</t>
    </r>
  </si>
  <si>
    <r>
      <rPr>
        <b/>
        <sz val="10"/>
        <color theme="1"/>
        <rFont val="Arial"/>
        <family val="2"/>
      </rPr>
      <t>15-01-2015</t>
    </r>
    <r>
      <rPr>
        <sz val="10"/>
        <color theme="1"/>
        <rFont val="Arial"/>
        <family val="2"/>
      </rPr>
      <t xml:space="preserve">
No se tiene evidencia del traslado de esta acción  a los otros responsables de su cumplimiento.</t>
    </r>
  </si>
  <si>
    <r>
      <rPr>
        <b/>
        <sz val="10"/>
        <color theme="1"/>
        <rFont val="Arial"/>
        <family val="2"/>
      </rPr>
      <t>02/01/2015</t>
    </r>
    <r>
      <rPr>
        <sz val="10"/>
        <color theme="1"/>
        <rFont val="Arial"/>
        <family val="2"/>
      </rPr>
      <t xml:space="preserve">
La acción propuesta se cumplió por cuanto en el Manual de Contratación y Supervisión se desarrollo en el capitulo VII, todo lo concerniente a la Supervisión e Interventoría en los contratos, y se establecen los criterios mínimos para la delegación de los contratos.</t>
    </r>
  </si>
  <si>
    <t xml:space="preserve">15-01-2015
La Dirección Jurídica no ha diseño indicadores que permitan verificar el cumplimiento de la gestión
03-09-2014
Esta actividad sigue abierta , ya que la Dirección Jurídica no ha diseñado indicadores de gestión , y estando sujetos al Ajuste Institucional.
</t>
  </si>
  <si>
    <t>La acción se cumplió, pero se  verificará en la auditoría de esta vigencia  la efectividad de la  acción, para darle el respectivo cierre
Se da cierre por José Orjuela en seguimiento en enero de 2016</t>
  </si>
  <si>
    <r>
      <rPr>
        <b/>
        <sz val="8"/>
        <color theme="1"/>
        <rFont val="Arial"/>
        <family val="2"/>
      </rPr>
      <t>30/01/2015</t>
    </r>
    <r>
      <rPr>
        <sz val="8"/>
        <color theme="1"/>
        <rFont val="Arial"/>
        <family val="2"/>
      </rPr>
      <t xml:space="preserve">
Se socializa la obligación de la actualización del SIPROJ, a los apoderados de acuerdo con los estudios previos en sus obligaciones especiales.
Así mismo el 19/09/2014 con el código 208-DJ-Pr-08 se incorporo en calidad el procedimiento correspondiente al seguimiento de los procesos judiciales.
13-06-2013 No presenta ningún avance.
12-01-2016
Se anexa correo dirigido a los abogados que realizan la representación judicial de la Entidad, en el cual se hace referencia a los Lineamientos para la buena Gestión de la representación judicial de la CVP, contenidos en la Circular del 6 de octubre de 2014. (Se adjunta archivo electrónico copia Pdf correos y registro de reunión 11/02/2015). .  Por lo anterior, se solicita el cierre de esta acción.</t>
    </r>
  </si>
  <si>
    <t>La acción se cumplió, pero se  verificará en la auditoría de esta vigencia  la efectividad de la  acción, para darle el respectivo cierre.
Se da cierre por José Orjuela en seguimiento en enero de 2016</t>
  </si>
  <si>
    <t>21-08-2014: Se tiene planteado un cronograma de actividades del SI CAPITAL, se describen actividades tendientes a la integrabilidad del sistema, algunas actividades se terminan en diciembre de 2014, se debe realizar seguimiento para verificar el cumplimiento.</t>
  </si>
  <si>
    <t>19-diciembre-2015
El plan estratégico de la Entidad se consolidó y socializó enmarcándolo en el PDD Bogotá Humana, mediante la publicación en la Carpeta de Calidad, en la Intranet, y en la página web (actualización 21 de noviembre).
Se implementó el documento Estrategia de rendición de cuentas el cual se encuentra socializado en la Carpeta de Calidad desde el 24 de septiembre. 
Cabe aclarar que los lineamientos de rendición de cuentas no hacen parte de la Planeación Estratégica,. Por lo cual se solicita la modificación de la Acción correctiva propuesta separándola en dos acciones así.
- Consolidar y socializar el Plan estratégico de la CVP enmarcado en el Plan de Desarrollo Bogotá Positiva, 
- Formular y oficializar la Estrategia de Rendición de Cuentas de la Entidad.</t>
  </si>
  <si>
    <r>
      <t xml:space="preserve">01/05/2015 
Solicitan redefinir fecha de finalización en la acción. Se está construyendo o un documento en el cual se generen las políticas para la administración de la información. </t>
    </r>
    <r>
      <rPr>
        <b/>
        <sz val="10"/>
        <color theme="1"/>
        <rFont val="Arial"/>
        <family val="2"/>
      </rPr>
      <t xml:space="preserve">PENDIENTE FECHA DE TERMINACIÓN
Noviembre 12 de 2015:
</t>
    </r>
    <r>
      <rPr>
        <sz val="10"/>
        <color theme="1"/>
        <rFont val="Arial"/>
        <family val="2"/>
      </rPr>
      <t>Se logró elaborar la Política Marco de la Seguridad de la Información. Se documentaron nueve procedimientos dentro de los cuales se establecieron políticas para se ejecución. En aprobación.</t>
    </r>
    <r>
      <rPr>
        <b/>
        <sz val="10"/>
        <color theme="1"/>
        <rFont val="Arial"/>
        <family val="2"/>
      </rPr>
      <t xml:space="preserve">
</t>
    </r>
  </si>
  <si>
    <t>Noviembre 12 de 2015:
Se documentaron nueve procedimientos dentro de los cuales se establecieron políticas para se ejecución. Con base en dichos procedimientos, se generó el documento en el cual se consolidan las políticas de seguridad de la entidad,  y el  cual se remitió a la OAP para revisión.  En proceso la implementación de los procedimientos.
Soportes de los procedimientos en  la carpeta N° 10 de la carpeta calidad.</t>
  </si>
  <si>
    <r>
      <rPr>
        <b/>
        <sz val="10"/>
        <color theme="1"/>
        <rFont val="Arial"/>
        <family val="2"/>
      </rPr>
      <t>30/01/2015</t>
    </r>
    <r>
      <rPr>
        <sz val="10"/>
        <color theme="1"/>
        <rFont val="Arial"/>
        <family val="2"/>
      </rPr>
      <t xml:space="preserve">
El 19/09/2014 con el código 208-DJ-Pr-08 se incorporo en calidad el procedimiento correspondiente al seguimiento de los procesos judiciales; la acción se cumplió </t>
    </r>
  </si>
  <si>
    <t>La acción se cumplió, pero se  verificará en la auditoría de esta vigencia  la efectividad de la  acción, para darle el respectivo cierre</t>
  </si>
  <si>
    <t>10-08-2015
Seguimiento del área realizado el julio de 2015: se realizó la formulación y reformulación  de los instrumentos de seguimientos a la gestión en los nuevos formatos proveídos por la Oficina Asesora de Planeación. Se utilizó la metodología de despliegue  de la estrategia planteada en los acuerdos de gestión de los gerentes públicos  de la Dirección de Gestión Corporativa y CID a los demás instrumentos de gestión en lo referente a la formulación de acciones asociadas a cada una de ellas (formato, único de seguimiento sectorial -FUSS y formato POA asociado, plan de acción ,  matriz de riesgos,  matriz de riesgos de corrupción). Con lo anterior se logró dar coherencia y uniformidad tanto a la mayoría de acciones planteadas como al registro de su seguimiento. No obstante, se aclara que existen acciones, específicamente ,las definidas en el rezago  que no están interrelacionadas entre instrumentos dado que estas se formularon durante la vigencia 2014 y con el método anterior. Igualmente , se debe considerar que existe una particularidad y propósito específico en la formulación de acciones para cada instrumento  que en conjunto con el método utilizado para la vigencia y el gap temporal en la formulación de cada instrumento, ocasionó que existan algunas actividades expresadas únicamente en un instrumento sin que necesariamente implique que no se esté utilizando el método definido para el despliegue.. (Ver los instrumentos  publicados en la carpeta calidad)
4 de septiembre de 2015: Se cambia responsable de acción atendiendo el cambio de líder de proceso sería la Dirección corporativa.</t>
  </si>
  <si>
    <t>4 de septiembre de 2015: Se cambia responsable de acción atendiendo el cambio de líder de proceso sería la Dirección corporativa.</t>
  </si>
  <si>
    <t>8-enero-2015
Se tiene concepto firmado por Juan Manuel Russy Escobar donde se indica que es viable aplicar las equivalencias establecidas en el Decreto 785 de 2005 para el reconocimiento de la prima técnica, esta pendiente el concepto del Departamento Administrativo del Servicio Civil Distrital como lo indica la acción o la confirmación del líder del procedimiento se será pedido o no para evaluar el cierre de la acción.
4 de septiembre de 2015:
Respecto a la respuesta emitida por el  DASCD con fecha 18 de febrero de 2015 se elevó la solicitud de una nueva revisión del tema.</t>
  </si>
  <si>
    <t>4 de septiembre de 2015: 
En espera del tercer concepto solicitado al DASCD, se solicita reprogramar fecha de finalización 31-12-2015</t>
  </si>
  <si>
    <r>
      <t xml:space="preserve">6 de mayo de 2015: </t>
    </r>
    <r>
      <rPr>
        <sz val="10"/>
        <color rgb="FFFF0000"/>
        <rFont val="Arial"/>
        <family val="2"/>
      </rPr>
      <t xml:space="preserve">PENDIENTE VERIFICAR ESTE SEGUIMIENTO PARA CIERRE. 
</t>
    </r>
    <r>
      <rPr>
        <sz val="10"/>
        <rFont val="Arial"/>
        <family val="2"/>
      </rPr>
      <t xml:space="preserve">La Oficina Asesora de Comunicaciones remitió una comunicación interna a las Direcciones, Subdirecciones y Jefes de Oficina para solicitar la base de datos digital actualizada de la información de cada uno de los funcionarios.  Se realizó la actualización del Directorio de la página web y portal intranet con esta información. 
En febrero 16 de 2015 (2015IE673), se remitió otra comunicación interna con los mismos destinatarios solicitando esta información. Se realizó la actualización de acuerdo con la  información que fue entregada. Se tiene programado una nueva actualización utilizando la base de datos que se pertenece a la plataforma Google Apps.
</t>
    </r>
  </si>
  <si>
    <t>Implementar un control para el saldo disponible en efectivo de la caja menor mediante un archivo de Excel.</t>
  </si>
  <si>
    <t>4 de Septiembre de 2015 
EL RESPONSABLE de caja menor se encuentra realizando el control en un archivo de Excel pero encontró el inconveniente de que no se guardaban los cambios, el responsable de caja menor por autocontrol realiza semanalmente (los viernes )revisión al saldo verificando el monto en el banco, efectivo disponible, comprobantes de pago y solicitudes de caja menor, y verifica que las cantidades de los rubros no superen los montos asignados para cada uno. se encuentra en la creación de un formato para realizar el registro de la enunciada actividad.</t>
  </si>
  <si>
    <t>4 de Septiembre de 2015: El responsable de caja menor se acogió al establecido en el procedimiento y garantiza que todos los recibos se encuentren firmados de manera adecuada.</t>
  </si>
  <si>
    <t>4 de Septiembre de  2015: El ingeniero Oscar Gallo realizó la gestión ante la Secretaria Distrital de Hacienda para la implementación del aplicativo de caja menor de SI CAPITAL dicho aplicativo ya fue instalado, con su respectiva estructura de datos. Para iniciar la implementación del módulo se requiere la personalización del mismo en concordancia con la necesidades de la entidad.</t>
  </si>
  <si>
    <t>4 de  Septiembre de 2015:El responsable caja menor maneja una carpeta que denominó caja menor 2015 en la cual adjunta los documentos correspondientes a ctos administrativos y documentos generados desde el área financiera. Respecto a los recibos provisionales se custodian en una carpeta mientras tienen valor (antes de la entrega de las facturas correspondientes son entregadas) una vez se cuenta la  factura se realiza una relación y se solicita el reembolso a financiera.</t>
  </si>
  <si>
    <t>Los documentos que se presentan en el listado maestro de documentos no corresponden en versión o en algunos casos no están publicadas en la carpeta de calidad. Casos como:
- Listado Maestro de Documentos reporta como formato el V2, pero el que se encuentra publicado y donde se adelanta el registro corresponde a la V4
- El formato de oficio con código 208-SADM-Ft-59 publicado en este registro cuenta con versión 7, pero se encontró una comunicación de la Oficina Asesora de Planeación con el registro en versión V5.
- Las TRD, según el Listado Maestro de Documentos: “TABLA DE RETENCIÓN DOCUMENTAL” código 208-SADM-Ft-07 V5, de 26 Marzo 2014, y creada desde 8/09/2010, no presenta registros del proceso “Administración de la Información y las formalizadas el 30 de septiembre de 2013 están registradas en el formato.
- Plan de contratación con  código 208-PLA-Ft-11 V5. Se encuentra registros en la carpeta de publicación \\serv-cv2\I\Oficial\Plan de Contratación\Plan de Contratación 2014, pero existe un formato V6.  
- Las diversas caracterizaciones de los doce procesos presentados en la carpeta no se registran en una sola versión, ya que algunas presentan estructura distinta y la del proceso de mejoramiento de vivienda esta publicada con un código 208-MV-Cr-01 Mejoramiento Vivienda y dentro del archivo se reporta como Código: 208-PLA-Ft-19, Versión:2, Vigencia desde:24/09/2014, que no corresponde al documento registrado en el listado Maestro que se reporta como 208-MV-Cr-01, versión 3 con fecha actualización 25/10/2011. Este formato de caracterización se reporta dentro del listado maestro de como Versión: 2, fecha 17/09/2014 y no se encuentra publicado dentro de la carpeta de calidad. PROCESO DE GESTIÓN ESTRATÉGICA</t>
  </si>
  <si>
    <r>
      <t xml:space="preserve">27-Noviembre-2015
Se validó: 
En el documento \\serv-cv11\calidad\Listado Maestro de documentos que se encuentra en el renglón 273 y aparece la versión 4 que es la que está vigente actualmente.
En el documento \\serv-cv11\calidad\Listado Maestro de documentos , donde el formato oficio aparece la versión 9 que es la que está vigente actualmente, y adicionalmente se validó en la carpeta plantillas que el documento publicado está en la versión 9.
En el documento \\serv-cv11\calidad\Listado Maestro de documentos , donde el formato oficio aparece la versión 5  que es la que está vigente actualmente, y adicionalmente se validó en la carpeta  tablas de retención documental 2014 que el documento publicado está en la versión 5.
Se actualizaron las doce caracterizaciones y se aprobó una caracterización de proceso de Servicio al ciudadano, las cuales se encuentran en el formato vigente de Caracterización de Proceso.
En el marco de las acciones de preparación para la auditoría de Calidad de 2015, se revisó el Listado Maestro de documentos y se consolidó la carpeta con la estructura documental vigente de la Entidad.
En el listado maestro de documentos y en la carpeta de calidad se encuentra vigente la versión 6 del formato, con vigencia 20 de noviembre de 2014.
Se enviará comunicación a los funcionarios usuarios de dicho formato para que revisen el uso de la versión del formato que se encuentra aprobada en Calidad.
</t>
    </r>
    <r>
      <rPr>
        <b/>
        <sz val="8"/>
        <color theme="1"/>
        <rFont val="Arial"/>
        <family val="2"/>
      </rPr>
      <t>Control Interno verificó las correcciones que se indican en el seguimiento la acción queda abierta hasta que se envíe el comunicado que se indica en el último párrafo.</t>
    </r>
  </si>
  <si>
    <t xml:space="preserve">Los documentos que se presentan en el listado maestro de documentos no corresponden en versión o en algunos casos no están publicadas en la carpeta de calidad. Casos como:
- Listado Maestro de Documentos reporta como formato el V2, pero el que se encuentra publicado y donde se adelanta el registro corresponde a la V4
- El formato de oficio con código 208-SADM-Ft-59 publicado en este registro cuenta con versión 7, pero se encontró una comunicación de la Oficina Asesora de Planeación con el registro en versión V5.
- Las TRD, según el Listado Maestro de Documentos: “TABLA DE RETENCIÓN DOCUMENTAL” código 208-SADM-Ft-07 V5, de 26 Marzo 2014, y creada desde 8/09/2010, no presenta registros del proceso “Administración de la Información y las formalizadas el 30 de septiembre de 2013 están registradas en el formato.
- Plan de contratación con  código 208-PLA-Ft-11 V5. Se encuentra registros en la carpeta de publicación \\serv-cv2\I\Oficial\Plan de Contratación\Plan de Contratación 2014, pero existe un formato V6.  
- Las diversas caracterizaciones de los doce procesos presentados en la carpeta no se registran en una sola versión, ya que algunas presentan estructura distinta y la del proceso de mejoramiento de vivienda esta publicada con un código 208-MV-Cr-01 Mejoramiento Vivienda y dentro del archivo se reporta como Código: 208-PLA-Ft-19, Versión:2, Vigencia desde:24/09/2014, que no corresponde al documento registrado en el listado Maestro que se reporta como 208-MV-Cr-01, versión 3 con fecha actualización 25/10/2011. Este formato de caracterización se reporta dentro del listado maestro de como Versión: 2, fecha 17/09/2014 y no se encuentra publicado dentro de la carpeta de calidad. PROCESO DE GESTIÓN ESTRATÉGICA
</t>
  </si>
  <si>
    <t>27-Noviembre-2015
En la versión 6 del procedimiento con vigencia 23/04/2015, se incluyo en el punto 6 del procedimiento la actualización del código y vigencia de los documentos dentro del listado maestro de documentos. Se solicita el cierre de la acción propuesta.
Control Interno verifica el paso en el procedimiento pero se deja abierta la acción para que en próxima auditoria se confirme su efectividad.</t>
  </si>
  <si>
    <r>
      <t xml:space="preserve">27 de noviembre de 2015
La Subdirección Administrativa remitió las últimas TRD aprobada en comité de gestión documental. Estas ya fueron ingresadas a la carpeta de calidad.
Validar  \\serv-cv2\calidad\10. PROCESO ADMINISTRACIÓN DE LA INFORMACIÓN\TABLAS RETENCIÓN DOCUMENTAL\VIGENCIA 2014.
Las tablas de retención documental ya fueron convalidadas por el Archivo Distrital, de lo cual ya se ha dado amplia difusión y socialización por parte de la OAC a todos los funcionarios.
Por lo anterior, se solicita a Control Interno dar cierre a la no conformidad.
</t>
    </r>
    <r>
      <rPr>
        <b/>
        <sz val="8"/>
        <color theme="1"/>
        <rFont val="Arial"/>
        <family val="2"/>
      </rPr>
      <t>Control Interno: A pesar que se cumplieron las acciones el hallazgo sigue igual, se debe dar línea para que las TRD estén de acuerdo con los procedimientos.</t>
    </r>
  </si>
  <si>
    <t>Noviembre 12 de 2015:
Los manuales se encuentran almacenados  en el servidor del Sistema y publicados en la ayuda en línea Sistema@ SI C@pital. (ver http://serv-cv2:7778/documentacion/manuales.html)
Se envía a planeación comunicado el 30-12-2015 para que se suba la información a calidad</t>
  </si>
  <si>
    <t>Noviembre 12 de 2015:
Los manuales se encuentran almacenados  en el servidor del Sistema y publicados en la ayuda en línea Sistema@ SI C@pital. (ver http://serv-cv2:7778/documentacion/manuales.html)
Diciembre 31 de 2015:
Se enviará a la OAP una solicitud de publicación de los manuales de los módulos de Si Capital, para consulta de los usuarios y registro actualizado de la documentación.</t>
  </si>
  <si>
    <t>Actualizar y aprobar la política de administración de la información en el capítulo de manejo y control de manuales de usuario.</t>
  </si>
  <si>
    <t>Noviembre 12 de 2015:
Se logró elaborar la Política Marco de la Seguridad de la Información. Igualmente se documentó el procedimiento de desarrollo y mantenimiento de software dentro del cual se definió una política y una actividad referente a la documentación de cambios a través de la generación o ajuste a un manual de usuario. Con base en dichos procedimientos, se generó el documento en el cual se consolidan las políticas de seguridad de la entidad,  y el  cual se remitió a la OAP para revisión. Soportes de los procedimientos en  la carpeta N° 10 de la carpeta calidad.. Se solicita cierre de la acción
Control Interno: Se mantiene abierta hasta que se apruebe el documento.
Diciembre 31 de 2015:
La Política ya se estructuró y la está revisando planeación se considerara la necesidad de incluir un capitulo sobre el manejo y control de los manuales o se procederá a cambiar esta acción.</t>
  </si>
  <si>
    <t xml:space="preserve">Noviembre 12 de 2015:
6. Los manuales se encuentran almacenados  en el servidor del Sistema y publicados en la ayuda en línea Sistema@ SI C@pital. (ver http://serv-cv2:7778/documentacion/manuales.html). Se solicitó a la OAP la publicación en la carpeta de calidad, comunicado del 31de diciembre de 2015. </t>
  </si>
  <si>
    <r>
      <t>6 de mayo de 2015:</t>
    </r>
    <r>
      <rPr>
        <sz val="8"/>
        <color rgb="FFFF0000"/>
        <rFont val="Arial"/>
        <family val="2"/>
      </rPr>
      <t xml:space="preserve">
</t>
    </r>
    <r>
      <rPr>
        <sz val="8"/>
        <rFont val="Arial"/>
        <family val="2"/>
      </rPr>
      <t>Con base en el documento borrador de las políticas, se ha realizado un benchmarking de las políticas  más relevantes en otras organizaciones con el propósito de robustecer el documento. Para el Componente de Seguridad de Información se definió el  portafolios de servicios  de TI con el objetivo de enmarcar la aplicación de las políticas  (niveles de servicio) .Se validó por todo el quipo de trabajo del área de sistemas junto con la Profesional de la Oficina Asesora de Planeación de la matriz de Servicios y  Acuerdos de Niveles de Servicios.
Noviembre de 2015: Se logró elaborar la Política Marco de la Seguridad de la Información. Igualmente se documentaron nueve procedimientos dentro de los cuales se establecieron políticas para su ejecución. Con base en dichos procedimientos, se generó el documento en el cual se consolidan las políticas de seguridad de la entidad,  y el  cual se remitió a la OAP para revisión. Soportes de los procedimientos en  la carpeta N° 10 de la carpeta calidad.</t>
    </r>
  </si>
  <si>
    <t>Prevención de Daño antijurídico y representación judicial</t>
  </si>
  <si>
    <t>En lo relacionado con la actividad de sensibilización sobre la importancia de prevenir el daño antijurídico, mediante jornadas que la Dirección Jurídica debe realizar; no se encontró evidencia de su ejecución. (numeral 3.3.1. de las Políticas)
Frente a si existen estrategias de capacitación en la cuales se haga especial énfasis en: a) la identificación y manejo del riesgo de pérdida o destrucción de elementos y/o documentos, y b) la aplicación de los manuales de procesos y procedimientos relacionados con la garantía del eficiente y oportuno trámite documental y también de su efectiva salvaguarda. No se encontró evidencia de la existencia de las mencionadas estrategias de capacitación vinculadas a la Dirección Jurídica</t>
  </si>
  <si>
    <t>Una vez se cuenta con el archivo debidamente organizado, se solicitará el apoyo del área de gestión documental para su foliación y digitalización de los documentos correspondientes.</t>
  </si>
  <si>
    <t>Establecer como actividad continua la digitalización del archivo de jurídica que se va generando diariamente. Actividad que se formalizará mediante comunicación escrita dirigida al responsable.</t>
  </si>
  <si>
    <t>Solicitar capacitación a la Alcaldía para SIPROJ al personal contratado</t>
  </si>
  <si>
    <t>Definir un punto de control en cabeza de un funcionario de planta para el seguimiento del SIPROJ, quien verificara y rendirá informe al Director Jurídico mensualmente. Registros que deben quedar en acta.</t>
  </si>
  <si>
    <t>Ajustar procedimiento de supervisión incluyendo este punto de control.</t>
  </si>
  <si>
    <t>Ajustar procedimiento de supervisión incluyendo un instrumento que me permita medir la gestión realizada a los procesos. (Se une con la acción anterior para el seguimiento de la gestión).</t>
  </si>
  <si>
    <t>01/12/2015
Se esta consolidando la información correspondiente a los procesos de autoevaluación con el fin  de elaborar el plan de mejoramiento pertinente, el plan de mejoramiento 2014 se elaboro en el 2015.
CI: Se deja abierto para verificar en auditorias del 2016, porque en las del 2015 sigue el hallazgo, esto se refiere a planes de mejoramiento por autocontrol.</t>
  </si>
  <si>
    <r>
      <rPr>
        <b/>
        <sz val="10"/>
        <color theme="1"/>
        <rFont val="Arial"/>
        <family val="2"/>
      </rPr>
      <t>08-04-2015</t>
    </r>
    <r>
      <rPr>
        <sz val="10"/>
        <color theme="1"/>
        <rFont val="Arial"/>
        <family val="2"/>
      </rPr>
      <t xml:space="preserve">
No se ha llevado a cabo  la tabulación debido a que no ha finalizado obra,  se revisara para la próxima auditoria, de igual forma la fecha para el cumplimiento de esta acción se encuentra vigente.
28-12-2015
Se realizó el análisis y se generó el informe correspondiente a las encuestas aplicadas para los contratos de obra 506 de 2013, 507 de 2013, 584 de 2013 y 587 de 2013, se encuentra en revisión y observaciones generadas para aprobación por parte de la Dirección. Se solicita cambio en la fecha de terminación de la acción para 29/01/2016
Ubicación: \\serv-cv11\mejoramiento de barrios\ENCUESTAS DE SATISFACCIÓN</t>
    </r>
  </si>
  <si>
    <r>
      <rPr>
        <b/>
        <sz val="10"/>
        <color theme="1"/>
        <rFont val="Arial"/>
        <family val="2"/>
      </rPr>
      <t>08-04-2015</t>
    </r>
    <r>
      <rPr>
        <sz val="10"/>
        <color theme="1"/>
        <rFont val="Arial"/>
        <family val="2"/>
      </rPr>
      <t xml:space="preserve">
No se ha llevado a cabo  la tabulación debido a que no ha finalizado obra,  se revisara para la próxima auditoria, de igual forma la fecha para el cumplimiento de esta acción se encuentra vigente.
28-12-2015
Se reprograma la fecha de finalización de las acciones de mejora debido a la no finalización del informe de resultados.
Se solicita cambio en la fecha de terminación de la acción para 30/03/2016</t>
    </r>
  </si>
  <si>
    <t>Los avances de esta acción se verificarán en el próximo seguimiento puesto que los  nuevos indicadores, recientemente fueron formulados; de igual forma el cumplimento para esta acción todavía se encuentra vigente.
28-12-2015
Se realizó informe de gestión  2012 – 2015 (14 de diciembre) correspondiente a la Dirección De Mejoramiento de Barrios en el cual se incluyó el seguimiento a los indicadores del proyecto de inversión 208 así como los resultados obtenidos y las recomendaciones generadas.
El calculo de los indicadores del proyecto de inversión se encuentra en la carpeta de calidad
Ruta: \\serv-cv11\calidad\14. CONSOLIDADO INDICADORES DE PROCESOS\2015\6. PROCESO MEJORAMIENTO DE BARRIOS\PROYECTO DE INVERSIÓN\FECHA DE CORTE 30 DE JUNIO</t>
  </si>
  <si>
    <t>2. Líder del proceso de Mejoramiento de Vivienda.</t>
  </si>
  <si>
    <t>Líder del proceso de Mejoramiento de Vivienda.</t>
  </si>
  <si>
    <t>27-07-2015
Se realizó reunión con Jurídica para establecer los parámetros para la entrega de la documentación, evidencia acta de reunión.</t>
  </si>
  <si>
    <t>Incluir en las reuniones de Control Interno que se efectúan  quincenalmente el  seguimiento y   la revisión de cumplimiento de las actividades para atender contingencias y replantear tiempos,  controlando el cumplimiento de compromisos por profesional.</t>
  </si>
  <si>
    <t>31 de julio de 2015:
A la fecha se reprogramó la auditoria de Si Capital que fue iniciada el 16 de julio, se reprograma por licencia de paternidad y vacaciones del profesional asignado a dicha labor.</t>
  </si>
  <si>
    <t>Mónica Bustamante</t>
  </si>
  <si>
    <t>Enviar al final del mes correo electrónico a los líderes de proceso que serán auditados en el mes siguiente.</t>
  </si>
  <si>
    <t xml:space="preserve">12-08-2015 Seguimiento del proceso
El reporte de accidentes de trabajo: Para este reporte no se va a realizar procedimiento, esta actividad se va a dejar inmersa dentro del manual de SST.
La investigación de accidentes laborales.  Para este reporte no se va a realizar procedimiento, esta actividad se va a dejar inmersa dentro del manual de SST.
La construcción y actualización del Normograma: Esta actividad quedo inmersa dentro del procedimiento Control Documental.
El monitoreo del uso de los medios de procesamiento de información. Esta actividad va a quedar inmersa dentro de los nuevos  procedimientos del proceso de administración de la información.
La Planificación Operativa esta descrita en las siguientes herramientas: Caracterización del proceso, caracterización del producto y/o servicio, la matriz de trámites y servicios y en la matriz de servicios del proceso de administración de la información.
</t>
  </si>
  <si>
    <t xml:space="preserve">Líder del proceso de Servicio al Ciudadano </t>
  </si>
  <si>
    <t>Analizar los resultados de la encuesta de satisfacción socializada y determinar con cada no de los procesos misionales si se requiere elaborar planes de mejoramiento a estos resultados.  
Esta actividad será Coordinada por OAP, que verificara el envío al ACI</t>
  </si>
  <si>
    <t>Analizar y revisar las sensibilizaciones y/o socializaciones que se han realizado posterior a la revisión por la dirección con el fin de determinar si existió algún incremento en la participación de los funcionarios en las actividades.</t>
  </si>
  <si>
    <t>Se identifica que la entidad no cuenta con un contexto estratégico unificado actualizado</t>
  </si>
  <si>
    <t>Analizar, actualizar y/o modificar los riesgos de la entidad con base al nuevo contexto estratégico se  amerita</t>
  </si>
  <si>
    <t>27-08-2015:
Se realizó contrato de prestación de servicios a Wilber Abril quien maneja los temas del SIG, revisar en próxima auditoria que se tenga siempre a alguien responsable de este tema y verificar en el contrato las obligaciones</t>
  </si>
  <si>
    <t>01-12-2015
El proceso de Relocalización Transitoria quedo debidamente registrado en carpeta de calidad, el procedimiento de Cuenta de Ahorro programado se ajuste en la parte de fiducia, a pesar, de ser una acción que no es controlable por la Dirección de Reasentamientos por ser un negocio entre terceros, para el procedimiento de Reubicación definitiva se ajusto en la parte de victimas del conflicto e indígenas, estos dos últimos están pendientes de aprobación.</t>
  </si>
  <si>
    <t>Administración y control de recursos</t>
  </si>
  <si>
    <t>Revisar y actualizar los documentos de los procedimientos e instructivos referenciados en el informe de auditoría</t>
  </si>
  <si>
    <t>7. Evaluar la conveniencia de documentar los procedimientos "208-SFIN-Pr-10 Conciliaciones Inter áreas" versión 1, y "208-SFIN-Pr-06 Ejecución presupuestal" versión 2, como instructivos, ya que, para el primero sus actividades pueden ser consideradas como un control dentro de un contexto de proceso contable, y en el segundo procedimiento el alcance y la complejidad de las actividades corresponden al ingreso de información al módulo Predis.</t>
  </si>
  <si>
    <t>Hacer seguimiento a los compromisos establecidos en las mesa de trabajo de los PQR´S</t>
  </si>
  <si>
    <t>Retomar las responsabilidades que respecto al componente acuerdos, compromisos y protocolos éticos debe asumir el proceso de Gestión Humana conforme a lo establecido en MECI</t>
  </si>
  <si>
    <t>Formular una estrategia de socialización permanente de los principios y valores de la entidad</t>
  </si>
  <si>
    <t xml:space="preserve">Procedimientos:  en los aspectos vinculados a algunas de estas herramientas de gestión  revisadas, se estableció de conformidad con lo descrito en el numeral 5 del presente informe: 
PROCEDIMIENTO DE INDUCCIÓN Y RE INDUCCIÓN 208-SADM-Pr-26; ítems 5 y 6 no se evidencian los registros vinculados a la inducción en el puesto de trabajo; los ítems 14 y 15, que instauran actividades de evaluación y análisis en calidad de insumos del “Informe Semestral de Resultados de inducción”, tampoco hay evidencia de su realización.
PROCEDIMIENTO DE CAPACITACIÓN DE SERVIDORES 208-SADM-Pr-27; verificada la ejecución de las actividades descritas en los ítems 17, 19 y 27 asociados a la evaluación de: la logística y metodología utilizada en la capacitación; y las competencias laborales desarrolladas mediante la capacitación; y por otra parte, lo relacionado con el archivo de dichos soportes en las hojas de vida; no se encontró evidencia de la ejecución de tales actividades. 
</t>
  </si>
  <si>
    <t xml:space="preserve">Se envío nuevamente oficio 2015IE4806 del 29 de octubre de 2015, reiterando el oficio de enero, solicitando la entrega de los formatos diligenciados. Ante esta solicitud los líderes de los procesos enviaron los formatos diligenciados.
Con relación a las evaluaciones de las capacitaciones, se solicitó mediante oficio a cada jefe inmediato hacer las evaluaciones correspondientes a las competencias desarrolladas por los funcionarios en las capacitaciones a las cuales asistieron. </t>
  </si>
  <si>
    <t>Revisar las historias laborales de los profesionales especializados que se vincularon a la entidad desde el mes de mayo de 2015 que cuenten con esta misma situación y realizar un alcance al formato denominado Cumplimiento requisitos mínimos experiencia del cargo 208-SADM-Ft-22</t>
  </si>
  <si>
    <t>Implementar las medidas o recomendaciones que al respecto establezca el concepto que emita el DASCD, sobre los documentos que permiten certificar la educación formal</t>
  </si>
  <si>
    <r>
      <t xml:space="preserve">14-01-2016: Se elaboraron y comunicaron siete (7) actos administrativos correspondientes a dos funcionarios en encargo y cinco en provisionalidad. Solicitan cierre.
</t>
    </r>
    <r>
      <rPr>
        <sz val="8"/>
        <color rgb="FFFF0000"/>
        <rFont val="Arial"/>
        <family val="2"/>
      </rPr>
      <t xml:space="preserve">SE DEBE VERIFICAR LOS SOPORTES PARA PODER DAR CIERRE </t>
    </r>
  </si>
  <si>
    <t>Ajustar el formato denominado Cumplimiento requisitos mínimos experiencia del cargo 208-SADM-Ft-22 en el cual se incluya un campo que permita identificar claramente el registro de las convalidaciones que se realicen.</t>
  </si>
  <si>
    <t>Ajustar el objetivo de la caracterización de acuerdo al decreto 255 de 2013.
Se hará la solicitud a la OAP para el ajuste del objeto de la caracterización del proceso de acuerdo al Decreto 255.</t>
  </si>
  <si>
    <t>Garantizar que la matriz de caracterización este ajustada de acuerdo a las necesidades del programa, para tal fin, se revisara mensualmente la matriz de caracterización del proceso para que este de acuerdo al proyecto de reasentamientos y la normatividad.</t>
  </si>
  <si>
    <t>Elevar la consulta a la Dirección Jurídica acerca de la pertinencia de contar con un instructivo para respuesta de derechos de petición</t>
  </si>
  <si>
    <t>Definir con la OAP la pertinencia de contar con un instructivo para respuesta de Derechos de Petición en el Proceso de Reasentamiento independiente al establecido en la Dirección Jurídica.</t>
  </si>
  <si>
    <t>Programar una reunión del equipo de Reasentamientos para analizar los parámetros definidos al servicio conforme y las fuentes de información que me permiten su control.</t>
  </si>
  <si>
    <t xml:space="preserve"> Efectuar el análisis de los riesgos 2015 y documentarlos para la formulación de acciones y riesgos 2016.</t>
  </si>
  <si>
    <t>Determinar si las acciones establecidas en el 2015 se pueden constituir en puntos de control de los procedimientos.</t>
  </si>
  <si>
    <t>Garantizar que la matriz sea revisada de manera trimestral para su presentación y en el cierre de la vigencia se efectúe el análisis correspondiente.</t>
  </si>
  <si>
    <t>Solicitar oficialmente reunión con la OAP, para definir línea que permita una formulación ajustada para cada una de las herramientas</t>
  </si>
  <si>
    <t>Reunir los equipos Técnico y Social de la Dirección de Reasentamientos para definir criterios que le permita guardar trazabilidad en la información a la hora de consultar las familias priorizadas por IDIGER y su inclusión en el Programa de Reasentamientos.</t>
  </si>
  <si>
    <t xml:space="preserve">Actualizar el formato de Acta de entrega de reposición de acuerdo a las necesidades del programa de reasentamientos
</t>
  </si>
  <si>
    <t>Socializar el formato con todo el equipo de Reasentamientos para que sea aplicado en el momento de la elección de la vivienda de reposición.</t>
  </si>
  <si>
    <t>Actualizar el formato FUSS con la información de las familias en proceso de traslado final.</t>
  </si>
  <si>
    <t>Elaborar un soporte con los equipo técnico y social de un soporte definitivo al FUSS que evidencia la información cualitativa y cuantitativa de aquellas familias que se trasladan de manera definitiva a la nueva alternativa habitacional.</t>
  </si>
  <si>
    <t>Revisar, ajustar, aprobar y oficializar en la caracterización del proceso de mejoramiento de vivienda el objetivo del proceso de acuerdo a la normatividad vigente, los productos generados en el mismo, así como analizar la pertinencia de establecer o no, una actividad que evidencie el diseño que se desarrolla en el proceso</t>
  </si>
  <si>
    <t>El Normograma del proceso, actualizado a 2 de julio de 2015, reporta normas derogadas o suspendidas, las repite y no indica la aplicación total del requisito; no se presentan de forma jerárquica. Se indica que los acuerdos expedidos por el Consejo Directivo de la entidad tienen origen distrital, cuando son de origen interno.</t>
  </si>
  <si>
    <t>Revisar, actualizar y oficializar las normas mencionadas en el Normograma con los responsables de la implementación en el marco del programa de mejoramiento de vivienda</t>
  </si>
  <si>
    <t>Revisar y/o ajustar y organizar en la carpeta de calidad del proceso de Mejoramiento de Vivienda la documentación relacionada con los manuales a implementar en el programa de mejoramiento de vivienda.</t>
  </si>
  <si>
    <t>El nombre de los formatos presentados dentro de los procedimientos del proceso no corresponden a los que figuran en el listado maestro de documentos y en los mismos formatos: El formato 208-MV-Ft-26 V??, actualmente colgado en la carpeta de calidad, no tiene definida la versión. sin embargo en el listado maestro de documentos reporta como V.4 07/01/2015. No es fácil la ubicación en la carpeta de calidad de los formatos definidos para este proceso, pues se presentan por temas.</t>
  </si>
  <si>
    <t>Director de Mejoramiento de Vivienda y/o coordinadores DMV</t>
  </si>
  <si>
    <t>Se revisaron y ajustaron y oficializaron los procedimientos de supervisión a la interventoría de obra y de asistencia técnica a hogares para el mejoramiento de vivienda, del proceso de mejoramiento de vivienda.</t>
  </si>
  <si>
    <t>En el seguimiento y medición del servicio no existe relación entre los requisitos definidos del servicio en la hoja "Servicio conforme "con la medición que se realiza en la hoja "Servicio no conforme". Así mismo, no se cumple con lo establecido en la norma NTCGP 1000:2009 en lo relacionado con el tratamiento de los servicios no conformes.</t>
  </si>
  <si>
    <t>En las tablas de retención documental de este proceso en la vigencia 2014: No se reportan los expedientes del proceso de mejoramiento de vivienda, aunque se adelanta el registro FUID.
No  se cuenta con la base de datos de información, ni se han definido las opciones para su manejo.
En su calidad de supervisor de los convenios 008 de 2011, 231 de 2013, 005 de 2014, 546 de 2015 y 552 de 2015, el director del área no cuenta con el registro de estos documentos.
No se reporta la totalidad de los formatos de este proceso.</t>
  </si>
  <si>
    <t>Realizar la actualización, aprobación y oficialización de la TRD de conformidad con los ajustes realizados a los procedimientos del proceso de Mejoramiento de Vivienda</t>
  </si>
  <si>
    <t>La lista de chequeo de los expedientes no asegura contar con el soporte mínimo de documentos del proceso ni asegura el orden de estos documentos dentro de cada carpeta lo dispone el procedimiento 208-MV-Pr-03 V.1</t>
  </si>
  <si>
    <t>Revisar, ajustar, aprobar el formato de lista de chequeo de los expedientes del programa de mejoramiento de vivienda.</t>
  </si>
  <si>
    <t>Diseñar, aprobar y oficializar un instructivo para el manejo de documentación del expediente de obras que permita dar claridad respecto a las etapas y la documentación asociada a cada uno de ellas.</t>
  </si>
  <si>
    <t>Auditoria proceso Evaluación de la Gestión.</t>
  </si>
  <si>
    <t>Retomar el diligenciamiento del formato M-ODT-FM-023 certificación de actualización de información distrital del empleo y la administración publica-SIDEAP desde el mes de enero de 2016</t>
  </si>
  <si>
    <t>Desarrollar e implementar la funcionalidad para incluir el inventario de  bienes inmuebles al módulo SAI, previa viabilidad financiera, técnica y funcional.</t>
  </si>
  <si>
    <t xml:space="preserve">Realizar el análisis técnico del sistema de información  del proyecto de Reasentamientos  para evaluar la viabilidad de desarrollar  la integración a nivel  de causación contable de las ayudas temporales y VUR  en SI Capital.
</t>
  </si>
  <si>
    <t>Diseñar un formato para informar al ciudadano y/o ciudadana solicitante de asistencia técnica para el trámite ante curaduría urbana, respecto al seguimiento y/o avance de su trámite (momentos de Radicación; Acta de observaciones y Viabilidad por parte d e la curaduría).</t>
  </si>
  <si>
    <t>María Gladys Ramírez Morato</t>
  </si>
  <si>
    <t>Mónica Andrea Bustamante Portela</t>
  </si>
  <si>
    <t>Subdirector(a) Adminstrativo(a) Profesional universitario responsable del diligenciamiento de las heramientas de gestión.</t>
  </si>
  <si>
    <t>Subdirector(a) Adminstrativo(a)Profesional Universitario, Profesional responsable del diligenciamiento de las herramientas de gestión.</t>
  </si>
  <si>
    <t>Ajustar la caracterización , incluyendo los productos derivados de las actividades y solicitar su publicación en la carpeta de calidad.</t>
  </si>
  <si>
    <t>Realizar una revisión trimestral de los documentos que se encuentran publicados en la carpeta de calidad y en el caso de evidenciar inconsitencias corregirlas y enviar mediante correo electrónico a la OAP la nueva versión y solicitar  su publicaión.</t>
  </si>
  <si>
    <t>Oficina Asesora de Planeación-Control Interno, lideres de los procesos. Subdirección Adminstrativa.</t>
  </si>
  <si>
    <t>Definir,adoptar y socializar una metodología estandarizada en la entidad para identificación, registro  y seguimiento de causas raiz a las cuales se les formulen  acciones de mejora.</t>
  </si>
  <si>
    <t>Funcionarios de control interno</t>
  </si>
  <si>
    <t>Auditar la formulación y seguimiento a las herramientas de gestión.</t>
  </si>
  <si>
    <t>Subdirector(a) Adminstrativo(a)Profesional universitario responsable del diligenciamiento de las herramientas de gestión. Funcionarios responsables de la ejecución de las acciones</t>
  </si>
  <si>
    <t>Realizar y documentar el avance de las acciones en el plan anticorrupción correspondiente a la vigencia 2016.</t>
  </si>
  <si>
    <t>Identificar y capacitar a todos los funcionarios que en los procesos tienen la responsabilidad de relizar las acciones formuladas en las herramientas de gestión.</t>
  </si>
  <si>
    <t>OAP, Control Interno, Subdirección Administrativa.</t>
  </si>
  <si>
    <t>Documetar un análisis de los riesgos y las acciones formuladas para determinar su valoración calificación y determinar puntos de control.</t>
  </si>
  <si>
    <t xml:space="preserve">Subdirector(a) Adminstrativo(a)Profesional universitario responsable del diligenciamiento de las herramientas de gestión. </t>
  </si>
  <si>
    <t>Revisar y ajustar la formula del indicador</t>
  </si>
  <si>
    <t>Subdirector(a) Adminstrativo(a)Profesional universitario responsable del diligenciamiento de las herramientas de gestión. Funcionarios responsables de la ejecución de las acciones.</t>
  </si>
  <si>
    <t>Formular acciones de mejora, viables en los tiempos establecidos y que dependan del recurso humano con el que cuenta la entidad.</t>
  </si>
  <si>
    <t xml:space="preserve">Subdirector(a) Adminstrativo(a) Profesional responsable del sistema de seguridad y Salud en el trabajo </t>
  </si>
  <si>
    <t>Formular y medir el avance de los indicadores para los peligros.</t>
  </si>
  <si>
    <t>30-03-216</t>
  </si>
  <si>
    <t>Solicitar las firmas de los inspectores en los formatos ya oficilizados.</t>
  </si>
  <si>
    <t>Diseñar un formato para controlar el prestamo de historias laborales y solicitar la publicación en la carpeta de calidad</t>
  </si>
  <si>
    <t>Subdirector(a) Adminstrativo(a)Grupo de gestión documental</t>
  </si>
  <si>
    <t>Solicitar a la OAC a traves de un correo electronico que relice la publicación de las Resoluciones que correspopnden al manual de funciones de una manera que facilite la consulta en la página web.</t>
  </si>
  <si>
    <t>Ralizar una revisión cada tres meses de la información que corresponde al proceso de gestión humana y que se ecuentra publicada en la pagina web y solicitar los ajustes en los casos requeridos.</t>
  </si>
  <si>
    <t>Director(a) de Gestión Corporativa y CID-Jefe oficina de comunicaciones y Jefe oficina asesora de planeación</t>
  </si>
  <si>
    <t>Conformar  un equipo de trabajo integrado por representantes del proceso de adminstracion de la información(  sistemas, gestión documental) de comuniciones y planeación  el cual  elaborará un plan de trabajo que comntemple actividasdes que permitan unificar la política del proceso de Administración de la información.</t>
  </si>
  <si>
    <t>Elaborar un plan de trabajo para desarrollar las activides contempladas en la el PGD, PINAR de la entidad</t>
  </si>
  <si>
    <t>Priorizar el diseño de un Programa de Gestión de Documentos Electrónicos.</t>
  </si>
  <si>
    <t>Priorizar el diseño del Programa de Gestión de Documentos Electrónicos plantedo en el PGD</t>
  </si>
  <si>
    <t xml:space="preserve">Director(a) de Gestión Corporativa y CID - </t>
  </si>
  <si>
    <t>Incluir dentro del plan de acción del proceso la revisión periodica de los documentos, relizar los ajustes, solicitar la eleiminacion de los que presentan duplicidad.}</t>
  </si>
  <si>
    <t>Director(a) de Gestión Corporativa y CID.  Comunicaciones, planecion.</t>
  </si>
  <si>
    <t xml:space="preserve">Elaborar un plan de trabajo con las actividades los responsables y las fechas de finalización de las acciones pendientes por ejecutar de la estrategia GEL. </t>
  </si>
  <si>
    <t>Director(a) de Gestión Corporativa y CID-jefe oficina de comunicaciones y jefe oficina de planeación</t>
  </si>
  <si>
    <t>Director(a) de Gestión Corporativa y CID - Jefe oficina asesora de comunicaciones</t>
  </si>
  <si>
    <t>Realizar jornadas de capacitación sobre la ley de transparencia y acceso a la información dirigidas a los lideres de los procesos y responsables delegados para la publicación de los contenidos en la pagina web</t>
  </si>
  <si>
    <t>Actulizar y socializar el esquema de publicación de información del portal web.</t>
  </si>
  <si>
    <t>Informe control interno contable cierre 2015.</t>
  </si>
  <si>
    <t>Se maneja el SI CAPITAL, no se encuentra totalmente integrado, por esta razón se ingresan algunas transacciones con registros manuales.</t>
  </si>
  <si>
    <t>No se cierran oportunamente las acciones planteadas en el plan de mejoramiento por procesos</t>
  </si>
  <si>
    <t>Se tiene partidas conciliatorias en bancos importantes que deben ser definidas por la Dirección de Reasentamientos.</t>
  </si>
  <si>
    <t>Para el cierre a diciembre 31 de 2015 se presentan diferencias entre depreciación y amortización manejada en SAE y SAI y registros contables, aunque las cifras no afectan la razonabilidad de los estados contables, el control muestra deficiencia.</t>
  </si>
  <si>
    <t xml:space="preserve">No se esta amortizando el valor de el cableado estructural </t>
  </si>
  <si>
    <t>El personal de contabilidad es contratista a excepción de la contadora lo que genera un riesgo importante en la continuidad de las operaciones.</t>
  </si>
  <si>
    <t>Las áreas que manejan y reportan la información a contabilidad no aclaran oportunamente las partidas conciliatorias para que sean ajustadas.</t>
  </si>
  <si>
    <t xml:space="preserve">Nota:Falta incluir los hallazgos encotrados en los informes Evaluación por dependencias 2015, Informe ejecutivo DAF 2015, Pormenorizado nov 2015- feb 2016, que se haran cuando se de a conocer al equipo Directivo. </t>
  </si>
  <si>
    <t>Estado de las Acciones formuladas</t>
  </si>
  <si>
    <t>Total acciones formuladas</t>
  </si>
  <si>
    <t xml:space="preserve">Auditoria Interna
</t>
  </si>
  <si>
    <t>3. Revisar y/o aprobar el presupuesto a cada una de las actividades del proyecto 7328 a cargo de la Dirección de Mejoramiento de vivienda.</t>
  </si>
  <si>
    <t>No se verificará en esta acción sino en las nuevas acciones formuladas de atención a la encuesta de satisfacción del Cliente</t>
  </si>
  <si>
    <t>Deficiencia en la información suministrada a los ciudadanos y/o ciudadanas beneficiarios del Subsidio Distrital de Vivienda en Especie – SDVE, respecto al procedimiento a surtir y el tiempo que requiere el mismo frente a la solicitud de los anticipos ante la SDHT y los desembolsos de los recursos por parte de la fiducia al constructor (Oferente) previo al inicio de las obras.
Falta de información a los solicitantes de asistencia técnica para el trámite ante curadurías urbanas que permita entregar información oportuna respecto al avance de su trámite.</t>
  </si>
  <si>
    <t xml:space="preserve">Aprobar el formato para informar al ciudadano y/o ciudadana solicitante de la asistencia técnica para el trámite ante curaduría urbana. </t>
  </si>
  <si>
    <t>No se evidencia análisis o medición de la eficiencia y efectividad del proceso. Estos métodos deben demostrar la capacidad del proceso para el manejo de los recursos disponibles (eficiencia) y el impacto de la gestión tanto en el logro de los resultados planificados como en el manejo de los recursos utilizados (efectividad). 
Cabe señalar que en la actualidad la entidad adelanta un proceso de ajuste institucional, en el cual se enmarcan los instrumentos de medición, y en los cuales la Dirección de Mejoramiento de Vivienda cumple sus propias acciones.</t>
  </si>
  <si>
    <t>El porcentaje de avance en cumplimiento de metas no es acorde a la programación y a los tiempos en cuanto a metas y ejecución presupuestal en el Plan de Desarrollo Bogotá Humana.
Durante la vigencia 2012 y hasta septiembre de 2013 no fue asignado presupuesto para la ejecución del proyecto.</t>
  </si>
  <si>
    <t>El proceso no ha formulado planes de mejoramiento producto de la autoevaluación. Tal es el caso del resultado obtenido en el informe de evaluación satisfacción de servicio de atención al ciudadano, realizado entre los meses Mayo y Julio de 2014, donde se evidencia que el proceso de Mejoramiento de Vivienda presentó un 48.7% de insatisfacción.
Es preciso anotar que en la autoevaluación se puede generar planes de mejoramiento en el análisis del mapa de riesgo, el cumplimiento del plan de acción, quejas o reclamos de los usuarios, análisis de datos y/o cumplimiento de metas, entre otros.</t>
  </si>
  <si>
    <t xml:space="preserve">El porcentaje de avance en cumplimiento de metas no es acorde a la programación y a los tiempos en cuanto a metas y ejecución presupuestal en el Plan de Desarrollo Bogotá Humana.
Durante la vigencia 2012 y hasta septiembre de 2013 no fue asignado presupuesto para la ejecución del proyecto. </t>
  </si>
  <si>
    <t>Se oficializó el Plan de Mejoramiento como analisis del resultado de la encuesta de Satisfacción del cliente del 2014. Este plan de mejoramiento s enemarcó su hallazgo en: "Encuesta de percepción realizada a los ciudadanos" neto se como resultado de la</t>
  </si>
  <si>
    <r>
      <rPr>
        <b/>
        <sz val="10"/>
        <color theme="1"/>
        <rFont val="Arial"/>
        <family val="2"/>
      </rPr>
      <t>22 de marzo 2016:</t>
    </r>
    <r>
      <rPr>
        <sz val="10"/>
        <color theme="1"/>
        <rFont val="Arial"/>
        <family val="2"/>
      </rPr>
      <t xml:space="preserve"> Se formalizó como resultado de la encuesta el plan de mejoramiento el 16 de enero de 2016 con cinco acciones. Se cierra esta acción considerando el plan formalizado de seguimiento a las acciones de la encuesta.
10 de diciembre de 2015: Se solicita se amplíe el termino de cumplimiento de las acciones formuladas en el plan de mejoramiento.</t>
    </r>
  </si>
  <si>
    <t xml:space="preserve">5. Una vez se cuente con el documento oficial de los resultados de la encuesta de percepción de la vigencia 2014 realizada al proceso de Mejoramiento de Vivienda se enviará el plan de mejoramiento a la OCI y a la OAP para su validación y oficialización en la carpeta de calidad.
</t>
  </si>
  <si>
    <t xml:space="preserve">6. Realizar revisión semestral de los resultados originados en el análisis del cumplimiento del plan de acción.
</t>
  </si>
  <si>
    <t>Seguimiento a PM de Mejoramiento de Vivienda</t>
  </si>
  <si>
    <t>Mar - Abr 2016</t>
  </si>
  <si>
    <t>Nombre</t>
  </si>
  <si>
    <t>Listado Maestro</t>
  </si>
  <si>
    <t>LISTADO MAESTRO DE DOCUMENTOS</t>
  </si>
  <si>
    <t>Código: 208-PLA-Ft-01</t>
  </si>
  <si>
    <t>Versión: 4</t>
  </si>
  <si>
    <t>Pág. 1 de 2</t>
  </si>
  <si>
    <t xml:space="preserve">Vigente desde: </t>
  </si>
  <si>
    <t>No.</t>
  </si>
  <si>
    <t>NOMBRE</t>
  </si>
  <si>
    <t>TIPO DE DOCUMENTO</t>
  </si>
  <si>
    <t>ORIGEN</t>
  </si>
  <si>
    <t>DEPENDENCIA</t>
  </si>
  <si>
    <t>CÓDIGO</t>
  </si>
  <si>
    <t>VERSIÓN</t>
  </si>
  <si>
    <t>ESTADO</t>
  </si>
  <si>
    <t>FECHA CREACIÓN</t>
  </si>
  <si>
    <t>VIGENCIA</t>
  </si>
  <si>
    <t>CRONOGRAMA - PLAN DE TRABAJO DE OBRA</t>
  </si>
  <si>
    <t>Formato</t>
  </si>
  <si>
    <t>Interno</t>
  </si>
  <si>
    <t>Dirección Mejoramiento de Vivienda</t>
  </si>
  <si>
    <t>PROCESO MISIONAL</t>
  </si>
  <si>
    <t>208-MV-Ft-36</t>
  </si>
  <si>
    <t>ACTIVO</t>
  </si>
  <si>
    <t>DIRECCIÓN DE  MEJORAMIENTO DE VIVIENDA REPORTE INFORMACION FINANCIERA</t>
  </si>
  <si>
    <t>208-MV-Ft-37</t>
  </si>
  <si>
    <t>INACTIVO</t>
  </si>
  <si>
    <t>ATENCIÓN INDIVIDUAL - VISITA DOMICILIARIA</t>
  </si>
  <si>
    <t>208-MV-Ft-38</t>
  </si>
  <si>
    <t>RELACION DE INVENTARIO COMBOS SANITARIOS
Nota: Se elimina acorde a memorando IE9511</t>
  </si>
  <si>
    <t>208-MV-Ft-39</t>
  </si>
  <si>
    <t>AUTORIZACION DE RETIRO COMBO SANITARIO
Nota: Se elimina acorde a memorando IE9511</t>
  </si>
  <si>
    <t>208-MV-Ft-40</t>
  </si>
  <si>
    <t>ACTA DE RECIBO COMBO SANITARIO
Nota: Se elimina acorde a memorando IE9511</t>
  </si>
  <si>
    <t>208-MV-Ft-41</t>
  </si>
  <si>
    <t>ACTA DE ENTREGA Y RECIBO A SATISFACCIÓN DE LICENCIA DE CONSTRUCCIÓN Y/O ACTO DE RECONOCIMIENTO
Nota: Se modifica el nombre al procedimiento ACTA DE ENTREGA Y RECIBO A SATISFACCIÓN TRAMITE DE LA LICENCIA DE CONSTRUCCIÓN</t>
  </si>
  <si>
    <t>208-MV-Ft-42</t>
  </si>
  <si>
    <t xml:space="preserve">FORMATO CONCEPTO DE NORMA URBANA SIG
(EXPEDIENTE)
</t>
  </si>
  <si>
    <t>208-MV-Ft-43</t>
  </si>
  <si>
    <t>CIERRE FINANCIERO</t>
  </si>
  <si>
    <t>208-MV-Ft-44</t>
  </si>
  <si>
    <t>ANÁLISIS DE PRECIOS UNITARIOS</t>
  </si>
  <si>
    <t>208-MV-Ft-45</t>
  </si>
  <si>
    <t>LISTADO DE LAS FAMILIAS INSCRITAS</t>
  </si>
  <si>
    <t>208-MV-Ft-47</t>
  </si>
  <si>
    <t>FORMATO ESQUEMA TERRITORIAL DIRIGIDO</t>
  </si>
  <si>
    <t xml:space="preserve">Formato </t>
  </si>
  <si>
    <t>208-MV-Ft-46</t>
  </si>
  <si>
    <t xml:space="preserve">LISTADO DE FAMILIAS INSCRITAS </t>
  </si>
  <si>
    <t>TIPOS DE INTERVENCION
Nota: Se elimina acorde a memorando IE9511</t>
  </si>
  <si>
    <t>208-MV-Ft-48</t>
  </si>
  <si>
    <t>FORMATO ESTRUCTURA DE COSTOS</t>
  </si>
  <si>
    <t>208-MV-Ft-49</t>
  </si>
  <si>
    <t>LISTADO DE LAS FAMILIAS Y PREDIOS POTENCIALES
Nota: Se elimina acorde a memorando IE9511</t>
  </si>
  <si>
    <t>208-MV-Ft-50</t>
  </si>
  <si>
    <t>FORMATO PRESUPUESTO DE PROYECTO</t>
  </si>
  <si>
    <t>208-MV-Ft-51</t>
  </si>
  <si>
    <t>FORMATO PRESUPUESTO DE OBRA
Nota: Se elimina acorde a memorando IE9511</t>
  </si>
  <si>
    <t>208-MV-Ft-52A</t>
  </si>
  <si>
    <t>FORMATO PRESUPUESTO DE OBRA 
Nota: Se elimina acorde a memorando IE9511</t>
  </si>
  <si>
    <t>208-MV-Ft-52B</t>
  </si>
  <si>
    <t>208-MV-Ft-52C</t>
  </si>
  <si>
    <t>RECURSOS Y FUENTES DE FINANCIACIÓN</t>
  </si>
  <si>
    <t>208-MV-Ft-53</t>
  </si>
  <si>
    <t>RELACION DE EXPEDIENTES ENVIADOS A LA SECRETARIA DE HABITAT</t>
  </si>
  <si>
    <t>208-MV-Ft-54</t>
  </si>
  <si>
    <t xml:space="preserve">FORMATO ACTA CONDICIONES FÍSICAS Y HABITACIONALES UNIDAD DE VIVIENDA </t>
  </si>
  <si>
    <t>208-MV-Ft-55</t>
  </si>
  <si>
    <t>MEJORAMIENTO DE VIVIENDA AL DIA</t>
  </si>
  <si>
    <t>208-MV-Ft-56</t>
  </si>
  <si>
    <t xml:space="preserve">ACTA DE CONSTITUCIÓN DEL EQUIPO PROMOTOR DE SOSTENIBILIDAD
</t>
  </si>
  <si>
    <t>208-MV-Ft-57</t>
  </si>
  <si>
    <t>FICHA RECONOCIMIENTO DE CONDICIONES HABITACIONALES</t>
  </si>
  <si>
    <t>208-MV-Ft-58</t>
  </si>
  <si>
    <t>FORMATO CONCEPTO VIABILIDAD SIG – RURAL</t>
  </si>
  <si>
    <t>208-MV-Ft-59</t>
  </si>
  <si>
    <t>ACTA DE COMPROMISO</t>
  </si>
  <si>
    <t>208-MV-Ft-60</t>
  </si>
  <si>
    <t>FORMATO DE PERITAJE ESTRUCTURAL DE VIVIENDAS DE 1 Y 2 PISOS TÍTULO E NSR-10</t>
  </si>
  <si>
    <t>208-MV-Ft-61</t>
  </si>
  <si>
    <t>FORMATO TECNICO DE INVESTIGACIÒN MINIMA DE CIMENTACION PARA VIVIENDAS DE 1 Y 2 PISOS MAMPOSTERIA CONFINADA</t>
  </si>
  <si>
    <t>208-MV-Ft-62</t>
  </si>
  <si>
    <t>LISTA DE CHEQUEO PARA EXPEDIENTES QUE SE PRESENTAN A LA SDHT</t>
  </si>
  <si>
    <t>208-MV-Ft-63</t>
  </si>
  <si>
    <t>RELACIÓN DE HOGARES PRESENTADOS A LA SDHT</t>
  </si>
  <si>
    <t>208-MV-Ft-64</t>
  </si>
  <si>
    <t xml:space="preserve">FORMATO MEMORIAL DE RESPONSABILIDAD
</t>
  </si>
  <si>
    <t>208-MV-Ft-65</t>
  </si>
  <si>
    <t xml:space="preserve">FORMATO CONCEPTO VIABILIDAD SIG
</t>
  </si>
  <si>
    <t>208-MV-Ft-66</t>
  </si>
  <si>
    <t>FORMATO PROGRAMACIÓN DEL SEGUIMIENTO SOCIAL</t>
  </si>
  <si>
    <t>208-MV-Ft-67</t>
  </si>
  <si>
    <t>ACTA DE INICIO PROYECTOS DE MEJORAMIENTO</t>
  </si>
  <si>
    <t>208-MV-Ft-68</t>
  </si>
  <si>
    <t>FORMATO REGISTRO DE ATENCIÓN AL USUARIO</t>
  </si>
  <si>
    <t>208-MV-Ft-69</t>
  </si>
  <si>
    <t>FORMATO DE CARACTERIZACIÓN DE POBLACIÓN ASISTIDA TÉCNICAMENTE PARA EL TRÁMITE  DE LICENCIAS DE CONSTRUCCIÓN Y/O ACTOS DE RECONOCIMIENTO.</t>
  </si>
  <si>
    <t>208-MV-Ft-70</t>
  </si>
  <si>
    <t>FORMATO LISTADO DE REMATES DE OBRA</t>
  </si>
  <si>
    <t>208-MV-Ft-71</t>
  </si>
  <si>
    <t>INSTRUCTIVO: SELECCIÓN DE OFERENTE
PARA LA EJECUCIÒN DE OBRAS DE
MEJORAMIENTO DE VIVIENDA.</t>
  </si>
  <si>
    <t>Instructivo</t>
  </si>
  <si>
    <t>208-MV-In-01</t>
  </si>
  <si>
    <t>INSTRUCTIVO: ASIGNACIÓN DE PROYECTOS DE MEJORAMIENTO DE VIVIENDA PARA REALIZAR LA INTERVENTORÍA A LA EJECUCIÓN DE LOS SDVE</t>
  </si>
  <si>
    <t>208-MV-In-02</t>
  </si>
  <si>
    <t>PROCESO DE ELABORACIÓN</t>
  </si>
  <si>
    <t>MANUAL DE ESPECIFICACIONES TECNICAS DE CONSTRUCCIÓN PARA EL MEJORAMIENTO DE VIVIENDA</t>
  </si>
  <si>
    <t>Manual</t>
  </si>
  <si>
    <t>208-MV-Mn-01</t>
  </si>
  <si>
    <t>FORMULACIÓN PROYECTO DE INVERSIÓN 7328 MEJORAMIENTO DE VIVIENDA EN SUS CONDICIONES FISICAS</t>
  </si>
  <si>
    <t>208-MV-Mn-02</t>
  </si>
  <si>
    <t>PROCEDIMIENTO MEJORAMIENTO DE VIVIENDA</t>
  </si>
  <si>
    <t>Procedimiento</t>
  </si>
  <si>
    <t>208-MV-Pr-01</t>
  </si>
  <si>
    <t>208-MV-Pr-02</t>
  </si>
  <si>
    <t>PROCEDIMIENTO DE ASISTENCIA TÉCNICA A HOGARES PARA EL MEJORAMIENTO DE VIVIENDA</t>
  </si>
  <si>
    <t>208-MV-Pr-03</t>
  </si>
  <si>
    <t>PROCEDIMIENTO PARA LA SUPERVISIÓN A LA INTERVENTORÍA DE OBRA</t>
  </si>
  <si>
    <t>208-MV-Pr-04</t>
  </si>
  <si>
    <t>FLUJO DE CAJA PROPUESTO</t>
  </si>
  <si>
    <t>208-MV-Ft-72</t>
  </si>
  <si>
    <t>ACTA DE LIQUIDACIÓN DE GRUPO</t>
  </si>
  <si>
    <t>208-MV-Ft-73</t>
  </si>
  <si>
    <t>ACTA DE MAYORES, MENORES CANTIDADES Y DE OBRA NO PREVISTA</t>
  </si>
  <si>
    <t>208-MV-Ft-74</t>
  </si>
  <si>
    <t>ACTA DE PRÓRROGA DEL PROYECTO</t>
  </si>
  <si>
    <t>208-MV-Ft-75</t>
  </si>
  <si>
    <t>VALORACIÓN SOCIAL DEL PROGRAMA DE MEJORAMIENTO DE VIVIENDA</t>
  </si>
  <si>
    <t>208-MV-Ft-76</t>
  </si>
  <si>
    <t>FORMATO DE EVALUACIÓN DE OFERENTES</t>
  </si>
  <si>
    <t>208-MV-Ft-77</t>
  </si>
  <si>
    <t>ACTA DE REGISTRO DE IMPREVISTOS</t>
  </si>
  <si>
    <t>208-MV-Ft-78</t>
  </si>
  <si>
    <t>ACTA DE COMITÉ DE OBRA</t>
  </si>
  <si>
    <t>208-MV-Ft-79</t>
  </si>
  <si>
    <t>ACTA DE AVANCE DE OBRA</t>
  </si>
  <si>
    <t>208-MV-Ft-80</t>
  </si>
  <si>
    <t>PLAN DE INVERSIÓN DEL ANTICIPO</t>
  </si>
  <si>
    <t>208-MV-Ft-81</t>
  </si>
  <si>
    <t>LEGALIZACIÓN PLAN DE INVERSIÓN DEL ANTICIPO</t>
  </si>
  <si>
    <t>208-MV-Ft-82</t>
  </si>
  <si>
    <t xml:space="preserve">CALIFICACIÓN TÉCNICA PARA LA AMPLIACIÓN DEL BANCO DE OFERENTES DEL PROGRAMA DE MEJORAMIENTO DE VIVIENDA </t>
  </si>
  <si>
    <t>208-MV-Ft-83</t>
  </si>
  <si>
    <t xml:space="preserve">LISTADO DE FAMILIAS </t>
  </si>
  <si>
    <t>208-MV-Ft-84</t>
  </si>
  <si>
    <t>ESQUEMA DE LOCALIZACIÓN</t>
  </si>
  <si>
    <t>208-MV-Ft-85</t>
  </si>
  <si>
    <t>ACTA DE INICIO DEL CONTRATO</t>
  </si>
  <si>
    <t>208-MV-Ft-86</t>
  </si>
  <si>
    <t>ACTA DE INSPECCIÓN DE OBRA</t>
  </si>
  <si>
    <t>208-MV-Ft-87</t>
  </si>
  <si>
    <t>ACTA DE ENTREGA FÍSICA DE LA OBRA Y RECIBO A SATISFACCIÓN CONVENIO UAESP-CVP</t>
  </si>
  <si>
    <t>208-MV-Ft-88</t>
  </si>
  <si>
    <t>ACTA DE ENTREGA FÍSICA DE LA OBRA Y RECIBO A SATISFACCIÓN - CONVENIO SWISS CONTACT-CVP</t>
  </si>
  <si>
    <t>208-MV-Ft-89</t>
  </si>
  <si>
    <t>CONTRATO CIVIL DE OBRA, MODALIDAD: CONSTRUCCIÓN EN SITIO PROPIO</t>
  </si>
  <si>
    <t>208-MV-Ft-90</t>
  </si>
  <si>
    <t>CERTIFICACIÓN DE VINCULACIÓN AL PROGRAMA DE MEJORAMIENTO DE VIVIENDA</t>
  </si>
  <si>
    <t>208-MV-Ft-91</t>
  </si>
  <si>
    <t>FORMATO DE ASISTENCIA REUNIONES CON COMUNIDAD</t>
  </si>
  <si>
    <t>208-MV-Ft-92</t>
  </si>
  <si>
    <t xml:space="preserve">FORMATO BITÁCORA DE OBRA </t>
  </si>
  <si>
    <t>208-MV-Ft-93</t>
  </si>
  <si>
    <t>SEGUIMIENTO A TRÁMITE ANTE CURADURÍA</t>
  </si>
  <si>
    <t>208-MV-Ft-94</t>
  </si>
  <si>
    <t>CARACTERIZACIÓN DEL PROCESO DE MEJORAMIENTO DE VIVIENDA</t>
  </si>
  <si>
    <t>Caracterizacion</t>
  </si>
  <si>
    <t>208-MV-Cr-01</t>
  </si>
  <si>
    <t>FORMATO CONCEPTO SISTEMA DE INFORMACIÓN GEOGRAFICA (SIG) EXPEDIENTE</t>
  </si>
  <si>
    <t>208-MV-Ft-01</t>
  </si>
  <si>
    <t xml:space="preserve">FORMATO VERIFICACION  CIERRE DE PROCESO (EXPEDIENTE)
</t>
  </si>
  <si>
    <t>208-MV-Ft-02</t>
  </si>
  <si>
    <t xml:space="preserve">ACTA DE INSPECCIÓN DE OBRA </t>
  </si>
  <si>
    <t>208-MV-Ft-03</t>
  </si>
  <si>
    <t>FORMATO CONTROL ENTREGA DOCUMENTOS AL AREA DE ARCHIVO</t>
  </si>
  <si>
    <t>208-MV-Ft-04</t>
  </si>
  <si>
    <t>VIABILIDAD JURÍDICA</t>
  </si>
  <si>
    <t>208-MV-Ft-05</t>
  </si>
  <si>
    <t>FORMATO PODER O MANDATO</t>
  </si>
  <si>
    <t>208-MV-Ft-06</t>
  </si>
  <si>
    <t>FORMATO ACTA DE ASIGNACIÓN DE OBRAS
Nota: Se elimina acorde a memorando IE9511</t>
  </si>
  <si>
    <t>208-MV-Ft-07</t>
  </si>
  <si>
    <t>CONTRATO CIVIL DE OBRA</t>
  </si>
  <si>
    <t>208-MV-Ft-08</t>
  </si>
  <si>
    <t>MEMORIA DE CANTIDADES DE OBRA</t>
  </si>
  <si>
    <t>208-MV-Ft-09</t>
  </si>
  <si>
    <t>PRESUPUESTO DE OBRA</t>
  </si>
  <si>
    <t>208-MV-Ft-10</t>
  </si>
  <si>
    <t>FORMATO ACTA DE INICIO DE GRUPO</t>
  </si>
  <si>
    <t>208-MV-Ft-11</t>
  </si>
  <si>
    <t>ACTA DE SUSPENSIÓN DEL CONTRATO DE OBRA</t>
  </si>
  <si>
    <t>208-MV-Ft-12</t>
  </si>
  <si>
    <t>FORMATO ACTA DE REINICIO DE OBRA</t>
  </si>
  <si>
    <t>208-MV-Ft-13</t>
  </si>
  <si>
    <t>FORMATO ACTA DE APORTES</t>
  </si>
  <si>
    <t>208-MV-Ft-14</t>
  </si>
  <si>
    <t>FORMATO CONTROL DE GARANTIAS</t>
  </si>
  <si>
    <t>208-MV-Ft-15</t>
  </si>
  <si>
    <t>FORMATO LEGALIZACIÓN DEL ANTICIPO</t>
  </si>
  <si>
    <t>208-MV-Ft-16</t>
  </si>
  <si>
    <t>FORMATO REGISTRO FOTOGRÁFICO</t>
  </si>
  <si>
    <t>208-MV-Ft-17</t>
  </si>
  <si>
    <t xml:space="preserve">FORMATO BITÁCORA </t>
  </si>
  <si>
    <t>208-MV-Ft-18</t>
  </si>
  <si>
    <t>ACTA DE ENTREGA FÍSICA DE LA OBRA Y RECIBO A SATISFACCIÓN</t>
  </si>
  <si>
    <t>208-MV-Ft-19</t>
  </si>
  <si>
    <t>FORMATO RENUNCIA AL SUBSIDIO</t>
  </si>
  <si>
    <t>208-MV-Ft-20</t>
  </si>
  <si>
    <t>FORMATO AUTORIZACIÓN DESEMBOLSO IMPUESTO DELINEACIÓN URBANA</t>
  </si>
  <si>
    <t>208-MV-Ft-21</t>
  </si>
  <si>
    <t>FORMATO AUTORIZACIÓN EXPENSAS</t>
  </si>
  <si>
    <t>208-MV-Ft-22</t>
  </si>
  <si>
    <t>DIRECCIÓN DE MEJORAMIENTO DE VIVIENDA MOVILIZACIÓN DE RECURSOS                                                                                     CUENTA DE AHORRO PROGRAMADO</t>
  </si>
  <si>
    <t>208-MV-Ft-23</t>
  </si>
  <si>
    <t>FORMATO SOLICITUD DE DESEMBOLSOS METROVIVIENDA</t>
  </si>
  <si>
    <t>208-MV-Ft-24</t>
  </si>
  <si>
    <t>SUBSECRETARIA DE GESTIÓN FINANCIERA SOLICITUD DE DESEMBOLSO SUBSIDIO DISTRITAL DE VIVIENDA</t>
  </si>
  <si>
    <t>208-MV-Ft-25</t>
  </si>
  <si>
    <t>PRE-INSCRIPCIÓN AL PROGRAMA DE MEJORAMIENTO DE VIVIENDA</t>
  </si>
  <si>
    <t>208-MV-Ft-26</t>
  </si>
  <si>
    <t>FORMATO IDENTIFICACIÓN Y VIABILIDAD DEL PREDIO</t>
  </si>
  <si>
    <t>208-MV-Ft-27</t>
  </si>
  <si>
    <t>FORMATO DE VISITA TÉCNICA DE PREVIABILIZACIÓN</t>
  </si>
  <si>
    <t>208-MV-Ft-28</t>
  </si>
  <si>
    <t>FORMATO FICHA SOCIOECONÓMICA FAMILIAR</t>
  </si>
  <si>
    <t>208-MV-Ft-29</t>
  </si>
  <si>
    <t>FORMATO FICHA DEMOGRÁFICA</t>
  </si>
  <si>
    <t>208-MV-Ft-30</t>
  </si>
  <si>
    <t>ESCOGENCIA TIPOLOGÍA</t>
  </si>
  <si>
    <t>208-MV-Ft-31</t>
  </si>
  <si>
    <t>FORMATO REGISTRO FOTOGRÁFICO DE VALLA</t>
  </si>
  <si>
    <t>208-MV-Ft-32</t>
  </si>
  <si>
    <t>FORMATO TÉCNICO DE LEVANTAMIENTO</t>
  </si>
  <si>
    <t>208-MV-Ft-33</t>
  </si>
  <si>
    <t>RENUNCIA A ASITENCIA TECNICA O POSTULACION A SUBSIDIO</t>
  </si>
  <si>
    <t>208-MV-Ft-34</t>
  </si>
  <si>
    <t>FORMATO INSTRUCCIÓN Y AUTORIZACIÓN DE RETIRO</t>
  </si>
  <si>
    <t>208-MV-Ft-35</t>
  </si>
  <si>
    <r>
      <t xml:space="preserve">PROCEDIMIENTO PARA LA EXPEDICIÓN DE ACTOS DE RECONOCIMIENTO
</t>
    </r>
    <r>
      <rPr>
        <b/>
        <sz val="9"/>
        <color rgb="FF000000"/>
        <rFont val="Arial"/>
        <family val="2"/>
      </rPr>
      <t>Nota:</t>
    </r>
    <r>
      <rPr>
        <sz val="9"/>
        <color rgb="FF000000"/>
        <rFont val="Arial"/>
        <family val="2"/>
      </rPr>
      <t xml:space="preserve"> Este procedimiento esta temporalmente suspendido, hasta que exista un pronunciamiento sobre el MEPOT.</t>
    </r>
  </si>
  <si>
    <t>Formato Viabilidad SIG Catastral – Rural</t>
  </si>
  <si>
    <t>Formato Concepto Viabilidad SIG</t>
  </si>
  <si>
    <t>Formato Viabilidad Jurídica</t>
  </si>
  <si>
    <t>Formato de identificación y viabilidad del predio</t>
  </si>
  <si>
    <t>Formato Atención individual - visita domiciliaria</t>
  </si>
  <si>
    <t>Formato de visita técnica de previabilización</t>
  </si>
  <si>
    <t>Peritaje Estructural de Viviendas de 1 y 2 Pisos Título E NSR-10.</t>
  </si>
  <si>
    <t>Formato Acta de Entrega y Recibo a satisfacción de Licencia de Construcción o Acto de Reconocimiento</t>
  </si>
  <si>
    <t>Formato pre-inscripción al programa de mejoramiento de vivienda</t>
  </si>
  <si>
    <t>208-SADM-Ft-43.</t>
  </si>
  <si>
    <t>Listados de asistencia</t>
  </si>
  <si>
    <t>Ficha socioeconómica</t>
  </si>
  <si>
    <t>Ficha demográfica</t>
  </si>
  <si>
    <t>208-MV-Pr-03 Versión: 2; 19-10-2015</t>
  </si>
  <si>
    <t>208-MV-Pr-03 ASISTENCIA TÉCNICA A HOGARES PARA EL MEJORAMIENTO DE VIVIENDA</t>
  </si>
  <si>
    <t>Versión: 2  fecha:19-10-2015</t>
  </si>
  <si>
    <t>208-MV-Pr-04 Versión: 2; Vigente desde: 07-10-2015</t>
  </si>
  <si>
    <t xml:space="preserve">Atención Individual - Visita Domiciliaria </t>
  </si>
  <si>
    <t>Ficha reconocimiento de condiciones habitacionales</t>
  </si>
  <si>
    <t>Formato registro fotográfico</t>
  </si>
  <si>
    <t>Formato de Memoria de cantidades de obra</t>
  </si>
  <si>
    <t>Formato técnico de levantamiento y proyecto propuesto de obra</t>
  </si>
  <si>
    <t>Formato Acta de condiciones físicas y habitacionales unidad de vivienda</t>
  </si>
  <si>
    <t>Contrato civil de obra.</t>
  </si>
  <si>
    <t>Formato presupuesto de obra</t>
  </si>
  <si>
    <t>Acta de Inicio de Grupo</t>
  </si>
  <si>
    <t>Formato legalización del anticipo</t>
  </si>
  <si>
    <t>Listado de asistencia</t>
  </si>
  <si>
    <t>208-SADM-Ft-43</t>
  </si>
  <si>
    <t>Acta de comité de obra</t>
  </si>
  <si>
    <t>Acta de mayores, menores cantidades y de obra no prevista</t>
  </si>
  <si>
    <t>Acta de registro de imprevistos</t>
  </si>
  <si>
    <t>Acta de prórroga del proyecto</t>
  </si>
  <si>
    <t>Acta de liquidación de grupo</t>
  </si>
  <si>
    <t>Acta de entrega física de la obra y recibo a satisfacción</t>
  </si>
  <si>
    <t>Manual de Especificaciones Técnicas de Construcción para el Mejoramiento de Vivienda</t>
  </si>
  <si>
    <t>Formato Acta de suspensión</t>
  </si>
  <si>
    <t>Acta de reinicio de obra</t>
  </si>
  <si>
    <t>Cronograma - plan de trabajo de obra</t>
  </si>
  <si>
    <t>Acta de inspección de obra</t>
  </si>
  <si>
    <t>Formato de evaluación de oferentes</t>
  </si>
  <si>
    <t>Acta de inicio proyectos de mejoramiento</t>
  </si>
  <si>
    <t>Valoración social del programa de mejoramiento de vivienda</t>
  </si>
  <si>
    <t>Acción sobre la actualización del procedimiento.</t>
  </si>
  <si>
    <t>Código</t>
  </si>
  <si>
    <t>208-MV-Pr-04 V2</t>
  </si>
  <si>
    <t>208-MV-Pr-03 V2</t>
  </si>
  <si>
    <t>208-PLA-FT-54</t>
  </si>
  <si>
    <t>Registro de reunión</t>
  </si>
  <si>
    <t>No esta registrado igual</t>
  </si>
  <si>
    <t>208-MV-Pr-04 V2 PROCEDIMIENTO PARA LA SUPERVISIÓN A LA INTERVENTORÍA DE OBRA</t>
  </si>
  <si>
    <t>Versión: 2; Vigente desde: 07-10-2015</t>
  </si>
  <si>
    <t>2. Establecer presupuesto a cada una de las actividades del proyecto 7328 a cargo de la Dirección de Mejoramiento de Vivienda.</t>
  </si>
  <si>
    <t>2. Profesional financiero de la DMV. 
Profesional encargado de planeación en la DMV.</t>
  </si>
  <si>
    <t>Verificar Correo</t>
  </si>
  <si>
    <t>Revisar y/o actualizar, aprobar y oficializar la información inmersa en los formatos de caracterización y seguimiento de servicio no conforme en el marco de la implementación del programa de mejoramiento de vivienda.</t>
  </si>
  <si>
    <t xml:space="preserve">Se va a revisar el uso de este formato dentro de los ejercicios que se den de atención a los ciudadanos </t>
  </si>
  <si>
    <t>4. Solicitar la formalización del ajuste de las actividades del proyecto 7328 inmersas en el Plan Operativo Anual.</t>
  </si>
  <si>
    <t>Se verificó la publicación de los procedimientos pasando a V2, la revisión y aplcación del procedimiento se revisará en el segundo ciclo de auditoria</t>
  </si>
  <si>
    <t xml:space="preserve">Verificar el uso de los formatos en sus ultimas actualizaciones </t>
  </si>
  <si>
    <t>Se adjuntó soportes y presentación para el cierre de la acción dentro del ejercicio de auditoria del 27 de junio 2016</t>
  </si>
  <si>
    <t xml:space="preserve">Asegurar entrega del informe que justificó el cierre de este hallazgo con sus cuatro acciones, mediante la revisión de las acciones formuladas y la gestión realizada, verificando la asignación del presupuesto Vs. las actividades desarrolladas, el personal utilizado y la distribución de los recursos determindaos para este Proyecto de Inversión para las vigencias 2012 a 2015 y realizando un comparativo con la gestión desarrollada en el 2012- 2013 Vs 2014 a 2015. </t>
  </si>
  <si>
    <r>
      <rPr>
        <b/>
        <sz val="10"/>
        <rFont val="Arial"/>
        <family val="2"/>
      </rPr>
      <t xml:space="preserve">30 de Julio de 2016: </t>
    </r>
    <r>
      <rPr>
        <sz val="10"/>
        <rFont val="Arial"/>
        <family val="2"/>
      </rPr>
      <t xml:space="preserve">Se actualizo Normograma de acuerdo a la normatividad vigente y fue enviado a la OAP para aprobacion y publicación.                                                                                                                   </t>
    </r>
    <r>
      <rPr>
        <b/>
        <sz val="10"/>
        <rFont val="Arial"/>
        <family val="2"/>
      </rPr>
      <t xml:space="preserve">22 Mar 2016: </t>
    </r>
    <r>
      <rPr>
        <sz val="10"/>
        <rFont val="Arial"/>
        <family val="2"/>
      </rPr>
      <t>Se ajusto el normograma el 16/03/2016 (de acuerdo correo enviado por Jurídico de la DMV) y esta pendiente de envío a la OAP</t>
    </r>
  </si>
  <si>
    <r>
      <t xml:space="preserve">Fecha de Informe
</t>
    </r>
    <r>
      <rPr>
        <sz val="10"/>
        <color theme="1"/>
        <rFont val="Arial"/>
        <family val="2"/>
      </rPr>
      <t>dd/mmm/yyyy</t>
    </r>
  </si>
  <si>
    <r>
      <t xml:space="preserve">Fecha 
Plan de Mejoramiento
</t>
    </r>
    <r>
      <rPr>
        <sz val="10"/>
        <color theme="1"/>
        <rFont val="Arial"/>
        <family val="2"/>
      </rPr>
      <t>dd/mmm/yyyy</t>
    </r>
  </si>
  <si>
    <r>
      <t xml:space="preserve">Fecha finalización programada de Cierre acción
</t>
    </r>
    <r>
      <rPr>
        <sz val="10"/>
        <color theme="1"/>
        <rFont val="Arial"/>
        <family val="2"/>
      </rPr>
      <t>dd/mmm/yyyy</t>
    </r>
  </si>
  <si>
    <r>
      <t xml:space="preserve">Fecha de Cierre acción
</t>
    </r>
    <r>
      <rPr>
        <sz val="10"/>
        <color theme="1"/>
        <rFont val="Arial"/>
        <family val="2"/>
      </rPr>
      <t>dd/mmm/yyyy</t>
    </r>
  </si>
  <si>
    <r>
      <rPr>
        <b/>
        <sz val="10"/>
        <rFont val="Arial"/>
        <family val="2"/>
      </rPr>
      <t xml:space="preserve">30 de Julio de 2016: </t>
    </r>
    <r>
      <rPr>
        <sz val="10"/>
        <rFont val="Arial"/>
        <family val="2"/>
      </rPr>
      <t xml:space="preserve">A partir del mes de Julio se ajusto y oficializo el seguimiento del servicio no conforme para el seguimiento de los mejoramientos de vivienda, para lo cual se implemento un nuevo formato, el 208-MV-Ft-95 INFORME MENSUAL DE SUPERVISION TECNICA Y SOCIAL DEL PROYECTO, seguimiento que alimenta mensualmente el informe de servicio no conforme para esta actividad.                 </t>
    </r>
    <r>
      <rPr>
        <b/>
        <sz val="10"/>
        <rFont val="Arial"/>
        <family val="2"/>
      </rPr>
      <t xml:space="preserve">                                                                     22-marz-2016</t>
    </r>
    <r>
      <rPr>
        <sz val="10"/>
        <rFont val="Arial"/>
        <family val="2"/>
      </rPr>
      <t xml:space="preserve">: Se esta a la espera de las directrices dadas por planeación. No hay avance se solicita ampliación de la fecha de finalización. Se amplia al 30may2016 </t>
    </r>
  </si>
  <si>
    <r>
      <rPr>
        <b/>
        <sz val="10"/>
        <rFont val="Arial"/>
        <family val="2"/>
      </rPr>
      <t xml:space="preserve">29 de Julio de 2016: </t>
    </r>
    <r>
      <rPr>
        <sz val="10"/>
        <rFont val="Arial"/>
        <family val="2"/>
      </rPr>
      <t>Las Tablas de Retención de la Entidad, fueron aprobadas el 24 de Diciembre de 2015 mediante acto administrativo, Resolucion 3962 de 2015.</t>
    </r>
    <r>
      <rPr>
        <b/>
        <sz val="10"/>
        <rFont val="Arial"/>
        <family val="2"/>
      </rPr>
      <t xml:space="preserve">
5 de julio de 2016: </t>
    </r>
    <r>
      <rPr>
        <sz val="10"/>
        <rFont val="Arial"/>
        <family val="2"/>
      </rPr>
      <t xml:space="preserve">Se recibe instrucción por parte del Coordinador del Archivo Central de la CVP que se debe implementar la TRD en la DMV, con la ultima reestructuracion de la entidad                  </t>
    </r>
    <r>
      <rPr>
        <b/>
        <sz val="10"/>
        <rFont val="Arial"/>
        <family val="2"/>
      </rPr>
      <t>22-mar2016:</t>
    </r>
    <r>
      <rPr>
        <sz val="10"/>
        <rFont val="Arial"/>
        <family val="2"/>
      </rPr>
      <t xml:space="preserve"> No se ha realizado avance, considerando que a la fecha no hay directriz dada sobre este tema y considerando que no hay responsable de liderarlo dentro de la CVP. Se solicita ampliación de fecha al 30 may 2016</t>
    </r>
  </si>
  <si>
    <r>
      <rPr>
        <b/>
        <sz val="10"/>
        <rFont val="Arial"/>
        <family val="2"/>
      </rPr>
      <t xml:space="preserve">16-mar-2016: </t>
    </r>
    <r>
      <rPr>
        <sz val="10"/>
        <rFont val="Arial"/>
        <family val="2"/>
      </rPr>
      <t>Se socializó durante los Foros de Inicio o apertura en la vigencia 2015, la información del Programa de Mejoramiento de Vivienda en los territorios, incluyendo los tiempos que transcurren desde el momento en que se aprueba el proyecto y se asigna el SDVE al Hogar y el desembolso efectivo de los recursos por parte de la fiducia al Oferente. Cabe mencionar que durante la vigencia 2015, se llevaron a cabo ocho (8) Foros se verifica la presentación realizada</t>
    </r>
  </si>
  <si>
    <r>
      <rPr>
        <b/>
        <sz val="10"/>
        <rFont val="Arial"/>
        <family val="2"/>
      </rPr>
      <t xml:space="preserve">16-mar-2016: </t>
    </r>
    <r>
      <rPr>
        <sz val="10"/>
        <rFont val="Arial"/>
        <family val="2"/>
      </rPr>
      <t>El 9 de febrero de 2016, mediante memorando con cordis No. 20161E633, se envía el formato de Seguimiento Trámite Ante Curaduría Urbana (Licencia de Construcción y/o Acto de Reconocimiento) para oficialización en el marco del SIG.</t>
    </r>
  </si>
  <si>
    <r>
      <rPr>
        <b/>
        <sz val="10"/>
        <rFont val="Arial"/>
        <family val="2"/>
      </rPr>
      <t xml:space="preserve">16-mar-2016: </t>
    </r>
    <r>
      <rPr>
        <sz val="10"/>
        <rFont val="Arial"/>
        <family val="2"/>
      </rPr>
      <t>El 9 de febrero de 2016, mediante memorando con cordis No. 20161E633, se envía el formato de Seguimiento Trámite Ante Curaduría Urbana (Licencia de Construcción y/o Acto de Reconocimiento) para oficialización en el marco del SIG.
Este formato queda en la siguiente ruta de la carpeta de calidad: \\serv-cv11\calidad\5. PROCESO MEJORAMIENTO DE VIVIENDA\FORMATOS\FORMATOS - TÉCNICA\ASISTENCIA TECNICA
Este formato correpsonde a V1 aprobado el 09Feb2016</t>
    </r>
  </si>
  <si>
    <r>
      <rPr>
        <b/>
        <sz val="10"/>
        <rFont val="Arial"/>
        <family val="2"/>
      </rPr>
      <t>30 de Julio de 2016:</t>
    </r>
    <r>
      <rPr>
        <sz val="10"/>
        <rFont val="Arial"/>
        <family val="2"/>
      </rPr>
      <t xml:space="preserve"> A partir del mes de julio en reunión sostenida con la OAP y DMV, se tomó la decisión en conjunto de realizar la unificación de las actividades de los dos proyectos de inversión 962 y 7328 que se tenían a la fecha en un solo proyecto de inversión 7328 a partir del mes julio, por lo tanto se realizó cambio en las metas de algunos indicadores y ajuste de los indicadores del nuevo proyecto de inversión.</t>
    </r>
    <r>
      <rPr>
        <b/>
        <sz val="10"/>
        <rFont val="Arial"/>
        <family val="2"/>
      </rPr>
      <t xml:space="preserve">                                                                                 22-mar-2016: </t>
    </r>
    <r>
      <rPr>
        <sz val="10"/>
        <rFont val="Arial"/>
        <family val="2"/>
      </rPr>
      <t>Se ajustó la estructura de formatos de obra la cual esta pendiente remitir a la OAP para realizar lo pertinente en la carpeta de calidad. 
Se realiza solicitud mediante memorando para ajuste de la organización de la carpeta de formatos de obra y de la carpeta de manuales.</t>
    </r>
  </si>
  <si>
    <r>
      <rPr>
        <b/>
        <sz val="10"/>
        <color theme="1"/>
        <rFont val="Arial"/>
        <family val="2"/>
      </rPr>
      <t xml:space="preserve">31 Agosto 2016: </t>
    </r>
    <r>
      <rPr>
        <sz val="10"/>
        <color theme="1"/>
        <rFont val="Arial"/>
        <family val="2"/>
      </rPr>
      <t>En el mes de Junio, se presentó informe de cumplimiento de metas y ejecución presupuestal del proyecto 7328 en el marco del plan de desarrollo Bogotá humana de la dirección de mejoramiento de vivienda. (Periodo enero 2012 – diciembre 2014), con el fin de evidenciar el avance de las acciones establecidas para el hallazgo de auditoría interna del proceso de mejoramiento de vivienda, se realizó un análisis descriptivo de la ejecución del proyecto de inversión a cargo de esta Direccion</t>
    </r>
    <r>
      <rPr>
        <b/>
        <sz val="10"/>
        <color theme="1"/>
        <rFont val="Arial"/>
        <family val="2"/>
      </rPr>
      <t xml:space="preserve">.
22 Marzo 2016: </t>
    </r>
    <r>
      <rPr>
        <sz val="10"/>
        <color theme="1"/>
        <rFont val="Arial"/>
        <family val="2"/>
      </rPr>
      <t xml:space="preserve">Durante esta revisión se va presentar un informe de las actividades ajustadas dentro del POA "Programación y Avance de actividades de Proyectos de Inversión"  de este proyecto, y enmarcado en el cumplimiento del presupuesto asignado para este proyecto. Pendiente justificar mediante este informe.
</t>
    </r>
    <r>
      <rPr>
        <b/>
        <sz val="10"/>
        <color theme="1"/>
        <rFont val="Arial"/>
        <family val="2"/>
      </rPr>
      <t>10 de noviembre de 2015</t>
    </r>
    <r>
      <rPr>
        <sz val="10"/>
        <color theme="1"/>
        <rFont val="Arial"/>
        <family val="2"/>
      </rPr>
      <t xml:space="preserve">: Para esta vigencia se ha adelantado el 83,85%, con fecha de corte 30 de septiembre 2015, sin embargo hay un a reserva del 2014 correspondiente al 75,86% y se adelanta un cumplimiento. Se va a verificar los gastos con Cesar Sabogal  y Luis Muñoz de la OAP.
</t>
    </r>
    <r>
      <rPr>
        <b/>
        <sz val="10"/>
        <color theme="1"/>
        <rFont val="Arial"/>
        <family val="2"/>
      </rPr>
      <t>6 de mayo de 2015</t>
    </r>
    <r>
      <rPr>
        <sz val="10"/>
        <color theme="1"/>
        <rFont val="Arial"/>
        <family val="2"/>
      </rPr>
      <t>: Mediante otro plan de mejoramiento se cambia fecha de cumplimiento y las acciones a seguir.</t>
    </r>
  </si>
  <si>
    <r>
      <rPr>
        <b/>
        <sz val="10"/>
        <color theme="1"/>
        <rFont val="Arial"/>
        <family val="2"/>
      </rPr>
      <t xml:space="preserve">30 Julio 2016: </t>
    </r>
    <r>
      <rPr>
        <sz val="10"/>
        <color theme="1"/>
        <rFont val="Arial"/>
        <family val="2"/>
      </rPr>
      <t>En el mes de Junio, se presentó informe de cumplimiento de metas y ejecución presupuestal del proyecto 7328 en el marco del plan de desarrollo Bogotá humana de la dirección de mejoramiento de vivienda. (Periodo enero 2012 – diciembre 2014), con el fin de evidenciar el avance de las acciones establecidas para el hallazgo de auditoría interna del proceso de mejoramiento de vivienda, se realizó un análisis descriptivo de la ejecución del proyecto de inversión a cargo de esta Direccion</t>
    </r>
    <r>
      <rPr>
        <b/>
        <sz val="10"/>
        <color theme="1"/>
        <rFont val="Arial"/>
        <family val="2"/>
      </rPr>
      <t xml:space="preserve">.
22 marzo 2016: </t>
    </r>
    <r>
      <rPr>
        <sz val="10"/>
        <color theme="1"/>
        <rFont val="Arial"/>
        <family val="2"/>
      </rPr>
      <t xml:space="preserve">Este proyecto de inversión no ha definido un presupuesto para cada una de las actividades, considerando que este presupuesto se invierte en la contratación de los profesionales y técnicos que desarrollaron las diversas actividades. 
</t>
    </r>
    <r>
      <rPr>
        <b/>
        <sz val="10"/>
        <color theme="1"/>
        <rFont val="Arial"/>
        <family val="2"/>
      </rPr>
      <t>10 de noviembre de 2015</t>
    </r>
    <r>
      <rPr>
        <sz val="10"/>
        <color theme="1"/>
        <rFont val="Arial"/>
        <family val="2"/>
      </rPr>
      <t>: Se va a presentar un desagregado del presupuesto y su cumplimiento por las actividades formuladas para los POA vigente y de las actividades del POA de rezagos vigencia 2014 y 2013 sobre el presupuesto no desarrollado. Con un informe del líder del proceso dirigido a la OAP.6 de mayo de 2015: Mediante otro plan de mejoramiento se cambia fecha de cumplimiento y las acciones a seguir.</t>
    </r>
  </si>
  <si>
    <r>
      <rPr>
        <b/>
        <sz val="10"/>
        <color theme="1"/>
        <rFont val="Arial"/>
        <family val="2"/>
      </rPr>
      <t xml:space="preserve">30 Julio 2016: </t>
    </r>
    <r>
      <rPr>
        <sz val="10"/>
        <color theme="1"/>
        <rFont val="Arial"/>
        <family val="2"/>
      </rPr>
      <t xml:space="preserve">En el mes de Junio, se presentó informe de cumplimiento de metas y ejecución presupuestal del proyecto 7328 en el marco del plan de desarrollo Bogotá humana de la dirección de mejoramiento de vivienda. (Periodo enero 2012 – diciembre 2014), con el fin de evidenciar el avance de las acciones establecidas para el hallazgo de auditoría interna del proceso de mejoramiento de vivienda, se realizó un análisis descriptivo de la ejecución del proyecto de inversión a cargo de esta Direccion.
</t>
    </r>
    <r>
      <rPr>
        <b/>
        <sz val="10"/>
        <color theme="1"/>
        <rFont val="Arial"/>
        <family val="2"/>
      </rPr>
      <t xml:space="preserve">22 marzo 2016: </t>
    </r>
    <r>
      <rPr>
        <sz val="10"/>
        <color theme="1"/>
        <rFont val="Arial"/>
        <family val="2"/>
      </rPr>
      <t xml:space="preserve">Se definió con el líder del proceso presentar un informe que permita evidenciar los soportes de cumplimiento del presupuesto 
</t>
    </r>
    <r>
      <rPr>
        <b/>
        <sz val="10"/>
        <color theme="1"/>
        <rFont val="Arial"/>
        <family val="2"/>
      </rPr>
      <t>10 de noviembre de 2015</t>
    </r>
    <r>
      <rPr>
        <sz val="10"/>
        <color theme="1"/>
        <rFont val="Arial"/>
        <family val="2"/>
      </rPr>
      <t>: Se va a presentar un desagregado del presupuesto y su cumplimiento por las actividades formuladas para los POA vigente y de las actividades del POA de rezagos vigencia 2014y 2013 sobre el presupuesto no desarrollado. Con un informe del líder del proceso dirigido a la OAP.6 de mayo de 2015: Mediante otro plan de mejoramiento se cambia fecha de cumplimiento y las acciones a seguir.</t>
    </r>
  </si>
  <si>
    <r>
      <rPr>
        <b/>
        <sz val="10"/>
        <color theme="1"/>
        <rFont val="Arial"/>
        <family val="2"/>
      </rPr>
      <t>30 de Julio de 2016:</t>
    </r>
    <r>
      <rPr>
        <sz val="10"/>
        <color theme="1"/>
        <rFont val="Arial"/>
        <family val="2"/>
      </rPr>
      <t xml:space="preserve"> En reunión sostenida con la OAP y DMV, se tomó la decisión en conjunto de realizar la unificación de las actividades de los dos proyectos de inversión 962 y 7328 que se tenían a la fecha en un solo proyecto de inversión 7328 a partir del mes julio, por lo tanto se realizó cambio en las metas de algunos indicadores y ajuste de los indicadores del nuevo proyecto de inversión, por lo tanto el seguimiento de los mismos se realizara a partir del mes de Julio en los cortes respectivos segun cronogramas de presentacion de informes.
</t>
    </r>
    <r>
      <rPr>
        <b/>
        <sz val="10"/>
        <color theme="1"/>
        <rFont val="Arial"/>
        <family val="2"/>
      </rPr>
      <t>22 de marzo 2016</t>
    </r>
    <r>
      <rPr>
        <sz val="10"/>
        <color theme="1"/>
        <rFont val="Arial"/>
        <family val="2"/>
      </rPr>
      <t xml:space="preserve">: Se solicito modificar a CI fecha del 31Mar al  30May del 2016, justificando en que no se ha formulado aún indicadores de eficiencia y efectividad, considerando el ajuste del grupo y del proyecto PDD para este nuevo periodo.
</t>
    </r>
    <r>
      <rPr>
        <b/>
        <sz val="10"/>
        <color theme="1"/>
        <rFont val="Arial"/>
        <family val="2"/>
      </rPr>
      <t xml:space="preserve">10 de noviembre de 2015: </t>
    </r>
    <r>
      <rPr>
        <sz val="10"/>
        <color theme="1"/>
        <rFont val="Arial"/>
        <family val="2"/>
      </rPr>
      <t>No se han formulado indicadores de procesos para esta vigencia. No se ha dado un lineamiento de la directriz sobre los procesos definidos desde a formulación del plan estratégico, los indicadores del proceso de mejoramiento de vivienda. Se encuentra una hoja de indicadores sobre los mapas de riesgos, proyectos y planes de acción que no se aterrizan la gestión del proceso como cumplimiento del objetivo del proceso. Se solicita ampliación de cumplimiento de acción al primer trimestre del 2016.</t>
    </r>
  </si>
  <si>
    <r>
      <rPr>
        <b/>
        <sz val="10"/>
        <color theme="1"/>
        <rFont val="Arial"/>
        <family val="2"/>
      </rPr>
      <t>30 de Julio de 2016</t>
    </r>
    <r>
      <rPr>
        <sz val="10"/>
        <color theme="1"/>
        <rFont val="Arial"/>
        <family val="2"/>
      </rPr>
      <t xml:space="preserve">: En reunión sostenida con la OAP y DMV, se tomó la decisión en conjunto de realizar la unificación de las actividades de los dos proyectos de inversión 962 y 7328 que se tenían a la fecha en un solo proyecto de inversión 7328 a partir del mes julio, por lo tanto se realizó cambio en las metas de algunos indicadores y ajuste de los indicadores del nuevo proyecto de inversión, por lo tanto el seguimiento de los mismos se realizara a partir del mes de Julio en los cortes respectivos segun cronogramas de presentacion de informes. El proyecto de inversion nuevo junto con los indicadores ajustados fueron presentados a la OAP para la aprobación de los mismos.
</t>
    </r>
    <r>
      <rPr>
        <b/>
        <sz val="10"/>
        <color theme="1"/>
        <rFont val="Arial"/>
        <family val="2"/>
      </rPr>
      <t>22 de marzo 2016:</t>
    </r>
    <r>
      <rPr>
        <sz val="10"/>
        <color theme="1"/>
        <rFont val="Arial"/>
        <family val="2"/>
      </rPr>
      <t xml:space="preserve"> Se solicito modificar a CI fecha del 31Mar al 30May del 2016, depende de la acción anteriores, enmarcadas en el mismo hallazgo, soportando la misma justificación
10 de noviembre de 2015: No se han formulado indicadores de procesos para esta vigencia. No se ha dado un lineamiento de la directriz sobre los procesos definidos desde a formulación del plan estratégico, los indicadores del proceso de mejoramiento de vivienda. Se encuentra una hoja de indicadores sobre los mapas de riesgos, proyectos y planes de acción que no se aterrizan a la gestión del proceso como cumplimiento del objetivo del proceso. Se solicita ampliación de cumplimiento de acción al primer trimestre del 2016.</t>
    </r>
  </si>
  <si>
    <r>
      <rPr>
        <b/>
        <sz val="10"/>
        <color theme="1"/>
        <rFont val="Arial"/>
        <family val="2"/>
      </rPr>
      <t>30 de Julio de 2016:</t>
    </r>
    <r>
      <rPr>
        <sz val="10"/>
        <color theme="1"/>
        <rFont val="Arial"/>
        <family val="2"/>
      </rPr>
      <t xml:space="preserve"> En reunión sostenida con la OAP y DMV, se tomó la decisión en conjunto de realizar la unificación de las actividades de los dos proyectos de inversión 962 y 7328 que se tenían a la fecha en un solo proyecto de inversión 7328 a partir del mes julio, por lo tanto se realizó cambio en las metas de algunos indicadores y ajuste de los indicadores del nuevo proyecto de inversión, por lo tanto el seguimiento de los mismos se realizara a partir del mes de Julio en los cortes respectivos segun cronogramas de presentacion de informes. El proyecto de inversion nuevo junto con los indicadores ajustados fueron presentados a la OAP para la aprobación de los mismos.
</t>
    </r>
    <r>
      <rPr>
        <b/>
        <sz val="10"/>
        <color theme="1"/>
        <rFont val="Arial"/>
        <family val="2"/>
      </rPr>
      <t>22-Mar-2016:</t>
    </r>
    <r>
      <rPr>
        <sz val="10"/>
        <color theme="1"/>
        <rFont val="Arial"/>
        <family val="2"/>
      </rPr>
      <t xml:space="preserve"> Se solicitó modificar a CI fecha del 31Mar al 30May del 2016, depende de las dos acciones anteriores, enmarcadas en el mismo hallazgo, soportando la misma justificación.
</t>
    </r>
    <r>
      <rPr>
        <b/>
        <sz val="10"/>
        <color theme="1"/>
        <rFont val="Arial"/>
        <family val="2"/>
      </rPr>
      <t>10 de noviembre de 2015</t>
    </r>
    <r>
      <rPr>
        <sz val="10"/>
        <color theme="1"/>
        <rFont val="Arial"/>
        <family val="2"/>
      </rPr>
      <t>: No se han formulado indicadores de procesos para esta vigencia. No se ha dado un lineamiento de la directriz sobre los procesos definidos desde a formulación del plan estratégico, los indicadores del proceso de mejoramiento de vivienda. Se encuentra una hoja de indicadores sobre los mapas de riesgos, proyectos y planes de acción que no se aterrizan a la gestión del proceso como cumplimiento del objetivo del proceso. Se solicita ampliación de cumplimiento de acción al primer trimestre del 2016.</t>
    </r>
  </si>
  <si>
    <r>
      <rPr>
        <b/>
        <sz val="10"/>
        <color theme="1"/>
        <rFont val="Arial"/>
        <family val="2"/>
      </rPr>
      <t xml:space="preserve">22 Mar 2016: </t>
    </r>
    <r>
      <rPr>
        <sz val="10"/>
        <color theme="1"/>
        <rFont val="Arial"/>
        <family val="2"/>
      </rPr>
      <t>Se revisa el PM oficializado para este tema, que ya fue validado en coherencia por Control Interno y se encuentra formulado.
10 de noviembre de 2015: Se recibió  el plan de mejoramiento en control interno, se encuentra en revisión de coherencia.</t>
    </r>
  </si>
  <si>
    <r>
      <rPr>
        <b/>
        <sz val="10"/>
        <rFont val="Arial"/>
        <family val="2"/>
      </rPr>
      <t xml:space="preserve">22-Mar-2016: </t>
    </r>
    <r>
      <rPr>
        <sz val="10"/>
        <rFont val="Arial"/>
        <family val="2"/>
      </rPr>
      <t>Se solcito modificar a CI fecha del 29 de febrero al 16 de mayo 2016, justificando que durante el primer trimestre se realizó la presentación de informes vigencia 2015,  formulación de herramientas para la vigencia 2016 y adicional construcción y rendición de informes de emplame ante el retiro e ingreso del director de mejoramiento de vivienda: Dr. Cruz hasta el 29 feb y el Ing Guillermo Andres Arcila a aprtir del 16Mar2016.</t>
    </r>
  </si>
  <si>
    <r>
      <rPr>
        <b/>
        <sz val="10"/>
        <rFont val="Arial"/>
        <family val="2"/>
      </rPr>
      <t xml:space="preserve">22 Mar 2016: </t>
    </r>
    <r>
      <rPr>
        <sz val="10"/>
        <rFont val="Arial"/>
        <family val="2"/>
      </rPr>
      <t>No se ha adelantado esta actividad.  depende de la actividad anterior y se modifica fecha para el 15 de julio de 2016.</t>
    </r>
  </si>
  <si>
    <r>
      <rPr>
        <b/>
        <sz val="10"/>
        <rFont val="Arial"/>
        <family val="2"/>
      </rPr>
      <t xml:space="preserve">22-Mar 2016: </t>
    </r>
    <r>
      <rPr>
        <sz val="10"/>
        <rFont val="Arial"/>
        <family val="2"/>
      </rPr>
      <t xml:space="preserve">El procedimiento 208-MV-Pr-03 V2 </t>
    </r>
    <r>
      <rPr>
        <i/>
        <sz val="10"/>
        <rFont val="Arial"/>
        <family val="2"/>
      </rPr>
      <t>Asistencia técnica a hogares para el mejoramiento de vivienda</t>
    </r>
    <r>
      <rPr>
        <sz val="10"/>
        <rFont val="Arial"/>
        <family val="2"/>
      </rPr>
      <t xml:space="preserve">, fue ajustado y oficializado en el marco del SIG el 19/10/2015.
El procedimiento 208-MV-Pr-04 V2 </t>
    </r>
    <r>
      <rPr>
        <i/>
        <sz val="10"/>
        <rFont val="Arial"/>
        <family val="2"/>
      </rPr>
      <t>Supervisión a la interventoria de obra</t>
    </r>
    <r>
      <rPr>
        <sz val="10"/>
        <rFont val="Arial"/>
        <family val="2"/>
      </rPr>
      <t>, fue ajustado y oficializado en el marco del SIG el 07/10/2015.</t>
    </r>
  </si>
  <si>
    <r>
      <rPr>
        <b/>
        <sz val="10"/>
        <rFont val="Arial"/>
        <family val="2"/>
      </rPr>
      <t xml:space="preserve">30 de Agosto de 2016: </t>
    </r>
    <r>
      <rPr>
        <sz val="10"/>
        <rFont val="Arial"/>
        <family val="2"/>
      </rPr>
      <t xml:space="preserve">Se elaboro la lista de chequeo para el programa de condiciones de habitabilidad. Pendiente aprobacion por parte de la Direccion para solicitar a la OAP la incorporacion de la lista a la carpeta de calidad.
 </t>
    </r>
    <r>
      <rPr>
        <b/>
        <sz val="10"/>
        <rFont val="Arial"/>
        <family val="2"/>
      </rPr>
      <t>29 de julio de 2016:</t>
    </r>
    <r>
      <rPr>
        <sz val="10"/>
        <rFont val="Arial"/>
        <family val="2"/>
      </rPr>
      <t xml:space="preserve"> Se esta levantando la infomación cotejando las series, subseries y tipos documentales de la TRD con  los expedientes para la elaboración, de una nueva lista de chequeo que permita controlar los documentos minimos. </t>
    </r>
    <r>
      <rPr>
        <b/>
        <sz val="10"/>
        <rFont val="Arial"/>
        <family val="2"/>
      </rPr>
      <t xml:space="preserve">                                22 marzo de 2016</t>
    </r>
    <r>
      <rPr>
        <sz val="10"/>
        <rFont val="Arial"/>
        <family val="2"/>
      </rPr>
      <t>: Sin avance</t>
    </r>
  </si>
  <si>
    <r>
      <rPr>
        <b/>
        <sz val="10"/>
        <rFont val="Arial"/>
        <family val="2"/>
      </rPr>
      <t xml:space="preserve">29 de julio de 2016: </t>
    </r>
    <r>
      <rPr>
        <sz val="10"/>
        <rFont val="Arial"/>
        <family val="2"/>
      </rPr>
      <t xml:space="preserve">Se esta levantando la infomación cotejando las series, subseries y tipos documentales de la TRD con  los expedientes para la elaboración, de una nueva lista de chequeo que permita controlar los documentos minimos., del proceso de Mejoramiento de Vivienda.
</t>
    </r>
    <r>
      <rPr>
        <b/>
        <sz val="10"/>
        <rFont val="Arial"/>
        <family val="2"/>
      </rPr>
      <t>22-mar-2016</t>
    </r>
    <r>
      <rPr>
        <sz val="10"/>
        <rFont val="Arial"/>
        <family val="2"/>
      </rPr>
      <t>: Sin avance</t>
    </r>
  </si>
  <si>
    <r>
      <rPr>
        <b/>
        <sz val="10"/>
        <rFont val="Arial"/>
        <family val="2"/>
      </rPr>
      <t xml:space="preserve">21-Jun-2016: </t>
    </r>
    <r>
      <rPr>
        <sz val="10"/>
        <rFont val="Arial"/>
        <family val="2"/>
      </rPr>
      <t>Se realizó presentación el pasado 31 de mayo y 01 de junio, se presentó procedimiento y fromatos a las personas de planta termporal y contratistas que confroman la Dirección de Mejoramientode Vivienda. Pormedio 45 personas.</t>
    </r>
    <r>
      <rPr>
        <b/>
        <sz val="10"/>
        <rFont val="Arial"/>
        <family val="2"/>
      </rPr>
      <t xml:space="preserve">
16-mar-2016</t>
    </r>
    <r>
      <rPr>
        <sz val="10"/>
        <rFont val="Arial"/>
        <family val="2"/>
      </rPr>
      <t xml:space="preserve">: El 11 de febrero de 2016, se realiza el envío (correo electrónico) a los funcionarios de la DMV para su conocimiento e implementación.
Pendiente la socialización a las 11 personas que en este momento están en esta dirección (11 planta temporal y una planta fija)
El formato ya se esta utilizando. </t>
    </r>
  </si>
  <si>
    <r>
      <rPr>
        <b/>
        <sz val="10"/>
        <color theme="1"/>
        <rFont val="Arial"/>
        <family val="2"/>
      </rPr>
      <t xml:space="preserve">30 Julio 2016: </t>
    </r>
    <r>
      <rPr>
        <sz val="10"/>
        <color theme="1"/>
        <rFont val="Arial"/>
        <family val="2"/>
      </rPr>
      <t xml:space="preserve">En el mes de Junio, se presentó informe de cumplimiento de metas y ejecución presupuestal del proyecto 7328 en el marco del plan de desarrollo Bogotá humana de la dirección de mejoramiento de vivienda. (Periodo enero 2012 – diciembre 2014), con el fin de evidenciar el avance de las acciones establecidas para el hallazgo de auditoría interna del proceso de mejoramiento de vivienda, se realizó un análisis descriptivo de la ejecución del proyecto de inversión a cargo de esta Direccion.
</t>
    </r>
    <r>
      <rPr>
        <b/>
        <sz val="10"/>
        <color theme="1"/>
        <rFont val="Arial"/>
        <family val="2"/>
      </rPr>
      <t xml:space="preserve">22 marzo 2016: </t>
    </r>
    <r>
      <rPr>
        <sz val="10"/>
        <color theme="1"/>
        <rFont val="Arial"/>
        <family val="2"/>
      </rPr>
      <t>Durante esta revisión se va presentar un informe de las actividades ajustadas dentro del POA "Programación y Avance de actividades de Proyectos de Inversión"  de este proyecto, y enmarcado en el cumplimiento del presupuesto asignado para este proyecto. Pendiente justificar mediante este informe.</t>
    </r>
    <r>
      <rPr>
        <b/>
        <sz val="10"/>
        <color theme="1"/>
        <rFont val="Arial"/>
        <family val="2"/>
      </rPr>
      <t xml:space="preserve">
10 de noviembre de 2015</t>
    </r>
    <r>
      <rPr>
        <sz val="10"/>
        <color theme="1"/>
        <rFont val="Arial"/>
        <family val="2"/>
      </rPr>
      <t xml:space="preserve">: Se requiere un informe de las actividades que se ajustaron para la POA vigente 2015. Responsable Janeth Abella. Para el 13 de noviembre de 2015. (firmado por el jefe)
</t>
    </r>
    <r>
      <rPr>
        <b/>
        <sz val="10"/>
        <color theme="1"/>
        <rFont val="Arial"/>
        <family val="2"/>
      </rPr>
      <t xml:space="preserve">6 de mayo de 2015: </t>
    </r>
    <r>
      <rPr>
        <sz val="10"/>
        <color theme="1"/>
        <rFont val="Arial"/>
        <family val="2"/>
      </rPr>
      <t xml:space="preserve">Mediante otro plan de mejoramiento se cambia fecha de cumplimiento y las acciones a seguir. 
</t>
    </r>
    <r>
      <rPr>
        <b/>
        <sz val="10"/>
        <color theme="1"/>
        <rFont val="Arial"/>
        <family val="2"/>
      </rPr>
      <t xml:space="preserve">30 de Diciembre de 2014: </t>
    </r>
    <r>
      <rPr>
        <sz val="10"/>
        <color theme="1"/>
        <rFont val="Arial"/>
        <family val="2"/>
      </rPr>
      <t xml:space="preserve">Al ejecutar el presupuesto asignado se considera que están asociadas las metas intermedias atendiendo que el personal contratado tiene dentro de sus funciones actividades tendientes al cumplimiento de estas. No se cierra el hallazgo buscando que la Dirección pueda generar un análisis que deje más claro este tema. </t>
    </r>
  </si>
  <si>
    <r>
      <rPr>
        <b/>
        <sz val="10"/>
        <color rgb="FFFF0000"/>
        <rFont val="Arial"/>
        <family val="2"/>
      </rPr>
      <t xml:space="preserve">Septiembre: </t>
    </r>
    <r>
      <rPr>
        <sz val="10"/>
        <color rgb="FFFF0000"/>
        <rFont val="Arial"/>
        <family val="2"/>
      </rPr>
      <t>Esta pendiente generar memorando interno a todos los funcionarios de la Direccion de Mejoramiento de Vivienda, socializando  los indicadores  de eficiencia, eficacia y efectividad del proceso de la Direccion</t>
    </r>
    <r>
      <rPr>
        <sz val="10"/>
        <color theme="1"/>
        <rFont val="Arial"/>
        <family val="2"/>
      </rPr>
      <t xml:space="preserve">.
</t>
    </r>
    <r>
      <rPr>
        <b/>
        <sz val="10"/>
        <color theme="1"/>
        <rFont val="Arial"/>
        <family val="2"/>
      </rPr>
      <t>22-Mar-2016:</t>
    </r>
    <r>
      <rPr>
        <sz val="10"/>
        <color theme="1"/>
        <rFont val="Arial"/>
        <family val="2"/>
      </rPr>
      <t xml:space="preserve"> Se solicitó modificar a CI fecha del 31Mar al 30May del 2016, depende de las tres acciones anteriores, enmarcadas en el mismo hallazgo, soportando la misma justificación.
</t>
    </r>
    <r>
      <rPr>
        <b/>
        <sz val="10"/>
        <color theme="1"/>
        <rFont val="Arial"/>
        <family val="2"/>
      </rPr>
      <t>10 de noviembre de 2015</t>
    </r>
    <r>
      <rPr>
        <sz val="10"/>
        <color theme="1"/>
        <rFont val="Arial"/>
        <family val="2"/>
      </rPr>
      <t>: No se han formulado indicadores de procesos para esta vigencia. No se ha dado un lineamiento de la directriz sobre los procesos definidos desde a formulación del plan estratégico, los indicadores del proceso de mejoramiento de vivienda. Se encuentra una hoja de indicadores sobre los mapas de riesgos, proyectos y planes de acción que no se aterrizan a la gestión del proceso como cumplimiento del objetivo del proceso. Se solicita ampliación de cumplimiento de acción al primer trimestre del 2016.</t>
    </r>
  </si>
  <si>
    <r>
      <rPr>
        <b/>
        <sz val="10"/>
        <rFont val="Arial"/>
        <family val="2"/>
      </rPr>
      <t xml:space="preserve">Septiembre de 2016: </t>
    </r>
    <r>
      <rPr>
        <sz val="10"/>
        <rFont val="Arial"/>
        <family val="2"/>
      </rPr>
      <t xml:space="preserve">Esta pendiente solicitar mediante memorando a la OAP, el retiro de la carpeta de calidad los documentos.
</t>
    </r>
    <r>
      <rPr>
        <b/>
        <sz val="10"/>
        <rFont val="Arial"/>
        <family val="2"/>
      </rPr>
      <t xml:space="preserve">19 de Agosto de 2016: </t>
    </r>
    <r>
      <rPr>
        <sz val="10"/>
        <rFont val="Arial"/>
        <family val="2"/>
      </rPr>
      <t xml:space="preserve">Se solicito mediante memorando a la OAP, la incorporacion de la formulacion del nuevo proyecto de inverison en la carpeta de calidad.                                                                          </t>
    </r>
    <r>
      <rPr>
        <b/>
        <sz val="10"/>
        <rFont val="Arial"/>
        <family val="2"/>
      </rPr>
      <t xml:space="preserve">22 Mar 2016: </t>
    </r>
    <r>
      <rPr>
        <sz val="10"/>
        <rFont val="Arial"/>
        <family val="2"/>
      </rPr>
      <t xml:space="preserve">No se ha adelantado esta actividad.  Depende de la actividad anterior </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</si>
</sst>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_);_(* \(#,##0.00\);_(* &quot;-&quot;??_);_(@_)"/>
    <numFmt numFmtId="164" formatCode="d/mm/yyyy;@"/>
    <numFmt numFmtId="165" formatCode="dd/mmm/yyyy"/>
    <numFmt numFmtId="166" formatCode="0.0%"/>
    <numFmt numFmtId="167" formatCode="_(* #,##0_);_(* \(#,##0\);_(* &quot;-&quot;??_);_(@_)"/>
    <numFmt numFmtId="168" formatCode="[$-C0A]dd\-mmm\-yy;@"/>
  </numFmts>
  <fonts count="50" x14ac:knownFonts="1">
    <font>
      <sz val="11"/>
      <color theme="1"/>
      <name val="Calibri"/>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color theme="1"/>
      <name val="Calibri"/>
      <family val="2"/>
      <scheme val="minor"/>
    </font>
    <font>
      <sz val="10"/>
      <color theme="1"/>
      <name val="Arial"/>
      <family val="2"/>
    </font>
    <font>
      <sz val="11"/>
      <color theme="1"/>
      <name val="Calibri"/>
      <family val="2"/>
      <scheme val="minor"/>
    </font>
    <font>
      <sz val="10"/>
      <name val="Calibri"/>
      <family val="2"/>
      <scheme val="minor"/>
    </font>
    <font>
      <b/>
      <sz val="10"/>
      <name val="Calibri"/>
      <family val="2"/>
      <scheme val="minor"/>
    </font>
    <font>
      <sz val="10"/>
      <color rgb="FF000000"/>
      <name val="Arial"/>
      <family val="2"/>
    </font>
    <font>
      <b/>
      <sz val="10"/>
      <color rgb="FF000000"/>
      <name val="Arial"/>
      <family val="2"/>
    </font>
    <font>
      <b/>
      <sz val="11"/>
      <color theme="1"/>
      <name val="Calibri"/>
      <family val="2"/>
      <scheme val="minor"/>
    </font>
    <font>
      <b/>
      <sz val="9"/>
      <color indexed="81"/>
      <name val="Tahoma"/>
      <family val="2"/>
    </font>
    <font>
      <sz val="9"/>
      <color indexed="81"/>
      <name val="Tahoma"/>
      <family val="2"/>
    </font>
    <font>
      <b/>
      <sz val="10"/>
      <color theme="1"/>
      <name val="Arial"/>
      <family val="2"/>
    </font>
    <font>
      <b/>
      <sz val="12"/>
      <color theme="1"/>
      <name val="Arial"/>
      <family val="2"/>
    </font>
    <font>
      <b/>
      <sz val="9"/>
      <color theme="1"/>
      <name val="Arial"/>
      <family val="2"/>
    </font>
    <font>
      <sz val="8"/>
      <color theme="1"/>
      <name val="Arial"/>
      <family val="2"/>
    </font>
    <font>
      <b/>
      <sz val="8"/>
      <color theme="1"/>
      <name val="Arial"/>
      <family val="2"/>
    </font>
    <font>
      <sz val="9"/>
      <color theme="1"/>
      <name val="Arial"/>
      <family val="2"/>
    </font>
    <font>
      <sz val="11"/>
      <color rgb="FF000000"/>
      <name val="Arial"/>
      <family val="2"/>
    </font>
    <font>
      <b/>
      <sz val="11"/>
      <color theme="1"/>
      <name val="Arial"/>
      <family val="2"/>
    </font>
    <font>
      <b/>
      <sz val="12"/>
      <color rgb="FF000000"/>
      <name val="Arial"/>
      <family val="2"/>
    </font>
    <font>
      <sz val="10"/>
      <name val="Arial"/>
      <family val="2"/>
    </font>
    <font>
      <b/>
      <sz val="20"/>
      <color theme="1"/>
      <name val="Calibri"/>
      <family val="2"/>
      <scheme val="minor"/>
    </font>
    <font>
      <sz val="8"/>
      <name val="Arial"/>
      <family val="2"/>
    </font>
    <font>
      <sz val="10"/>
      <color rgb="FF00B0F0"/>
      <name val="Arial"/>
      <family val="2"/>
    </font>
    <font>
      <sz val="9"/>
      <color rgb="FF000000"/>
      <name val="Arial"/>
      <family val="2"/>
    </font>
    <font>
      <sz val="10"/>
      <color rgb="FFFF0000"/>
      <name val="Arial"/>
      <family val="2"/>
    </font>
    <font>
      <sz val="11"/>
      <color rgb="FF000000"/>
      <name val="Calibri"/>
      <family val="2"/>
      <scheme val="minor"/>
    </font>
    <font>
      <sz val="8"/>
      <color rgb="FFFF0000"/>
      <name val="Arial"/>
      <family val="2"/>
    </font>
    <font>
      <sz val="9"/>
      <name val="Arial"/>
      <family val="2"/>
    </font>
    <font>
      <sz val="12"/>
      <name val="Arial"/>
      <family val="2"/>
    </font>
    <font>
      <b/>
      <sz val="14"/>
      <color theme="1"/>
      <name val="Arial"/>
      <family val="2"/>
    </font>
    <font>
      <b/>
      <sz val="9"/>
      <name val="Arial"/>
      <family val="2"/>
    </font>
    <font>
      <b/>
      <sz val="14"/>
      <name val="Arial"/>
      <family val="2"/>
    </font>
    <font>
      <b/>
      <sz val="12"/>
      <name val="Arial"/>
      <family val="2"/>
    </font>
    <font>
      <b/>
      <sz val="9"/>
      <color rgb="FF000000"/>
      <name val="Arial"/>
      <family val="2"/>
    </font>
    <font>
      <b/>
      <sz val="9"/>
      <color rgb="FF000000"/>
      <name val="Tahoma"/>
      <family val="2"/>
    </font>
    <font>
      <sz val="9"/>
      <color rgb="FF000000"/>
      <name val="Tahoma"/>
      <family val="2"/>
    </font>
    <font>
      <sz val="8"/>
      <color rgb="FF000000"/>
      <name val="Tahoma"/>
      <family val="2"/>
    </font>
    <font>
      <b/>
      <sz val="8"/>
      <color rgb="FF000000"/>
      <name val="Tahoma"/>
      <family val="2"/>
    </font>
    <font>
      <sz val="9"/>
      <color theme="1"/>
      <name val="Calibri"/>
      <family val="2"/>
      <scheme val="minor"/>
    </font>
    <font>
      <b/>
      <sz val="10"/>
      <name val="Arial"/>
      <family val="2"/>
    </font>
    <font>
      <b/>
      <sz val="10"/>
      <color rgb="FFFFCCCC"/>
      <name val="Arial"/>
      <family val="2"/>
    </font>
    <font>
      <i/>
      <sz val="10"/>
      <name val="Arial"/>
      <family val="2"/>
    </font>
    <font>
      <sz val="10"/>
      <color rgb="FF000000"/>
      <name val="Calibri"/>
      <family val="2"/>
      <scheme val="minor"/>
    </font>
    <font>
      <b/>
      <sz val="10"/>
      <color rgb="FFFF0000"/>
      <name val="Arial"/>
      <family val="2"/>
    </font>
  </fonts>
  <fills count="35">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5" tint="0.79998168889431442"/>
        <bgColor indexed="64"/>
      </patternFill>
    </fill>
    <fill>
      <gradientFill degree="90">
        <stop position="0">
          <color theme="0"/>
        </stop>
        <stop position="0.5">
          <color theme="6" tint="0.80001220740379042"/>
        </stop>
        <stop position="1">
          <color theme="0"/>
        </stop>
      </gradientFill>
    </fill>
    <fill>
      <patternFill patternType="solid">
        <fgColor theme="4" tint="0.79998168889431442"/>
        <bgColor indexed="64"/>
      </patternFill>
    </fill>
    <fill>
      <gradientFill degree="90">
        <stop position="0">
          <color theme="0"/>
        </stop>
        <stop position="0.5">
          <color theme="9" tint="0.80001220740379042"/>
        </stop>
        <stop position="1">
          <color theme="0"/>
        </stop>
      </gradientFill>
    </fill>
    <fill>
      <patternFill patternType="solid">
        <fgColor rgb="FFFFC000"/>
        <bgColor indexed="64"/>
      </patternFill>
    </fill>
    <fill>
      <patternFill patternType="solid">
        <fgColor theme="6" tint="0.79998168889431442"/>
        <bgColor indexed="64"/>
      </patternFill>
    </fill>
    <fill>
      <patternFill patternType="solid">
        <fgColor theme="6" tint="0.59999389629810485"/>
        <bgColor indexed="64"/>
      </patternFill>
    </fill>
    <fill>
      <patternFill patternType="solid">
        <fgColor rgb="FFD8D8D8"/>
        <bgColor rgb="FF000000"/>
      </patternFill>
    </fill>
    <fill>
      <patternFill patternType="solid">
        <fgColor theme="0" tint="-4.9989318521683403E-2"/>
        <bgColor indexed="64"/>
      </patternFill>
    </fill>
    <fill>
      <gradientFill degree="90">
        <stop position="0">
          <color theme="0"/>
        </stop>
        <stop position="0.5">
          <color theme="5" tint="0.80001220740379042"/>
        </stop>
        <stop position="1">
          <color theme="0"/>
        </stop>
      </gradientFill>
    </fill>
    <fill>
      <gradientFill degree="90">
        <stop position="0">
          <color theme="0"/>
        </stop>
        <stop position="0.5">
          <color theme="4" tint="0.80001220740379042"/>
        </stop>
        <stop position="1">
          <color theme="0"/>
        </stop>
      </gradientFill>
    </fill>
    <fill>
      <patternFill patternType="solid">
        <fgColor theme="6" tint="0.39997558519241921"/>
        <bgColor indexed="64"/>
      </patternFill>
    </fill>
    <fill>
      <patternFill patternType="solid">
        <fgColor theme="9" tint="-0.499984740745262"/>
        <bgColor indexed="64"/>
      </patternFill>
    </fill>
    <fill>
      <patternFill patternType="solid">
        <fgColor theme="0"/>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5" tint="-0.249977111117893"/>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CD5B4"/>
        <bgColor rgb="FF000000"/>
      </patternFill>
    </fill>
    <fill>
      <patternFill patternType="solid">
        <fgColor rgb="FFFFFF00"/>
        <bgColor rgb="FF000000"/>
      </patternFill>
    </fill>
    <fill>
      <patternFill patternType="solid">
        <fgColor theme="9" tint="0.79998168889431442"/>
        <bgColor indexed="64"/>
      </patternFill>
    </fill>
    <fill>
      <patternFill patternType="solid">
        <fgColor theme="7" tint="0.79998168889431442"/>
        <bgColor indexed="64"/>
      </patternFill>
    </fill>
    <fill>
      <patternFill patternType="solid">
        <fgColor indexed="22"/>
        <bgColor indexed="64"/>
      </patternFill>
    </fill>
    <fill>
      <patternFill patternType="solid">
        <fgColor rgb="FF92D050"/>
        <bgColor rgb="FF000000"/>
      </patternFill>
    </fill>
    <fill>
      <patternFill patternType="solid">
        <fgColor theme="3" tint="0.39997558519241921"/>
        <bgColor indexed="64"/>
      </patternFill>
    </fill>
    <fill>
      <patternFill patternType="solid">
        <fgColor theme="5" tint="0.39997558519241921"/>
        <bgColor indexed="64"/>
      </patternFill>
    </fill>
    <fill>
      <patternFill patternType="solid">
        <fgColor theme="6" tint="-0.249977111117893"/>
        <bgColor indexed="64"/>
      </patternFill>
    </fill>
  </fills>
  <borders count="9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double">
        <color indexed="64"/>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double">
        <color indexed="64"/>
      </bottom>
      <diagonal/>
    </border>
    <border>
      <left/>
      <right style="thin">
        <color indexed="64"/>
      </right>
      <top style="medium">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double">
        <color indexed="64"/>
      </top>
      <bottom style="double">
        <color indexed="64"/>
      </bottom>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double">
        <color indexed="64"/>
      </bottom>
      <diagonal/>
    </border>
    <border>
      <left style="thin">
        <color indexed="64"/>
      </left>
      <right/>
      <top style="medium">
        <color indexed="64"/>
      </top>
      <bottom style="double">
        <color indexed="64"/>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style="double">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medium">
        <color indexed="64"/>
      </top>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style="thin">
        <color indexed="64"/>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right/>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style="double">
        <color indexed="64"/>
      </left>
      <right/>
      <top style="medium">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medium">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double">
        <color rgb="FF000000"/>
      </bottom>
      <diagonal/>
    </border>
    <border>
      <left style="double">
        <color indexed="64"/>
      </left>
      <right style="thin">
        <color indexed="64"/>
      </right>
      <top style="thin">
        <color indexed="64"/>
      </top>
      <bottom/>
      <diagonal/>
    </border>
    <border>
      <left style="thin">
        <color indexed="64"/>
      </left>
      <right style="double">
        <color indexed="64"/>
      </right>
      <top style="thin">
        <color indexed="64"/>
      </top>
      <bottom/>
      <diagonal/>
    </border>
  </borders>
  <cellStyleXfs count="4">
    <xf numFmtId="0" fontId="0" fillId="0" borderId="0"/>
    <xf numFmtId="43" fontId="8" fillId="0" borderId="0" applyFont="0" applyFill="0" applyBorder="0" applyAlignment="0" applyProtection="0"/>
    <xf numFmtId="9" fontId="8" fillId="0" borderId="0" applyFont="0" applyFill="0" applyBorder="0" applyAlignment="0" applyProtection="0"/>
    <xf numFmtId="0" fontId="25" fillId="0" borderId="0"/>
  </cellStyleXfs>
  <cellXfs count="808">
    <xf numFmtId="0" fontId="0" fillId="0" borderId="0" xfId="0"/>
    <xf numFmtId="0" fontId="0" fillId="0" borderId="0" xfId="0"/>
    <xf numFmtId="0" fontId="6" fillId="0" borderId="0" xfId="0" applyFont="1"/>
    <xf numFmtId="0" fontId="9" fillId="0" borderId="1" xfId="0" applyFont="1" applyFill="1" applyBorder="1" applyAlignment="1">
      <alignment vertical="center" wrapText="1"/>
    </xf>
    <xf numFmtId="0" fontId="9" fillId="0" borderId="1" xfId="0" applyFont="1" applyFill="1" applyBorder="1" applyAlignment="1">
      <alignment vertical="center"/>
    </xf>
    <xf numFmtId="0" fontId="10" fillId="0" borderId="1" xfId="0" applyFont="1" applyFill="1" applyBorder="1" applyAlignment="1">
      <alignment horizontal="center" vertical="center"/>
    </xf>
    <xf numFmtId="164" fontId="10" fillId="0" borderId="1" xfId="0" applyNumberFormat="1" applyFont="1" applyFill="1" applyBorder="1" applyAlignment="1">
      <alignment horizontal="center" vertical="center" wrapText="1"/>
    </xf>
    <xf numFmtId="164" fontId="9" fillId="0" borderId="1" xfId="0" applyNumberFormat="1" applyFont="1" applyFill="1" applyBorder="1" applyAlignment="1">
      <alignment vertical="center"/>
    </xf>
    <xf numFmtId="0" fontId="9" fillId="0" borderId="1" xfId="0" applyFont="1" applyFill="1" applyBorder="1" applyAlignment="1"/>
    <xf numFmtId="164" fontId="9" fillId="0" borderId="1" xfId="0" applyNumberFormat="1" applyFont="1" applyFill="1" applyBorder="1"/>
    <xf numFmtId="164" fontId="9" fillId="0" borderId="1" xfId="0" applyNumberFormat="1" applyFont="1" applyFill="1" applyBorder="1" applyAlignment="1">
      <alignment vertical="center" wrapText="1"/>
    </xf>
    <xf numFmtId="0" fontId="9" fillId="0" borderId="1" xfId="0" applyFont="1" applyFill="1" applyBorder="1" applyAlignment="1">
      <alignment wrapText="1"/>
    </xf>
    <xf numFmtId="164" fontId="9" fillId="0" borderId="1" xfId="1" applyNumberFormat="1" applyFont="1" applyFill="1" applyBorder="1" applyAlignment="1">
      <alignment vertical="center"/>
    </xf>
    <xf numFmtId="0" fontId="0" fillId="0" borderId="0" xfId="0" applyAlignment="1"/>
    <xf numFmtId="164" fontId="9" fillId="0" borderId="1"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6" fillId="0" borderId="1" xfId="0" applyFont="1" applyFill="1" applyBorder="1"/>
    <xf numFmtId="0" fontId="7" fillId="0" borderId="1" xfId="0" applyFont="1" applyFill="1" applyBorder="1" applyAlignment="1">
      <alignment horizontal="center" vertical="center" wrapText="1"/>
    </xf>
    <xf numFmtId="0" fontId="13" fillId="8" borderId="0" xfId="0" applyFont="1" applyFill="1"/>
    <xf numFmtId="0" fontId="13" fillId="8" borderId="0" xfId="0" applyFont="1" applyFill="1" applyAlignment="1">
      <alignment horizontal="center" vertical="center"/>
    </xf>
    <xf numFmtId="0" fontId="0" fillId="4" borderId="0" xfId="0" applyFill="1"/>
    <xf numFmtId="0" fontId="0" fillId="0" borderId="0" xfId="0" applyAlignment="1">
      <alignment wrapText="1"/>
    </xf>
    <xf numFmtId="0" fontId="0" fillId="9" borderId="0" xfId="0" applyFill="1"/>
    <xf numFmtId="0" fontId="16" fillId="0" borderId="0" xfId="0" applyFont="1" applyAlignment="1">
      <alignment horizontal="left" vertical="center"/>
    </xf>
    <xf numFmtId="0" fontId="16" fillId="0" borderId="0" xfId="0" applyFont="1" applyBorder="1" applyAlignment="1">
      <alignment horizontal="right"/>
    </xf>
    <xf numFmtId="0" fontId="17" fillId="10" borderId="6" xfId="0" applyFont="1" applyFill="1" applyBorder="1" applyAlignment="1">
      <alignment vertical="center"/>
    </xf>
    <xf numFmtId="0" fontId="16" fillId="0" borderId="0" xfId="0" applyFont="1" applyFill="1" applyBorder="1" applyAlignment="1"/>
    <xf numFmtId="164" fontId="16" fillId="0" borderId="0" xfId="0" applyNumberFormat="1" applyFont="1" applyBorder="1" applyAlignment="1"/>
    <xf numFmtId="0" fontId="16" fillId="0" borderId="0" xfId="0" applyFont="1" applyBorder="1" applyAlignment="1">
      <alignment horizontal="center"/>
    </xf>
    <xf numFmtId="0" fontId="16" fillId="0" borderId="0" xfId="0" applyFont="1" applyBorder="1" applyAlignment="1">
      <alignment horizontal="center" vertical="center"/>
    </xf>
    <xf numFmtId="0" fontId="7" fillId="0" borderId="0" xfId="0" applyFont="1"/>
    <xf numFmtId="0" fontId="7" fillId="0" borderId="0" xfId="0" applyFont="1" applyAlignment="1">
      <alignment horizontal="center" vertical="center"/>
    </xf>
    <xf numFmtId="0" fontId="16" fillId="0" borderId="0" xfId="0" applyFont="1" applyBorder="1" applyAlignment="1"/>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xf>
    <xf numFmtId="0" fontId="18" fillId="3" borderId="8" xfId="0" applyFont="1" applyFill="1" applyBorder="1" applyAlignment="1">
      <alignment horizontal="center" vertical="center" wrapText="1"/>
    </xf>
    <xf numFmtId="164" fontId="16" fillId="3" borderId="8" xfId="0" applyNumberFormat="1" applyFont="1" applyFill="1" applyBorder="1" applyAlignment="1">
      <alignment horizontal="center" vertical="center" wrapText="1"/>
    </xf>
    <xf numFmtId="0" fontId="12" fillId="11" borderId="8"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20" fillId="3" borderId="8" xfId="0" applyFont="1" applyFill="1" applyBorder="1" applyAlignment="1">
      <alignment horizontal="center" vertical="center" wrapText="1"/>
    </xf>
    <xf numFmtId="0" fontId="18" fillId="3" borderId="9"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justify" vertical="center" wrapText="1"/>
    </xf>
    <xf numFmtId="0" fontId="7" fillId="0" borderId="3" xfId="0" applyFont="1" applyBorder="1" applyAlignment="1">
      <alignment wrapText="1"/>
    </xf>
    <xf numFmtId="0" fontId="21" fillId="0" borderId="3" xfId="0" applyFont="1" applyBorder="1" applyAlignment="1">
      <alignment horizontal="center" vertical="center" wrapText="1"/>
    </xf>
    <xf numFmtId="165" fontId="21" fillId="0" borderId="3" xfId="0" applyNumberFormat="1" applyFont="1" applyBorder="1" applyAlignment="1">
      <alignment horizontal="center" vertical="center"/>
    </xf>
    <xf numFmtId="0" fontId="22" fillId="0" borderId="3" xfId="0" applyFont="1" applyBorder="1"/>
    <xf numFmtId="0" fontId="19" fillId="0" borderId="3" xfId="0" applyFont="1" applyBorder="1" applyAlignment="1">
      <alignment horizontal="center" vertical="center"/>
    </xf>
    <xf numFmtId="0" fontId="7" fillId="0" borderId="1" xfId="0" applyFont="1" applyBorder="1" applyAlignment="1">
      <alignment horizontal="center" vertical="center"/>
    </xf>
    <xf numFmtId="2" fontId="7" fillId="3" borderId="3" xfId="0" applyNumberFormat="1" applyFont="1" applyFill="1" applyBorder="1"/>
    <xf numFmtId="0" fontId="7" fillId="2" borderId="3" xfId="0" applyFont="1" applyFill="1" applyBorder="1" applyAlignment="1">
      <alignment horizontal="justify" vertical="center" wrapText="1"/>
    </xf>
    <xf numFmtId="0" fontId="7" fillId="2" borderId="3" xfId="0" applyFont="1" applyFill="1" applyBorder="1" applyAlignment="1">
      <alignment wrapText="1"/>
    </xf>
    <xf numFmtId="0" fontId="7" fillId="2" borderId="3" xfId="0" applyFont="1" applyFill="1" applyBorder="1" applyAlignment="1">
      <alignment horizontal="center" vertical="center" wrapText="1"/>
    </xf>
    <xf numFmtId="0" fontId="16" fillId="2" borderId="0" xfId="0" applyFont="1" applyFill="1" applyAlignment="1">
      <alignment horizontal="left" vertical="center"/>
    </xf>
    <xf numFmtId="0" fontId="7" fillId="0" borderId="0" xfId="0" applyFont="1" applyAlignment="1"/>
    <xf numFmtId="164" fontId="7" fillId="0" borderId="0" xfId="0" applyNumberFormat="1" applyFont="1" applyAlignment="1"/>
    <xf numFmtId="0" fontId="7" fillId="0" borderId="0" xfId="0" applyFont="1" applyAlignment="1">
      <alignment horizontal="center"/>
    </xf>
    <xf numFmtId="0" fontId="7" fillId="0" borderId="0" xfId="0" applyFont="1" applyFill="1" applyAlignment="1">
      <alignment horizontal="left" vertical="center"/>
    </xf>
    <xf numFmtId="0" fontId="18" fillId="0" borderId="11" xfId="0" applyFont="1" applyBorder="1" applyAlignment="1">
      <alignment horizontal="center" vertical="center"/>
    </xf>
    <xf numFmtId="0" fontId="16" fillId="5" borderId="12" xfId="0" applyFont="1" applyFill="1" applyBorder="1" applyAlignment="1">
      <alignment horizontal="center" vertical="center" wrapText="1"/>
    </xf>
    <xf numFmtId="0" fontId="12" fillId="7" borderId="13" xfId="0" applyFont="1" applyFill="1" applyBorder="1" applyAlignment="1">
      <alignment horizontal="center" vertical="center"/>
    </xf>
    <xf numFmtId="0" fontId="16" fillId="0" borderId="7" xfId="0" applyFont="1" applyBorder="1" applyAlignment="1"/>
    <xf numFmtId="0" fontId="16" fillId="0" borderId="8" xfId="0" applyFont="1" applyBorder="1" applyAlignment="1">
      <alignment horizontal="center" vertical="center"/>
    </xf>
    <xf numFmtId="0" fontId="16" fillId="0" borderId="8" xfId="0" applyFont="1" applyBorder="1" applyAlignment="1">
      <alignment horizontal="center" vertical="center" wrapText="1"/>
    </xf>
    <xf numFmtId="0" fontId="16" fillId="5" borderId="8" xfId="0" applyFont="1" applyFill="1" applyBorder="1" applyAlignment="1">
      <alignment horizontal="center" vertical="center" wrapText="1"/>
    </xf>
    <xf numFmtId="0" fontId="12" fillId="7" borderId="9" xfId="0" applyFont="1" applyFill="1" applyBorder="1" applyAlignment="1">
      <alignment horizontal="center" vertical="center"/>
    </xf>
    <xf numFmtId="0" fontId="16" fillId="12" borderId="14" xfId="0" applyFont="1" applyFill="1" applyBorder="1" applyAlignment="1">
      <alignment horizontal="center" vertical="center"/>
    </xf>
    <xf numFmtId="0" fontId="17" fillId="0" borderId="0" xfId="0" applyFont="1" applyAlignment="1"/>
    <xf numFmtId="0" fontId="7" fillId="13" borderId="15" xfId="0" applyFont="1" applyFill="1" applyBorder="1" applyAlignment="1"/>
    <xf numFmtId="0" fontId="16" fillId="3" borderId="1" xfId="0" applyFont="1" applyFill="1" applyBorder="1" applyAlignment="1">
      <alignment horizontal="center" vertical="center"/>
    </xf>
    <xf numFmtId="0" fontId="7" fillId="0" borderId="16" xfId="0" applyFont="1" applyBorder="1" applyAlignment="1">
      <alignment horizontal="center" vertical="center"/>
    </xf>
    <xf numFmtId="0" fontId="7" fillId="13" borderId="17" xfId="0" applyFont="1" applyFill="1" applyBorder="1" applyAlignment="1"/>
    <xf numFmtId="0" fontId="16" fillId="0" borderId="18" xfId="0" applyFont="1" applyBorder="1" applyAlignment="1">
      <alignment horizontal="center" vertical="center"/>
    </xf>
    <xf numFmtId="0" fontId="7" fillId="0" borderId="3" xfId="0" applyFont="1" applyBorder="1" applyAlignment="1">
      <alignment horizontal="center"/>
    </xf>
    <xf numFmtId="0" fontId="7" fillId="0" borderId="19" xfId="0" applyFont="1" applyBorder="1" applyAlignment="1">
      <alignment horizontal="center" vertical="center"/>
    </xf>
    <xf numFmtId="0" fontId="7" fillId="12" borderId="20" xfId="0" applyFont="1" applyFill="1" applyBorder="1" applyAlignment="1">
      <alignment horizontal="center" vertical="center"/>
    </xf>
    <xf numFmtId="0" fontId="7" fillId="5" borderId="21" xfId="0" applyFont="1" applyFill="1" applyBorder="1" applyAlignment="1"/>
    <xf numFmtId="0" fontId="7" fillId="0" borderId="4" xfId="0" applyFont="1" applyBorder="1" applyAlignment="1">
      <alignment horizontal="center" vertical="center"/>
    </xf>
    <xf numFmtId="0" fontId="16" fillId="3" borderId="22" xfId="0" applyFont="1" applyFill="1" applyBorder="1" applyAlignment="1">
      <alignment horizontal="center" vertical="center"/>
    </xf>
    <xf numFmtId="0" fontId="7" fillId="0" borderId="23" xfId="0" applyFont="1" applyBorder="1" applyAlignment="1">
      <alignment horizontal="center" vertical="center"/>
    </xf>
    <xf numFmtId="0" fontId="7" fillId="5" borderId="24" xfId="0" applyFont="1" applyFill="1" applyBorder="1" applyAlignment="1"/>
    <xf numFmtId="0" fontId="16" fillId="0" borderId="25" xfId="0" applyFont="1" applyBorder="1" applyAlignment="1">
      <alignment horizontal="center" vertical="center"/>
    </xf>
    <xf numFmtId="0" fontId="7" fillId="0" borderId="26" xfId="0" applyFont="1" applyBorder="1" applyAlignment="1">
      <alignment horizontal="center"/>
    </xf>
    <xf numFmtId="0" fontId="7" fillId="0" borderId="26" xfId="0" applyFont="1" applyBorder="1" applyAlignment="1">
      <alignment horizontal="center" vertical="center"/>
    </xf>
    <xf numFmtId="0" fontId="7" fillId="0" borderId="27" xfId="0" applyFont="1" applyBorder="1" applyAlignment="1">
      <alignment horizontal="center" vertical="center"/>
    </xf>
    <xf numFmtId="0" fontId="7" fillId="12" borderId="28" xfId="0" applyFont="1" applyFill="1" applyBorder="1" applyAlignment="1">
      <alignment horizontal="center" vertical="center"/>
    </xf>
    <xf numFmtId="0" fontId="16" fillId="0" borderId="25" xfId="0" applyFont="1" applyBorder="1" applyAlignment="1">
      <alignment horizontal="right"/>
    </xf>
    <xf numFmtId="0" fontId="16" fillId="0" borderId="29" xfId="0" applyFont="1" applyBorder="1" applyAlignment="1">
      <alignment horizontal="center"/>
    </xf>
    <xf numFmtId="0" fontId="16" fillId="0" borderId="30" xfId="0" applyFont="1" applyBorder="1" applyAlignment="1">
      <alignment horizontal="center" vertical="center"/>
    </xf>
    <xf numFmtId="0" fontId="16" fillId="0" borderId="31" xfId="0" applyFont="1" applyBorder="1" applyAlignment="1">
      <alignment horizontal="center" vertical="center"/>
    </xf>
    <xf numFmtId="0" fontId="16" fillId="0" borderId="0" xfId="0" applyFont="1" applyFill="1" applyBorder="1" applyAlignment="1">
      <alignment horizontal="right" vertical="center" wrapText="1"/>
    </xf>
    <xf numFmtId="0" fontId="7" fillId="3" borderId="25" xfId="0" applyFont="1" applyFill="1" applyBorder="1" applyAlignment="1">
      <alignment horizontal="center" vertical="center"/>
    </xf>
    <xf numFmtId="0" fontId="7" fillId="3" borderId="29" xfId="0" applyFont="1" applyFill="1" applyBorder="1" applyAlignment="1">
      <alignment horizontal="center" vertical="center"/>
    </xf>
    <xf numFmtId="0" fontId="7" fillId="3" borderId="32" xfId="0" applyFont="1" applyFill="1" applyBorder="1" applyAlignment="1">
      <alignment horizontal="center" vertical="center"/>
    </xf>
    <xf numFmtId="0" fontId="7" fillId="3" borderId="33" xfId="0" applyFont="1" applyFill="1" applyBorder="1" applyAlignment="1">
      <alignment horizontal="center" vertical="center"/>
    </xf>
    <xf numFmtId="0" fontId="16" fillId="3" borderId="33" xfId="0" applyFont="1" applyFill="1" applyBorder="1" applyAlignment="1">
      <alignment horizontal="center" vertical="center"/>
    </xf>
    <xf numFmtId="0" fontId="16" fillId="0" borderId="34" xfId="0" applyFont="1" applyFill="1" applyBorder="1" applyAlignment="1">
      <alignment horizontal="right" vertical="center" wrapText="1"/>
    </xf>
    <xf numFmtId="0" fontId="16" fillId="3" borderId="6" xfId="0" applyFont="1" applyFill="1" applyBorder="1" applyAlignment="1">
      <alignment horizontal="center" vertical="center"/>
    </xf>
    <xf numFmtId="0" fontId="7" fillId="0" borderId="0" xfId="0" applyFont="1" applyFill="1" applyBorder="1" applyAlignment="1">
      <alignment horizontal="center" vertical="center"/>
    </xf>
    <xf numFmtId="0" fontId="16" fillId="14" borderId="35" xfId="0" applyFont="1" applyFill="1" applyBorder="1" applyAlignment="1">
      <alignment horizontal="center" vertical="center"/>
    </xf>
    <xf numFmtId="164" fontId="7" fillId="0" borderId="0" xfId="0" applyNumberFormat="1" applyFont="1" applyFill="1" applyBorder="1" applyAlignment="1"/>
    <xf numFmtId="0" fontId="11" fillId="0" borderId="0" xfId="0" applyFont="1" applyFill="1" applyBorder="1"/>
    <xf numFmtId="0" fontId="7" fillId="0" borderId="0" xfId="0" applyFont="1" applyFill="1" applyBorder="1"/>
    <xf numFmtId="0" fontId="18" fillId="14" borderId="36" xfId="0" applyFont="1" applyFill="1" applyBorder="1" applyAlignment="1">
      <alignment horizontal="center" vertical="center"/>
    </xf>
    <xf numFmtId="0" fontId="16" fillId="5" borderId="37" xfId="0" applyFont="1" applyFill="1" applyBorder="1" applyAlignment="1">
      <alignment horizontal="center" vertical="center" wrapText="1"/>
    </xf>
    <xf numFmtId="0" fontId="16" fillId="0" borderId="0" xfId="0" applyFont="1" applyAlignment="1">
      <alignment horizontal="right"/>
    </xf>
    <xf numFmtId="0" fontId="23" fillId="15" borderId="0" xfId="0" applyFont="1" applyFill="1" applyAlignment="1"/>
    <xf numFmtId="0" fontId="7" fillId="14" borderId="20" xfId="0" applyFont="1" applyFill="1" applyBorder="1"/>
    <xf numFmtId="0" fontId="7" fillId="0" borderId="38" xfId="0" applyFont="1" applyBorder="1" applyAlignment="1">
      <alignment horizontal="center" vertical="center"/>
    </xf>
    <xf numFmtId="0" fontId="7" fillId="14" borderId="40" xfId="0" applyFont="1" applyFill="1" applyBorder="1"/>
    <xf numFmtId="0" fontId="7" fillId="0" borderId="22" xfId="0" applyFont="1" applyBorder="1" applyAlignment="1">
      <alignment horizontal="center" vertical="center"/>
    </xf>
    <xf numFmtId="0" fontId="7" fillId="0" borderId="4" xfId="0" applyFont="1" applyBorder="1" applyAlignment="1">
      <alignment horizontal="center" vertical="center" wrapText="1"/>
    </xf>
    <xf numFmtId="0" fontId="19" fillId="13" borderId="21" xfId="0" applyFont="1" applyFill="1" applyBorder="1" applyAlignment="1">
      <alignment horizontal="center"/>
    </xf>
    <xf numFmtId="0" fontId="19" fillId="5" borderId="4" xfId="0" applyFont="1" applyFill="1" applyBorder="1" applyAlignment="1">
      <alignment horizontal="center"/>
    </xf>
    <xf numFmtId="0" fontId="16" fillId="3" borderId="4" xfId="0" applyFont="1" applyFill="1" applyBorder="1" applyAlignment="1">
      <alignment horizontal="center" vertical="center"/>
    </xf>
    <xf numFmtId="0" fontId="16" fillId="3" borderId="23" xfId="0" applyFont="1" applyFill="1" applyBorder="1" applyAlignment="1">
      <alignment horizontal="center" vertical="center"/>
    </xf>
    <xf numFmtId="0" fontId="7" fillId="0" borderId="25" xfId="0" applyFont="1" applyBorder="1" applyAlignment="1">
      <alignment horizontal="center" vertical="center"/>
    </xf>
    <xf numFmtId="0" fontId="7" fillId="0" borderId="29" xfId="0" applyFont="1" applyBorder="1" applyAlignment="1">
      <alignment horizontal="center" vertical="center"/>
    </xf>
    <xf numFmtId="0" fontId="7" fillId="0" borderId="32" xfId="0" applyFont="1" applyBorder="1" applyAlignment="1">
      <alignment horizontal="center" vertical="center"/>
    </xf>
    <xf numFmtId="0" fontId="0" fillId="0" borderId="18" xfId="0" applyBorder="1"/>
    <xf numFmtId="0" fontId="7" fillId="0" borderId="18" xfId="0" applyFont="1" applyBorder="1" applyAlignment="1">
      <alignment horizontal="center" vertical="center"/>
    </xf>
    <xf numFmtId="0" fontId="7" fillId="6" borderId="6" xfId="0" applyFont="1" applyFill="1" applyBorder="1" applyAlignment="1">
      <alignment horizontal="center" vertical="center"/>
    </xf>
    <xf numFmtId="0" fontId="0" fillId="0" borderId="15" xfId="0" applyBorder="1" applyAlignment="1">
      <alignment wrapText="1"/>
    </xf>
    <xf numFmtId="0" fontId="7" fillId="0" borderId="15" xfId="0" applyFont="1" applyBorder="1" applyAlignment="1">
      <alignment horizontal="center" vertical="center"/>
    </xf>
    <xf numFmtId="0" fontId="0" fillId="0" borderId="15" xfId="0" applyBorder="1"/>
    <xf numFmtId="0" fontId="16" fillId="7" borderId="35" xfId="0" applyFont="1" applyFill="1" applyBorder="1" applyAlignment="1">
      <alignment horizontal="center" vertical="center"/>
    </xf>
    <xf numFmtId="0" fontId="18" fillId="14" borderId="41" xfId="0" applyFont="1" applyFill="1" applyBorder="1" applyAlignment="1">
      <alignment horizontal="center" vertical="center"/>
    </xf>
    <xf numFmtId="0" fontId="16" fillId="5" borderId="7" xfId="0" applyFont="1" applyFill="1" applyBorder="1" applyAlignment="1">
      <alignment horizontal="center" vertical="center" wrapText="1"/>
    </xf>
    <xf numFmtId="0" fontId="7" fillId="14" borderId="42" xfId="0" applyFont="1" applyFill="1" applyBorder="1"/>
    <xf numFmtId="0" fontId="7" fillId="14" borderId="43" xfId="0" applyFont="1" applyFill="1" applyBorder="1"/>
    <xf numFmtId="0" fontId="7" fillId="0" borderId="21" xfId="0" applyFont="1" applyBorder="1" applyAlignment="1">
      <alignment horizontal="center" vertical="center"/>
    </xf>
    <xf numFmtId="0" fontId="7" fillId="0" borderId="44" xfId="0" applyFont="1" applyBorder="1" applyAlignment="1">
      <alignment horizontal="center" vertical="center"/>
    </xf>
    <xf numFmtId="0" fontId="7" fillId="6" borderId="33" xfId="0" applyFont="1" applyFill="1" applyBorder="1" applyAlignment="1">
      <alignment horizontal="center" vertical="center"/>
    </xf>
    <xf numFmtId="0" fontId="0" fillId="0" borderId="21" xfId="0" applyBorder="1"/>
    <xf numFmtId="0" fontId="17" fillId="0" borderId="0" xfId="0" applyFont="1" applyAlignment="1">
      <alignment horizontal="right"/>
    </xf>
    <xf numFmtId="0" fontId="7" fillId="3" borderId="31" xfId="0" applyNumberFormat="1" applyFont="1" applyFill="1" applyBorder="1" applyAlignment="1">
      <alignment horizontal="center" vertical="center"/>
    </xf>
    <xf numFmtId="0" fontId="7" fillId="3" borderId="6"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24" fillId="0" borderId="21" xfId="0" applyFont="1" applyBorder="1" applyAlignment="1">
      <alignment horizontal="center" vertical="center"/>
    </xf>
    <xf numFmtId="0" fontId="19" fillId="13" borderId="4" xfId="0" applyFont="1" applyFill="1" applyBorder="1" applyAlignment="1"/>
    <xf numFmtId="0" fontId="19" fillId="5" borderId="4" xfId="0" applyFont="1" applyFill="1" applyBorder="1" applyAlignment="1"/>
    <xf numFmtId="164" fontId="16" fillId="0" borderId="23" xfId="0" applyNumberFormat="1" applyFont="1" applyBorder="1" applyAlignment="1">
      <alignment horizontal="center" vertical="center"/>
    </xf>
    <xf numFmtId="166" fontId="7" fillId="0" borderId="19" xfId="2" applyNumberFormat="1" applyFont="1" applyBorder="1" applyAlignment="1">
      <alignment horizontal="center" vertical="center"/>
    </xf>
    <xf numFmtId="166" fontId="7" fillId="0" borderId="19" xfId="2" applyNumberFormat="1" applyFont="1" applyFill="1" applyBorder="1" applyAlignment="1">
      <alignment horizontal="center" vertical="center"/>
    </xf>
    <xf numFmtId="166" fontId="7" fillId="0" borderId="23" xfId="2" applyNumberFormat="1" applyFont="1" applyBorder="1" applyAlignment="1">
      <alignment horizontal="center" vertical="center"/>
    </xf>
    <xf numFmtId="0" fontId="7" fillId="0" borderId="45" xfId="0" applyFont="1" applyBorder="1" applyAlignment="1">
      <alignment horizontal="center" vertical="center"/>
    </xf>
    <xf numFmtId="0" fontId="7" fillId="0" borderId="46" xfId="2" applyNumberFormat="1" applyFont="1" applyBorder="1" applyAlignment="1">
      <alignment horizontal="center" vertical="center"/>
    </xf>
    <xf numFmtId="166" fontId="7" fillId="0" borderId="47" xfId="2" applyNumberFormat="1" applyFont="1" applyBorder="1" applyAlignment="1">
      <alignment horizontal="center" vertical="center"/>
    </xf>
    <xf numFmtId="0" fontId="7" fillId="0" borderId="45" xfId="0" applyFont="1" applyFill="1" applyBorder="1" applyAlignment="1">
      <alignment horizontal="center" vertical="center"/>
    </xf>
    <xf numFmtId="166" fontId="7" fillId="0" borderId="45" xfId="2" applyNumberFormat="1" applyFont="1" applyFill="1" applyBorder="1" applyAlignment="1">
      <alignment horizontal="center" vertical="center"/>
    </xf>
    <xf numFmtId="0" fontId="7" fillId="0" borderId="0" xfId="0" applyFont="1" applyBorder="1" applyAlignment="1">
      <alignment horizontal="center" vertical="center"/>
    </xf>
    <xf numFmtId="0" fontId="7" fillId="0" borderId="0" xfId="0" applyFont="1" applyFill="1" applyAlignment="1">
      <alignment horizontal="center" vertical="center"/>
    </xf>
    <xf numFmtId="0" fontId="20" fillId="0" borderId="0" xfId="0" applyFont="1" applyFill="1" applyBorder="1" applyAlignment="1">
      <alignment horizontal="center" wrapText="1"/>
    </xf>
    <xf numFmtId="0" fontId="7" fillId="0" borderId="3" xfId="0" applyFont="1" applyBorder="1" applyAlignment="1">
      <alignment vertical="top" wrapText="1"/>
    </xf>
    <xf numFmtId="2" fontId="7" fillId="3" borderId="3" xfId="0" applyNumberFormat="1" applyFont="1" applyFill="1" applyBorder="1" applyAlignment="1">
      <alignment vertical="center"/>
    </xf>
    <xf numFmtId="0" fontId="7" fillId="0" borderId="3" xfId="0" applyFont="1" applyBorder="1" applyAlignment="1">
      <alignment horizontal="center" vertical="center"/>
    </xf>
    <xf numFmtId="0" fontId="0" fillId="0" borderId="1" xfId="0" applyFill="1" applyBorder="1"/>
    <xf numFmtId="14" fontId="0" fillId="0" borderId="1" xfId="0" applyNumberFormat="1" applyFill="1" applyBorder="1"/>
    <xf numFmtId="0" fontId="7" fillId="0" borderId="3" xfId="0" applyFont="1" applyBorder="1" applyAlignment="1">
      <alignment horizontal="center" vertical="center"/>
    </xf>
    <xf numFmtId="0" fontId="7" fillId="0" borderId="3" xfId="0" applyFont="1" applyBorder="1" applyAlignment="1">
      <alignment horizontal="center" vertical="center"/>
    </xf>
    <xf numFmtId="0" fontId="7" fillId="0" borderId="20" xfId="0" applyFont="1" applyBorder="1" applyAlignment="1">
      <alignment horizontal="center"/>
    </xf>
    <xf numFmtId="0" fontId="16" fillId="0" borderId="14" xfId="0" applyFont="1" applyBorder="1" applyAlignment="1">
      <alignment horizontal="center" vertical="center"/>
    </xf>
    <xf numFmtId="0" fontId="7" fillId="0" borderId="7" xfId="0" applyFont="1" applyBorder="1" applyAlignment="1">
      <alignment horizontal="center" vertical="center"/>
    </xf>
    <xf numFmtId="0" fontId="7" fillId="0" borderId="9" xfId="0" applyFont="1" applyBorder="1" applyAlignment="1">
      <alignment horizontal="center" vertical="center"/>
    </xf>
    <xf numFmtId="0" fontId="7" fillId="2" borderId="31" xfId="0" applyNumberFormat="1" applyFont="1" applyFill="1" applyBorder="1" applyAlignment="1">
      <alignment horizontal="center" vertical="center"/>
    </xf>
    <xf numFmtId="0" fontId="7" fillId="0" borderId="3" xfId="0" applyFont="1" applyBorder="1" applyAlignment="1">
      <alignment horizontal="center" vertical="center" wrapText="1"/>
    </xf>
    <xf numFmtId="0" fontId="7" fillId="3" borderId="48" xfId="0" applyFont="1" applyFill="1" applyBorder="1" applyAlignment="1">
      <alignment horizontal="center" vertical="center"/>
    </xf>
    <xf numFmtId="0" fontId="7" fillId="0" borderId="17" xfId="0" applyFont="1" applyBorder="1" applyAlignment="1">
      <alignment horizontal="center" vertical="center"/>
    </xf>
    <xf numFmtId="0" fontId="19" fillId="0" borderId="1" xfId="0" applyFont="1" applyBorder="1" applyAlignment="1">
      <alignment horizontal="center" vertical="center" wrapText="1"/>
    </xf>
    <xf numFmtId="0" fontId="16" fillId="2" borderId="8" xfId="0" applyFont="1" applyFill="1" applyBorder="1" applyAlignment="1">
      <alignment horizontal="center" vertical="center" wrapText="1"/>
    </xf>
    <xf numFmtId="0" fontId="21" fillId="0" borderId="44" xfId="0" applyFont="1" applyBorder="1" applyAlignment="1">
      <alignment horizontal="center" vertical="center" wrapText="1"/>
    </xf>
    <xf numFmtId="0" fontId="16" fillId="3" borderId="25" xfId="0" applyFont="1" applyFill="1" applyBorder="1" applyAlignment="1">
      <alignment horizontal="center" vertical="center"/>
    </xf>
    <xf numFmtId="0" fontId="16" fillId="3" borderId="32" xfId="0" applyFont="1" applyFill="1" applyBorder="1" applyAlignment="1">
      <alignment horizontal="center" vertical="center"/>
    </xf>
    <xf numFmtId="0" fontId="16" fillId="2" borderId="33" xfId="0" applyFont="1" applyFill="1" applyBorder="1" applyAlignment="1">
      <alignment horizontal="center" vertical="center"/>
    </xf>
    <xf numFmtId="0" fontId="7" fillId="0" borderId="20" xfId="0" applyFont="1" applyBorder="1" applyAlignment="1">
      <alignment horizontal="center" vertical="center"/>
    </xf>
    <xf numFmtId="0" fontId="7" fillId="0" borderId="3" xfId="0" applyFont="1" applyBorder="1" applyAlignment="1">
      <alignment horizontal="center" vertical="center" wrapText="1"/>
    </xf>
    <xf numFmtId="164" fontId="6" fillId="0" borderId="1" xfId="0" applyNumberFormat="1" applyFont="1" applyBorder="1" applyAlignment="1">
      <alignment vertical="center"/>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1" xfId="0" applyFont="1" applyBorder="1" applyAlignment="1">
      <alignment vertical="top"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16" borderId="0" xfId="0" applyFont="1" applyFill="1" applyAlignment="1">
      <alignment horizontal="left" vertical="center"/>
    </xf>
    <xf numFmtId="0" fontId="16" fillId="0" borderId="0" xfId="0" applyFont="1" applyFill="1" applyBorder="1" applyAlignment="1">
      <alignment horizontal="center" vertical="center"/>
    </xf>
    <xf numFmtId="0" fontId="16"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7" fillId="0" borderId="0" xfId="0" applyFont="1" applyFill="1" applyBorder="1" applyAlignment="1">
      <alignment horizontal="center"/>
    </xf>
    <xf numFmtId="0" fontId="18" fillId="0" borderId="0" xfId="0" applyFont="1" applyFill="1" applyBorder="1" applyAlignment="1">
      <alignment horizontal="center" vertical="center"/>
    </xf>
    <xf numFmtId="0" fontId="16" fillId="0" borderId="0" xfId="0" applyFont="1" applyFill="1" applyBorder="1" applyAlignment="1">
      <alignment horizontal="right"/>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justify" vertical="top" wrapText="1"/>
    </xf>
    <xf numFmtId="0" fontId="26" fillId="0" borderId="0" xfId="0" applyFont="1"/>
    <xf numFmtId="0" fontId="0" fillId="0" borderId="1" xfId="0" applyBorder="1"/>
    <xf numFmtId="0" fontId="0" fillId="0" borderId="1" xfId="0" applyBorder="1" applyAlignment="1">
      <alignment wrapText="1"/>
    </xf>
    <xf numFmtId="0" fontId="0" fillId="0" borderId="1" xfId="0" applyBorder="1" applyAlignment="1">
      <alignment horizontal="justify" vertical="top"/>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13" fillId="3" borderId="1" xfId="0" applyFont="1" applyFill="1" applyBorder="1" applyAlignment="1">
      <alignment horizontal="center"/>
    </xf>
    <xf numFmtId="0" fontId="13" fillId="3" borderId="3" xfId="0" applyFont="1" applyFill="1" applyBorder="1" applyAlignment="1">
      <alignment horizontal="center"/>
    </xf>
    <xf numFmtId="14" fontId="0" fillId="0" borderId="1" xfId="0" applyNumberFormat="1" applyBorder="1" applyAlignment="1">
      <alignment horizontal="justify" vertical="top"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14" fontId="0" fillId="0" borderId="1" xfId="0" applyNumberFormat="1" applyBorder="1"/>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27" fillId="17"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167" fontId="7" fillId="0" borderId="0" xfId="1" applyNumberFormat="1" applyFont="1" applyAlignment="1"/>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1" xfId="0" applyFont="1" applyBorder="1" applyAlignment="1">
      <alignment horizontal="justify" vertical="center" wrapText="1"/>
    </xf>
    <xf numFmtId="0" fontId="7" fillId="17" borderId="1" xfId="0" applyFont="1" applyFill="1" applyBorder="1" applyAlignment="1">
      <alignment vertical="center" wrapText="1"/>
    </xf>
    <xf numFmtId="0" fontId="7" fillId="0" borderId="2" xfId="0" applyFont="1" applyBorder="1" applyAlignment="1">
      <alignment vertical="center" wrapText="1"/>
    </xf>
    <xf numFmtId="0" fontId="7" fillId="0" borderId="51" xfId="0" applyFont="1" applyBorder="1" applyAlignment="1">
      <alignment horizontal="justify" vertical="center" wrapText="1"/>
    </xf>
    <xf numFmtId="0" fontId="7" fillId="0" borderId="51" xfId="0" applyFont="1" applyBorder="1" applyAlignment="1">
      <alignment vertical="top" wrapText="1"/>
    </xf>
    <xf numFmtId="0" fontId="21" fillId="0" borderId="51" xfId="0" applyFont="1" applyBorder="1" applyAlignment="1">
      <alignment horizontal="center" vertical="center" wrapText="1"/>
    </xf>
    <xf numFmtId="165" fontId="21" fillId="0" borderId="51" xfId="0" applyNumberFormat="1" applyFont="1" applyBorder="1" applyAlignment="1">
      <alignment horizontal="center" vertical="center"/>
    </xf>
    <xf numFmtId="0" fontId="7" fillId="0" borderId="1" xfId="0" applyFont="1" applyBorder="1" applyAlignment="1">
      <alignment vertical="center" wrapText="1"/>
    </xf>
    <xf numFmtId="0" fontId="21" fillId="0" borderId="1" xfId="0" applyFont="1" applyBorder="1" applyAlignment="1">
      <alignment horizontal="center" vertical="center" wrapText="1"/>
    </xf>
    <xf numFmtId="165" fontId="21" fillId="0" borderId="1" xfId="0" applyNumberFormat="1" applyFont="1" applyBorder="1" applyAlignment="1">
      <alignment horizontal="center" vertical="center"/>
    </xf>
    <xf numFmtId="0" fontId="19" fillId="0" borderId="1" xfId="0" applyFont="1" applyBorder="1" applyAlignment="1">
      <alignment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16" fillId="0" borderId="0" xfId="0" applyFont="1" applyBorder="1" applyAlignment="1">
      <alignment horizontal="left" vertical="center"/>
    </xf>
    <xf numFmtId="0" fontId="7" fillId="0" borderId="3" xfId="0" applyFont="1" applyBorder="1" applyAlignment="1">
      <alignment horizontal="left" vertical="center" wrapText="1"/>
    </xf>
    <xf numFmtId="0" fontId="7" fillId="0" borderId="1" xfId="0" applyFont="1" applyBorder="1" applyAlignment="1">
      <alignment horizontal="left" vertical="center" wrapText="1"/>
    </xf>
    <xf numFmtId="0" fontId="7" fillId="0" borderId="0" xfId="0" applyFont="1" applyAlignment="1">
      <alignment horizontal="left" vertical="center"/>
    </xf>
    <xf numFmtId="0" fontId="7" fillId="0" borderId="3" xfId="0" applyFont="1" applyBorder="1" applyAlignment="1">
      <alignment horizontal="center" vertical="center"/>
    </xf>
    <xf numFmtId="0" fontId="18" fillId="4" borderId="8" xfId="0" applyFont="1" applyFill="1" applyBorder="1" applyAlignment="1">
      <alignment horizontal="center" vertical="center" wrapText="1"/>
    </xf>
    <xf numFmtId="0" fontId="16" fillId="0" borderId="0" xfId="0" applyFont="1" applyFill="1" applyBorder="1" applyAlignment="1">
      <alignment vertical="center"/>
    </xf>
    <xf numFmtId="0" fontId="19" fillId="13" borderId="22" xfId="0" applyFont="1" applyFill="1" applyBorder="1" applyAlignment="1">
      <alignment horizontal="center" vertical="center"/>
    </xf>
    <xf numFmtId="0" fontId="19" fillId="5" borderId="4" xfId="0" applyFont="1" applyFill="1" applyBorder="1" applyAlignment="1">
      <alignment horizontal="center" vertical="center"/>
    </xf>
    <xf numFmtId="0" fontId="7" fillId="0" borderId="33" xfId="0" applyNumberFormat="1" applyFont="1" applyBorder="1" applyAlignment="1">
      <alignment horizontal="center" vertical="center"/>
    </xf>
    <xf numFmtId="0" fontId="7" fillId="0" borderId="56" xfId="0" applyFont="1" applyBorder="1" applyAlignment="1">
      <alignment horizontal="center" vertical="center"/>
    </xf>
    <xf numFmtId="0" fontId="7" fillId="0" borderId="2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47" xfId="0" applyFont="1" applyBorder="1" applyAlignment="1">
      <alignment horizontal="center" vertical="center"/>
    </xf>
    <xf numFmtId="0" fontId="7" fillId="0" borderId="3" xfId="0" applyFont="1" applyBorder="1" applyAlignment="1">
      <alignment horizontal="center" vertical="center" wrapText="1"/>
    </xf>
    <xf numFmtId="0" fontId="19" fillId="0" borderId="3" xfId="0" applyFont="1" applyBorder="1" applyAlignment="1">
      <alignment vertical="top" wrapText="1"/>
    </xf>
    <xf numFmtId="0" fontId="7" fillId="0" borderId="3" xfId="0" applyFont="1" applyBorder="1" applyAlignment="1">
      <alignment horizontal="justify" vertical="top"/>
    </xf>
    <xf numFmtId="0" fontId="25" fillId="17" borderId="1" xfId="0" applyFont="1" applyFill="1" applyBorder="1" applyAlignment="1" applyProtection="1">
      <alignment vertical="center" wrapText="1"/>
      <protection locked="0"/>
    </xf>
    <xf numFmtId="0" fontId="7" fillId="19" borderId="3" xfId="0" applyFont="1" applyFill="1" applyBorder="1" applyAlignment="1">
      <alignment horizontal="center" vertical="center"/>
    </xf>
    <xf numFmtId="0" fontId="19" fillId="2" borderId="1" xfId="0" applyFont="1" applyFill="1" applyBorder="1" applyAlignment="1">
      <alignment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14" fontId="0" fillId="0" borderId="1" xfId="0" applyNumberFormat="1" applyFill="1" applyBorder="1" applyAlignment="1">
      <alignment horizontal="justify" vertical="top" wrapText="1"/>
    </xf>
    <xf numFmtId="0" fontId="0" fillId="0" borderId="1" xfId="0" applyFill="1" applyBorder="1" applyAlignment="1">
      <alignment horizontal="justify" vertical="top"/>
    </xf>
    <xf numFmtId="0" fontId="7" fillId="0" borderId="3" xfId="0" applyFont="1" applyBorder="1" applyAlignment="1">
      <alignment horizontal="center" vertical="center" wrapText="1"/>
    </xf>
    <xf numFmtId="2" fontId="7" fillId="3" borderId="1" xfId="0" applyNumberFormat="1" applyFont="1" applyFill="1" applyBorder="1" applyAlignment="1">
      <alignment vertical="center"/>
    </xf>
    <xf numFmtId="168" fontId="27" fillId="0" borderId="1" xfId="0" applyNumberFormat="1"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8" fillId="0" borderId="61"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14" fontId="21" fillId="0" borderId="3" xfId="0" applyNumberFormat="1" applyFont="1" applyBorder="1" applyAlignment="1">
      <alignment horizontal="center" vertical="center" wrapText="1"/>
    </xf>
    <xf numFmtId="14" fontId="0" fillId="0" borderId="62" xfId="0" applyNumberFormat="1" applyBorder="1"/>
    <xf numFmtId="0" fontId="0" fillId="0" borderId="1" xfId="0" applyFill="1" applyBorder="1" applyAlignment="1">
      <alignment wrapText="1"/>
    </xf>
    <xf numFmtId="0" fontId="27" fillId="0" borderId="1" xfId="0" applyFont="1" applyFill="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25" fillId="0" borderId="3" xfId="0" applyFont="1" applyBorder="1" applyAlignment="1">
      <alignment horizontal="justify" vertical="top" wrapText="1"/>
    </xf>
    <xf numFmtId="14" fontId="0" fillId="0" borderId="0" xfId="0" applyNumberFormat="1"/>
    <xf numFmtId="14" fontId="0" fillId="0" borderId="51" xfId="0" applyNumberFormat="1" applyFill="1" applyBorder="1" applyAlignment="1">
      <alignment horizontal="justify" vertical="top" wrapText="1"/>
    </xf>
    <xf numFmtId="0" fontId="0" fillId="0" borderId="2" xfId="0" applyFill="1" applyBorder="1" applyAlignment="1">
      <alignment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Fill="1" applyBorder="1" applyAlignment="1">
      <alignment horizontal="justify" vertical="top"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25" fillId="17" borderId="3" xfId="0" applyFont="1" applyFill="1" applyBorder="1" applyAlignment="1" applyProtection="1">
      <alignment vertical="center" wrapText="1"/>
      <protection locked="0"/>
    </xf>
    <xf numFmtId="165" fontId="21" fillId="2" borderId="3" xfId="0" applyNumberFormat="1" applyFont="1" applyFill="1" applyBorder="1" applyAlignment="1">
      <alignment horizontal="center" vertical="center"/>
    </xf>
    <xf numFmtId="0" fontId="19" fillId="0" borderId="3" xfId="0" applyFont="1" applyBorder="1" applyAlignment="1">
      <alignment horizontal="justify" vertical="top" wrapText="1"/>
    </xf>
    <xf numFmtId="0" fontId="7" fillId="0" borderId="1" xfId="0" applyFont="1" applyBorder="1" applyAlignment="1">
      <alignment horizontal="justify" vertical="top" wrapText="1"/>
    </xf>
    <xf numFmtId="0" fontId="7" fillId="0" borderId="3" xfId="0" applyFont="1" applyBorder="1" applyAlignment="1">
      <alignment horizontal="center" vertical="center" wrapText="1"/>
    </xf>
    <xf numFmtId="0" fontId="19" fillId="0" borderId="3" xfId="0" applyFont="1" applyBorder="1" applyAlignment="1">
      <alignment horizontal="center" vertical="center" wrapText="1"/>
    </xf>
    <xf numFmtId="0" fontId="7" fillId="0" borderId="3" xfId="0" applyFont="1" applyBorder="1" applyAlignment="1">
      <alignment horizontal="center" vertical="center"/>
    </xf>
    <xf numFmtId="0" fontId="19" fillId="0" borderId="1"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0" fillId="0" borderId="1" xfId="0" applyFill="1" applyBorder="1" applyAlignment="1">
      <alignment horizontal="justify" vertical="top" wrapText="1"/>
    </xf>
    <xf numFmtId="0" fontId="7" fillId="0" borderId="3" xfId="0" applyFont="1" applyBorder="1" applyAlignment="1">
      <alignment horizontal="center" vertical="center"/>
    </xf>
    <xf numFmtId="14" fontId="0" fillId="0" borderId="1" xfId="0" applyNumberFormat="1" applyBorder="1" applyAlignment="1">
      <alignment vertical="center"/>
    </xf>
    <xf numFmtId="0" fontId="0" fillId="0" borderId="1" xfId="0" applyBorder="1" applyAlignment="1">
      <alignment horizontal="center" vertical="center"/>
    </xf>
    <xf numFmtId="0" fontId="12" fillId="11" borderId="60" xfId="0" applyFont="1" applyFill="1" applyBorder="1" applyAlignment="1">
      <alignment horizontal="center" vertical="center" wrapText="1"/>
    </xf>
    <xf numFmtId="0" fontId="7" fillId="0" borderId="63" xfId="0" applyFont="1" applyBorder="1" applyAlignment="1">
      <alignment vertical="top" wrapText="1"/>
    </xf>
    <xf numFmtId="0" fontId="7" fillId="0" borderId="63" xfId="0" applyFont="1" applyFill="1" applyBorder="1" applyAlignment="1">
      <alignment vertical="top" wrapText="1"/>
    </xf>
    <xf numFmtId="0" fontId="7" fillId="17" borderId="63" xfId="0" applyFont="1" applyFill="1" applyBorder="1" applyAlignment="1">
      <alignment vertical="top" wrapText="1"/>
    </xf>
    <xf numFmtId="0" fontId="11" fillId="0" borderId="64" xfId="0" applyFont="1" applyBorder="1" applyAlignment="1">
      <alignment horizontal="justify" vertical="top" wrapText="1"/>
    </xf>
    <xf numFmtId="0" fontId="11" fillId="0" borderId="64" xfId="0" applyFont="1" applyFill="1" applyBorder="1" applyAlignment="1">
      <alignment horizontal="justify" vertical="top" wrapText="1"/>
    </xf>
    <xf numFmtId="0" fontId="7" fillId="17" borderId="64" xfId="0" applyFont="1" applyFill="1" applyBorder="1" applyAlignment="1">
      <alignment horizontal="justify" vertical="center" wrapText="1"/>
    </xf>
    <xf numFmtId="0" fontId="21" fillId="0" borderId="64" xfId="0" applyFont="1" applyFill="1" applyBorder="1" applyAlignment="1">
      <alignment vertical="center" wrapText="1"/>
    </xf>
    <xf numFmtId="0" fontId="7" fillId="0" borderId="65" xfId="0" applyFont="1" applyBorder="1" applyAlignment="1">
      <alignment vertical="top" wrapText="1"/>
    </xf>
    <xf numFmtId="0" fontId="7" fillId="0" borderId="64" xfId="0" applyFont="1" applyBorder="1" applyAlignment="1">
      <alignment vertical="top" wrapText="1"/>
    </xf>
    <xf numFmtId="0" fontId="25" fillId="17" borderId="64" xfId="0" applyFont="1" applyFill="1" applyBorder="1" applyAlignment="1" applyProtection="1">
      <alignment vertical="center" wrapText="1"/>
      <protection locked="0"/>
    </xf>
    <xf numFmtId="0" fontId="25" fillId="0" borderId="63" xfId="0" applyFont="1" applyFill="1" applyBorder="1" applyAlignment="1">
      <alignment horizontal="justify" vertical="top" wrapText="1"/>
    </xf>
    <xf numFmtId="0" fontId="7" fillId="0" borderId="63" xfId="0" applyFont="1" applyBorder="1" applyAlignment="1">
      <alignment horizontal="justify" vertical="top" wrapText="1"/>
    </xf>
    <xf numFmtId="0" fontId="19" fillId="0" borderId="63" xfId="0" applyFont="1" applyBorder="1" applyAlignment="1">
      <alignment vertical="top" wrapText="1"/>
    </xf>
    <xf numFmtId="0" fontId="7" fillId="0" borderId="67" xfId="0" applyFont="1" applyBorder="1" applyAlignment="1">
      <alignment horizontal="center" vertical="center"/>
    </xf>
    <xf numFmtId="0" fontId="7" fillId="0" borderId="3" xfId="0" applyFont="1" applyBorder="1" applyAlignment="1">
      <alignment horizontal="center" vertical="center" wrapText="1"/>
    </xf>
    <xf numFmtId="0" fontId="19" fillId="0" borderId="1" xfId="0" applyFont="1" applyBorder="1" applyAlignment="1">
      <alignment horizontal="center" vertical="center"/>
    </xf>
    <xf numFmtId="0" fontId="16" fillId="3" borderId="69" xfId="0" applyFont="1" applyFill="1" applyBorder="1" applyAlignment="1">
      <alignment horizontal="center" vertical="center" wrapText="1"/>
    </xf>
    <xf numFmtId="0" fontId="12" fillId="11" borderId="69" xfId="0" applyFont="1" applyFill="1" applyBorder="1" applyAlignment="1">
      <alignment horizontal="center" vertical="center" wrapText="1"/>
    </xf>
    <xf numFmtId="0" fontId="18" fillId="3" borderId="69" xfId="0" applyFont="1" applyFill="1" applyBorder="1" applyAlignment="1">
      <alignment horizontal="center" vertical="center" wrapText="1"/>
    </xf>
    <xf numFmtId="20" fontId="0" fillId="0" borderId="1" xfId="0" applyNumberFormat="1" applyBorder="1" applyAlignment="1">
      <alignment horizontal="justify" vertical="top" wrapText="1"/>
    </xf>
    <xf numFmtId="0" fontId="7" fillId="0" borderId="2" xfId="0" applyFont="1" applyBorder="1" applyAlignment="1">
      <alignment horizontal="center" vertical="center"/>
    </xf>
    <xf numFmtId="0" fontId="7"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7"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7" fillId="0" borderId="3" xfId="0" applyFont="1" applyBorder="1" applyAlignment="1">
      <alignment horizontal="center" vertical="center"/>
    </xf>
    <xf numFmtId="0" fontId="7" fillId="17" borderId="3" xfId="0" applyFont="1" applyFill="1" applyBorder="1" applyAlignment="1">
      <alignment horizontal="justify" vertical="top" wrapText="1"/>
    </xf>
    <xf numFmtId="165" fontId="21" fillId="17" borderId="3" xfId="0" applyNumberFormat="1" applyFont="1" applyFill="1" applyBorder="1" applyAlignment="1">
      <alignment horizontal="center" vertical="center"/>
    </xf>
    <xf numFmtId="0" fontId="7" fillId="17" borderId="3" xfId="0" applyFont="1" applyFill="1" applyBorder="1" applyAlignment="1">
      <alignment horizontal="center" vertical="center"/>
    </xf>
    <xf numFmtId="0" fontId="7" fillId="17" borderId="3" xfId="0" applyFont="1" applyFill="1" applyBorder="1" applyAlignment="1">
      <alignment vertical="top" wrapText="1"/>
    </xf>
    <xf numFmtId="168" fontId="27" fillId="17" borderId="1" xfId="0" applyNumberFormat="1" applyFont="1" applyFill="1" applyBorder="1" applyAlignment="1">
      <alignment horizontal="center" vertical="center" wrapText="1"/>
    </xf>
    <xf numFmtId="0" fontId="7" fillId="17" borderId="3" xfId="0" applyFont="1" applyFill="1" applyBorder="1" applyAlignment="1">
      <alignment horizontal="center" vertical="center" wrapText="1"/>
    </xf>
    <xf numFmtId="0" fontId="7" fillId="0" borderId="3" xfId="0" applyFont="1" applyFill="1" applyBorder="1" applyAlignment="1">
      <alignment horizontal="justify" vertical="center" wrapText="1"/>
    </xf>
    <xf numFmtId="2" fontId="7" fillId="3"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16" fillId="0" borderId="30" xfId="0" applyFont="1" applyBorder="1" applyAlignment="1">
      <alignment horizontal="center"/>
    </xf>
    <xf numFmtId="0" fontId="16" fillId="3" borderId="29"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7" fillId="0" borderId="3" xfId="0" applyFont="1" applyFill="1" applyBorder="1" applyAlignment="1">
      <alignment vertical="top"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1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7" fillId="0" borderId="3" xfId="0" applyFont="1" applyBorder="1" applyAlignment="1">
      <alignment horizontal="center" vertical="center"/>
    </xf>
    <xf numFmtId="0" fontId="1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justify" vertical="top" wrapText="1"/>
    </xf>
    <xf numFmtId="0" fontId="25" fillId="0" borderId="3"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19" fillId="0" borderId="1" xfId="0" applyFont="1" applyBorder="1" applyAlignment="1">
      <alignment horizontal="center" vertical="center"/>
    </xf>
    <xf numFmtId="0" fontId="7" fillId="0" borderId="1" xfId="0" applyFont="1" applyBorder="1" applyAlignment="1">
      <alignment horizontal="center" vertical="center" wrapText="1"/>
    </xf>
    <xf numFmtId="18" fontId="0" fillId="0" borderId="1" xfId="0" applyNumberFormat="1" applyBorder="1" applyAlignment="1">
      <alignment horizontal="justify" vertical="top" wrapText="1"/>
    </xf>
    <xf numFmtId="168" fontId="25" fillId="0" borderId="1"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165" fontId="21" fillId="0" borderId="3" xfId="0" applyNumberFormat="1" applyFont="1" applyFill="1" applyBorder="1" applyAlignment="1">
      <alignment horizontal="center" vertical="center"/>
    </xf>
    <xf numFmtId="0" fontId="7" fillId="0" borderId="3" xfId="0" applyFont="1" applyFill="1" applyBorder="1" applyAlignment="1">
      <alignment horizontal="center" vertical="center" wrapText="1"/>
    </xf>
    <xf numFmtId="18" fontId="0" fillId="0" borderId="1" xfId="0" applyNumberFormat="1" applyFill="1" applyBorder="1" applyAlignment="1">
      <alignment horizontal="justify" vertical="top" wrapText="1"/>
    </xf>
    <xf numFmtId="0" fontId="31" fillId="0" borderId="15" xfId="0" applyFont="1" applyBorder="1"/>
    <xf numFmtId="0" fontId="31" fillId="0" borderId="15" xfId="0" applyFont="1" applyBorder="1" applyAlignment="1">
      <alignment wrapText="1"/>
    </xf>
    <xf numFmtId="0" fontId="31" fillId="0" borderId="0" xfId="0" applyFont="1"/>
    <xf numFmtId="0" fontId="31" fillId="0" borderId="0" xfId="0" applyFont="1" applyAlignment="1">
      <alignment wrapText="1"/>
    </xf>
    <xf numFmtId="0" fontId="19" fillId="0" borderId="3" xfId="0" applyFont="1" applyBorder="1" applyAlignment="1">
      <alignment horizontal="center" vertical="center"/>
    </xf>
    <xf numFmtId="0" fontId="19" fillId="0" borderId="1" xfId="0" applyFont="1" applyBorder="1" applyAlignment="1">
      <alignment horizontal="center" vertical="center"/>
    </xf>
    <xf numFmtId="0" fontId="19" fillId="2" borderId="1" xfId="0" applyFont="1" applyFill="1" applyBorder="1" applyAlignment="1">
      <alignment horizontal="center" vertical="center"/>
    </xf>
    <xf numFmtId="0" fontId="19" fillId="2" borderId="1" xfId="0" applyFont="1" applyFill="1" applyBorder="1" applyAlignment="1">
      <alignment vertical="center"/>
    </xf>
    <xf numFmtId="0" fontId="19" fillId="2" borderId="2" xfId="0" applyFont="1" applyFill="1" applyBorder="1" applyAlignment="1">
      <alignment horizontal="center" vertical="center"/>
    </xf>
    <xf numFmtId="2" fontId="7" fillId="3" borderId="3" xfId="0" applyNumberFormat="1" applyFont="1" applyFill="1" applyBorder="1" applyAlignment="1">
      <alignment horizontal="center" vertical="center" wrapText="1"/>
    </xf>
    <xf numFmtId="0" fontId="19" fillId="2" borderId="1"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19"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63" xfId="0" applyFont="1" applyFill="1" applyBorder="1" applyAlignment="1">
      <alignment horizontal="justify" vertical="top" wrapText="1"/>
    </xf>
    <xf numFmtId="14" fontId="7" fillId="0" borderId="1" xfId="0" applyNumberFormat="1"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2" fontId="7" fillId="3" borderId="3" xfId="0" applyNumberFormat="1" applyFont="1" applyFill="1" applyBorder="1" applyAlignment="1">
      <alignment horizontal="center" vertical="center" wrapText="1"/>
    </xf>
    <xf numFmtId="0" fontId="19" fillId="2" borderId="1" xfId="0" applyFont="1" applyFill="1" applyBorder="1" applyAlignment="1">
      <alignment horizontal="center" vertical="center"/>
    </xf>
    <xf numFmtId="165" fontId="21" fillId="0" borderId="3" xfId="0" applyNumberFormat="1" applyFont="1" applyBorder="1" applyAlignment="1">
      <alignment horizontal="justify" vertical="top" wrapText="1"/>
    </xf>
    <xf numFmtId="0" fontId="19" fillId="0" borderId="63" xfId="0" applyFont="1" applyFill="1" applyBorder="1" applyAlignment="1">
      <alignment horizontal="justify" vertical="top" wrapText="1"/>
    </xf>
    <xf numFmtId="0" fontId="7" fillId="0" borderId="3" xfId="0"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2" fontId="7" fillId="3" borderId="3" xfId="0" applyNumberFormat="1" applyFont="1" applyFill="1" applyBorder="1" applyAlignment="1">
      <alignment horizontal="center" vertical="center" wrapText="1"/>
    </xf>
    <xf numFmtId="0" fontId="19" fillId="2" borderId="1" xfId="0" applyFont="1" applyFill="1" applyBorder="1" applyAlignment="1">
      <alignment horizontal="center" vertical="center"/>
    </xf>
    <xf numFmtId="0" fontId="19" fillId="0" borderId="1" xfId="0" applyFont="1" applyBorder="1" applyAlignment="1">
      <alignment horizontal="center" vertical="center"/>
    </xf>
    <xf numFmtId="0" fontId="7" fillId="0" borderId="1"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19" fillId="2" borderId="1" xfId="0" applyFont="1" applyFill="1" applyBorder="1" applyAlignment="1">
      <alignment horizontal="center" vertical="center"/>
    </xf>
    <xf numFmtId="0" fontId="25" fillId="0" borderId="3" xfId="0" applyFont="1" applyFill="1" applyBorder="1" applyAlignment="1">
      <alignment horizontal="justify" vertical="center" wrapText="1"/>
    </xf>
    <xf numFmtId="0" fontId="7" fillId="0" borderId="1" xfId="0" applyFont="1" applyBorder="1" applyAlignment="1">
      <alignment vertical="center"/>
    </xf>
    <xf numFmtId="0" fontId="7" fillId="0" borderId="0" xfId="0" applyFont="1" applyFill="1" applyAlignment="1">
      <alignment horizontal="center"/>
    </xf>
    <xf numFmtId="0" fontId="19" fillId="0" borderId="1" xfId="0" applyFont="1" applyBorder="1" applyAlignment="1">
      <alignment horizontal="center" vertical="center"/>
    </xf>
    <xf numFmtId="0" fontId="11" fillId="0" borderId="63" xfId="0" applyFont="1" applyBorder="1" applyAlignment="1">
      <alignment horizontal="justify" vertical="top" wrapText="1"/>
    </xf>
    <xf numFmtId="2" fontId="7" fillId="3" borderId="3" xfId="0" applyNumberFormat="1" applyFont="1" applyFill="1" applyBorder="1" applyAlignment="1">
      <alignment horizontal="center" vertical="center" wrapText="1"/>
    </xf>
    <xf numFmtId="0" fontId="19" fillId="2" borderId="1" xfId="0" applyFont="1" applyFill="1" applyBorder="1" applyAlignment="1">
      <alignment horizontal="center" vertical="center"/>
    </xf>
    <xf numFmtId="0" fontId="19" fillId="0" borderId="2" xfId="0" applyFont="1" applyBorder="1" applyAlignment="1">
      <alignment horizontal="center" vertical="center" wrapText="1"/>
    </xf>
    <xf numFmtId="0" fontId="19" fillId="0" borderId="1" xfId="0" applyFont="1" applyBorder="1" applyAlignment="1">
      <alignment horizontal="center" vertical="center" wrapText="1"/>
    </xf>
    <xf numFmtId="0" fontId="7" fillId="0" borderId="3" xfId="0" applyFont="1" applyFill="1" applyBorder="1" applyAlignment="1">
      <alignment horizontal="center" vertical="center"/>
    </xf>
    <xf numFmtId="0" fontId="21" fillId="0"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7" fillId="0" borderId="17" xfId="0" applyFont="1" applyFill="1" applyBorder="1" applyAlignment="1">
      <alignment horizontal="center" vertical="center"/>
    </xf>
    <xf numFmtId="2" fontId="7" fillId="0" borderId="3" xfId="0" applyNumberFormat="1" applyFont="1" applyFill="1" applyBorder="1" applyAlignment="1">
      <alignment vertical="center"/>
    </xf>
    <xf numFmtId="2" fontId="7" fillId="0" borderId="3" xfId="0" applyNumberFormat="1" applyFont="1" applyFill="1" applyBorder="1" applyAlignment="1">
      <alignment horizontal="center" vertical="center" wrapText="1"/>
    </xf>
    <xf numFmtId="0" fontId="7" fillId="0" borderId="0" xfId="0" applyFont="1" applyFill="1"/>
    <xf numFmtId="0" fontId="16" fillId="0" borderId="30" xfId="0" applyFont="1" applyBorder="1" applyAlignment="1">
      <alignment horizontal="center" wrapText="1"/>
    </xf>
    <xf numFmtId="0" fontId="7" fillId="0" borderId="0" xfId="0" applyFont="1" applyAlignment="1">
      <alignment wrapText="1"/>
    </xf>
    <xf numFmtId="0" fontId="7" fillId="3" borderId="25"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21" xfId="0" applyFont="1" applyBorder="1" applyAlignment="1">
      <alignment horizontal="center" vertical="center" wrapText="1"/>
    </xf>
    <xf numFmtId="0" fontId="16" fillId="3" borderId="25" xfId="0" applyFont="1" applyFill="1" applyBorder="1" applyAlignment="1">
      <alignment horizontal="center" vertical="center" wrapText="1"/>
    </xf>
    <xf numFmtId="0" fontId="16" fillId="0" borderId="14" xfId="0" applyFont="1" applyBorder="1" applyAlignment="1">
      <alignment horizontal="center" vertical="center" wrapText="1"/>
    </xf>
    <xf numFmtId="0" fontId="16" fillId="2" borderId="33" xfId="0" applyFont="1" applyFill="1" applyBorder="1" applyAlignment="1">
      <alignment horizontal="center" vertical="center" wrapText="1"/>
    </xf>
    <xf numFmtId="0" fontId="12" fillId="7" borderId="54" xfId="0" applyFont="1" applyFill="1" applyBorder="1" applyAlignment="1">
      <alignment horizontal="center" vertical="center"/>
    </xf>
    <xf numFmtId="0" fontId="7" fillId="0" borderId="64" xfId="0" applyFont="1" applyBorder="1" applyAlignment="1">
      <alignment horizontal="center" vertical="center"/>
    </xf>
    <xf numFmtId="0" fontId="7" fillId="0" borderId="70" xfId="0" applyFont="1" applyBorder="1" applyAlignment="1">
      <alignment horizontal="center" vertical="center"/>
    </xf>
    <xf numFmtId="0" fontId="7" fillId="3" borderId="71" xfId="0" applyFont="1" applyFill="1" applyBorder="1" applyAlignment="1">
      <alignment horizontal="center" vertical="center" wrapText="1"/>
    </xf>
    <xf numFmtId="0" fontId="7" fillId="13" borderId="28" xfId="0" applyFont="1" applyFill="1" applyBorder="1" applyAlignment="1"/>
    <xf numFmtId="0" fontId="7" fillId="5" borderId="28" xfId="0" applyFont="1" applyFill="1" applyBorder="1" applyAlignment="1"/>
    <xf numFmtId="0" fontId="21" fillId="0" borderId="33" xfId="0" applyFont="1" applyBorder="1" applyAlignment="1">
      <alignment horizontal="left" vertical="center" wrapText="1"/>
    </xf>
    <xf numFmtId="0" fontId="16" fillId="5" borderId="39" xfId="0" applyFont="1" applyFill="1" applyBorder="1" applyAlignment="1">
      <alignment horizontal="center" vertical="center" wrapText="1"/>
    </xf>
    <xf numFmtId="0" fontId="7" fillId="0" borderId="15" xfId="0" applyFont="1" applyBorder="1" applyAlignment="1">
      <alignment horizontal="center" vertical="center" wrapText="1"/>
    </xf>
    <xf numFmtId="0" fontId="7" fillId="3" borderId="32" xfId="0" applyFont="1" applyFill="1" applyBorder="1" applyAlignment="1">
      <alignment horizontal="center" vertical="center" wrapText="1"/>
    </xf>
    <xf numFmtId="0" fontId="7" fillId="5" borderId="15" xfId="0" applyFont="1" applyFill="1" applyBorder="1" applyAlignment="1"/>
    <xf numFmtId="0" fontId="21" fillId="0" borderId="36" xfId="0" applyFont="1" applyBorder="1" applyAlignment="1">
      <alignment horizontal="left" vertical="center" wrapText="1"/>
    </xf>
    <xf numFmtId="0" fontId="16" fillId="0" borderId="72" xfId="0" applyFont="1" applyBorder="1" applyAlignment="1">
      <alignment horizontal="center"/>
    </xf>
    <xf numFmtId="0" fontId="16" fillId="0" borderId="52" xfId="0" applyFont="1" applyBorder="1" applyAlignment="1">
      <alignment horizontal="center" vertical="center"/>
    </xf>
    <xf numFmtId="0" fontId="16" fillId="0" borderId="53" xfId="0" applyFont="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2" fontId="7" fillId="3" borderId="3" xfId="0" applyNumberFormat="1" applyFont="1" applyFill="1" applyBorder="1" applyAlignment="1">
      <alignment horizontal="center" vertical="center" wrapText="1"/>
    </xf>
    <xf numFmtId="0" fontId="19" fillId="0" borderId="3" xfId="0" applyFont="1" applyBorder="1" applyAlignment="1">
      <alignment horizontal="center" vertical="center"/>
    </xf>
    <xf numFmtId="0" fontId="7" fillId="0" borderId="1" xfId="0" applyFont="1" applyBorder="1" applyAlignment="1">
      <alignment horizontal="center" vertical="center" wrapText="1"/>
    </xf>
    <xf numFmtId="2" fontId="7" fillId="3"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1" xfId="0" applyFont="1" applyBorder="1" applyAlignment="1">
      <alignment horizontal="center" vertical="center" wrapText="1"/>
    </xf>
    <xf numFmtId="0" fontId="19" fillId="0" borderId="3" xfId="0" applyFont="1" applyBorder="1" applyAlignment="1">
      <alignment horizontal="center" vertical="center"/>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7"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1" xfId="0" applyFont="1" applyBorder="1" applyAlignment="1">
      <alignment horizontal="center" vertical="center" wrapText="1"/>
    </xf>
    <xf numFmtId="0" fontId="19" fillId="0" borderId="3" xfId="0" applyFont="1" applyBorder="1" applyAlignment="1">
      <alignment horizontal="center" vertical="center"/>
    </xf>
    <xf numFmtId="0" fontId="27" fillId="0" borderId="3" xfId="0" applyFont="1" applyFill="1" applyBorder="1" applyAlignment="1">
      <alignment horizontal="justify" vertical="center" wrapText="1"/>
    </xf>
    <xf numFmtId="168" fontId="27" fillId="0" borderId="3" xfId="0" applyNumberFormat="1" applyFont="1" applyFill="1" applyBorder="1" applyAlignment="1">
      <alignment horizontal="center" vertical="center" wrapText="1"/>
    </xf>
    <xf numFmtId="0" fontId="27" fillId="0" borderId="3" xfId="0" applyFont="1" applyFill="1" applyBorder="1" applyAlignment="1">
      <alignment horizontal="center" vertical="center" wrapText="1"/>
    </xf>
    <xf numFmtId="0" fontId="7" fillId="0" borderId="3" xfId="0" applyFont="1" applyBorder="1" applyAlignment="1">
      <alignment horizontal="center" vertical="center"/>
    </xf>
    <xf numFmtId="0" fontId="7" fillId="22" borderId="0" xfId="0" applyFont="1" applyFill="1" applyAlignment="1">
      <alignment horizontal="center" vertical="center"/>
    </xf>
    <xf numFmtId="0" fontId="7" fillId="22" borderId="16" xfId="0" applyFont="1" applyFill="1" applyBorder="1" applyAlignment="1">
      <alignment horizontal="center" vertical="center"/>
    </xf>
    <xf numFmtId="0" fontId="5" fillId="0" borderId="0" xfId="0" applyFont="1"/>
    <xf numFmtId="15" fontId="5" fillId="0" borderId="0" xfId="0" applyNumberFormat="1" applyFont="1"/>
    <xf numFmtId="0" fontId="5" fillId="0" borderId="1" xfId="0" applyFont="1" applyBorder="1" applyAlignment="1">
      <alignment horizontal="center" vertical="center"/>
    </xf>
    <xf numFmtId="0" fontId="5" fillId="0" borderId="1" xfId="0" applyFont="1" applyBorder="1" applyAlignment="1">
      <alignment vertical="center" wrapText="1"/>
    </xf>
    <xf numFmtId="0" fontId="5" fillId="0" borderId="3"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3" fillId="0" borderId="9" xfId="0" applyFont="1" applyBorder="1" applyAlignment="1">
      <alignment horizontal="center" vertical="center"/>
    </xf>
    <xf numFmtId="0" fontId="5" fillId="0" borderId="1" xfId="0" applyFont="1" applyBorder="1" applyAlignment="1">
      <alignment wrapText="1"/>
    </xf>
    <xf numFmtId="0" fontId="5" fillId="0" borderId="3" xfId="0" applyFont="1" applyBorder="1" applyAlignment="1">
      <alignment horizontal="justify" vertical="justify" wrapText="1"/>
    </xf>
    <xf numFmtId="0" fontId="5" fillId="0" borderId="3" xfId="0" applyFont="1" applyBorder="1" applyAlignment="1">
      <alignment horizontal="center" vertical="center" wrapText="1"/>
    </xf>
    <xf numFmtId="0" fontId="5" fillId="0" borderId="1" xfId="0" applyFont="1" applyBorder="1" applyAlignment="1">
      <alignment horizontal="center" vertical="center" wrapText="1"/>
    </xf>
    <xf numFmtId="15" fontId="5" fillId="0" borderId="3" xfId="0" applyNumberFormat="1" applyFont="1" applyBorder="1" applyAlignment="1">
      <alignment horizontal="center" vertical="center"/>
    </xf>
    <xf numFmtId="15" fontId="5" fillId="0" borderId="1" xfId="0" applyNumberFormat="1" applyFont="1" applyBorder="1" applyAlignment="1">
      <alignment horizontal="center" vertical="center"/>
    </xf>
    <xf numFmtId="14" fontId="7" fillId="0" borderId="3" xfId="0" applyNumberFormat="1" applyFont="1" applyBorder="1" applyAlignment="1">
      <alignment horizontal="justify" vertical="top" wrapText="1"/>
    </xf>
    <xf numFmtId="0" fontId="19"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2" fontId="7" fillId="3" borderId="3" xfId="0" applyNumberFormat="1"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0" fontId="19" fillId="2" borderId="1" xfId="0" applyFont="1" applyFill="1" applyBorder="1" applyAlignment="1">
      <alignment horizontal="center" vertical="center"/>
    </xf>
    <xf numFmtId="0" fontId="19" fillId="0" borderId="3" xfId="0" applyFont="1" applyBorder="1" applyAlignment="1">
      <alignment horizontal="center" vertical="center"/>
    </xf>
    <xf numFmtId="0" fontId="7"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19" fillId="0" borderId="2" xfId="0" applyFont="1" applyBorder="1" applyAlignment="1">
      <alignment horizontal="center" vertical="center" wrapText="1"/>
    </xf>
    <xf numFmtId="2" fontId="7" fillId="3" borderId="3"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19" fillId="0" borderId="3" xfId="0" applyFont="1" applyBorder="1" applyAlignment="1">
      <alignment horizontal="center" vertical="center"/>
    </xf>
    <xf numFmtId="14" fontId="25" fillId="0" borderId="3" xfId="0" applyNumberFormat="1" applyFont="1" applyFill="1" applyBorder="1" applyAlignment="1">
      <alignment horizontal="center" vertical="center" wrapText="1"/>
    </xf>
    <xf numFmtId="0" fontId="0" fillId="0" borderId="1" xfId="0" applyBorder="1" applyAlignment="1">
      <alignment horizontal="justify" vertical="center" wrapText="1"/>
    </xf>
    <xf numFmtId="0" fontId="29" fillId="0" borderId="1" xfId="0" applyFont="1" applyBorder="1" applyAlignment="1">
      <alignment horizontal="justify" vertical="center"/>
    </xf>
    <xf numFmtId="0" fontId="19" fillId="0" borderId="2" xfId="0" applyFont="1" applyBorder="1" applyAlignment="1">
      <alignment vertical="center" wrapText="1"/>
    </xf>
    <xf numFmtId="0" fontId="7" fillId="0" borderId="2" xfId="0" applyFont="1" applyBorder="1" applyAlignment="1">
      <alignment vertical="center"/>
    </xf>
    <xf numFmtId="0" fontId="29" fillId="0" borderId="1" xfId="0" applyFont="1" applyBorder="1" applyAlignment="1">
      <alignment horizontal="justify"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2" fontId="7" fillId="3" borderId="3" xfId="0" applyNumberFormat="1" applyFont="1" applyFill="1" applyBorder="1" applyAlignment="1">
      <alignment horizontal="center" vertical="center" wrapText="1"/>
    </xf>
    <xf numFmtId="2" fontId="7" fillId="3" borderId="3" xfId="0" applyNumberFormat="1" applyFont="1" applyFill="1" applyBorder="1" applyAlignment="1">
      <alignment horizontal="center" vertical="center"/>
    </xf>
    <xf numFmtId="0" fontId="19" fillId="0" borderId="1" xfId="0" applyFont="1" applyBorder="1" applyAlignment="1">
      <alignment horizontal="center" vertical="center" wrapText="1"/>
    </xf>
    <xf numFmtId="0" fontId="7" fillId="0" borderId="67" xfId="0" applyFont="1" applyBorder="1" applyAlignment="1">
      <alignment horizontal="center" vertical="center"/>
    </xf>
    <xf numFmtId="0" fontId="7" fillId="0" borderId="69"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6" xfId="0" applyFont="1" applyBorder="1" applyAlignment="1">
      <alignment horizontal="center" vertical="center"/>
    </xf>
    <xf numFmtId="0" fontId="7" fillId="0" borderId="67"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2" xfId="0" applyFont="1" applyFill="1" applyBorder="1" applyAlignment="1">
      <alignment horizontal="center" vertical="center"/>
    </xf>
    <xf numFmtId="2" fontId="7" fillId="3" borderId="2" xfId="0" applyNumberFormat="1" applyFont="1" applyFill="1" applyBorder="1" applyAlignment="1">
      <alignment horizontal="right" vertical="center"/>
    </xf>
    <xf numFmtId="2" fontId="7" fillId="3" borderId="5" xfId="0" applyNumberFormat="1"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0" fontId="29" fillId="0" borderId="1" xfId="0" applyFont="1" applyFill="1" applyBorder="1" applyAlignment="1">
      <alignment horizontal="justify" vertical="top" wrapText="1"/>
    </xf>
    <xf numFmtId="0" fontId="21" fillId="0" borderId="3" xfId="0" applyFont="1" applyBorder="1" applyAlignment="1">
      <alignment horizontal="center" vertical="center" wrapText="1"/>
    </xf>
    <xf numFmtId="2" fontId="7" fillId="3"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7" fillId="3" borderId="3" xfId="0" applyNumberFormat="1" applyFont="1" applyFill="1" applyBorder="1" applyAlignment="1">
      <alignment vertical="center"/>
    </xf>
    <xf numFmtId="0" fontId="7" fillId="0" borderId="3"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19" fillId="0" borderId="3" xfId="0" applyFont="1" applyBorder="1" applyAlignment="1">
      <alignment horizontal="center" vertical="center"/>
    </xf>
    <xf numFmtId="2" fontId="7" fillId="3" borderId="3" xfId="0" applyNumberFormat="1" applyFont="1" applyFill="1" applyBorder="1" applyAlignment="1">
      <alignment horizontal="center" vertical="center" wrapText="1"/>
    </xf>
    <xf numFmtId="0" fontId="21" fillId="0" borderId="3" xfId="0" applyFont="1" applyBorder="1" applyAlignment="1">
      <alignment horizontal="center" vertical="center" wrapText="1"/>
    </xf>
    <xf numFmtId="0" fontId="7" fillId="0" borderId="1" xfId="0" applyFont="1" applyBorder="1" applyAlignment="1">
      <alignment horizontal="center" vertical="center" wrapText="1"/>
    </xf>
    <xf numFmtId="14" fontId="0" fillId="0" borderId="1" xfId="0" applyNumberFormat="1" applyBorder="1" applyAlignment="1">
      <alignment wrapText="1"/>
    </xf>
    <xf numFmtId="0" fontId="27" fillId="0" borderId="3" xfId="0" applyFont="1" applyFill="1" applyBorder="1" applyAlignment="1">
      <alignment horizontal="justify" vertical="top" wrapText="1"/>
    </xf>
    <xf numFmtId="0" fontId="21"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19" fillId="0" borderId="3" xfId="0" applyFont="1" applyBorder="1" applyAlignment="1">
      <alignment horizontal="center" vertical="center"/>
    </xf>
    <xf numFmtId="2" fontId="7" fillId="3" borderId="3" xfId="0" applyNumberFormat="1" applyFont="1" applyFill="1" applyBorder="1" applyAlignment="1">
      <alignment horizontal="center" vertical="center" wrapText="1"/>
    </xf>
    <xf numFmtId="0" fontId="21" fillId="0" borderId="3" xfId="0" applyFont="1" applyBorder="1" applyAlignment="1">
      <alignment horizontal="center" vertical="center" wrapText="1"/>
    </xf>
    <xf numFmtId="0" fontId="7" fillId="0" borderId="1" xfId="0" applyFont="1" applyBorder="1" applyAlignment="1">
      <alignment horizontal="center" vertical="center" wrapText="1"/>
    </xf>
    <xf numFmtId="0" fontId="25" fillId="0" borderId="3" xfId="0" applyFont="1" applyFill="1" applyBorder="1" applyAlignment="1">
      <alignment horizontal="justify" vertical="top" wrapText="1"/>
    </xf>
    <xf numFmtId="0" fontId="19" fillId="0" borderId="1" xfId="0" applyFont="1" applyBorder="1" applyAlignment="1">
      <alignment horizontal="center" vertical="center" wrapText="1"/>
    </xf>
    <xf numFmtId="20" fontId="0" fillId="0" borderId="1" xfId="0" applyNumberFormat="1" applyFill="1" applyBorder="1" applyAlignment="1">
      <alignment horizontal="justify" vertical="top" wrapText="1"/>
    </xf>
    <xf numFmtId="0" fontId="7" fillId="0" borderId="3" xfId="0" applyFont="1" applyBorder="1" applyAlignment="1">
      <alignment horizontal="center" vertical="center"/>
    </xf>
    <xf numFmtId="0" fontId="7"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19" fillId="0" borderId="3" xfId="0" applyFont="1" applyBorder="1" applyAlignment="1">
      <alignment horizontal="center" vertical="center"/>
    </xf>
    <xf numFmtId="2" fontId="7" fillId="3" borderId="3" xfId="0" applyNumberFormat="1" applyFont="1" applyFill="1" applyBorder="1" applyAlignment="1">
      <alignment horizontal="center" vertical="center" wrapText="1"/>
    </xf>
    <xf numFmtId="0" fontId="0" fillId="0" borderId="1" xfId="0" applyFill="1" applyBorder="1" applyAlignment="1">
      <alignment horizontal="center" vertical="top"/>
    </xf>
    <xf numFmtId="165" fontId="21" fillId="0" borderId="63" xfId="0" applyNumberFormat="1" applyFont="1" applyBorder="1" applyAlignment="1">
      <alignment horizontal="center" vertical="center"/>
    </xf>
    <xf numFmtId="0" fontId="21" fillId="0" borderId="38" xfId="0" applyFont="1" applyBorder="1" applyAlignment="1">
      <alignment horizontal="center" vertical="center" wrapText="1"/>
    </xf>
    <xf numFmtId="0" fontId="7" fillId="0" borderId="51" xfId="0" applyFont="1" applyBorder="1" applyAlignment="1">
      <alignment horizontal="justify" vertical="top" wrapText="1"/>
    </xf>
    <xf numFmtId="0" fontId="7"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7" fillId="0" borderId="1"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1" xfId="0" applyFont="1" applyBorder="1" applyAlignment="1">
      <alignment horizontal="center" vertical="center" wrapText="1"/>
    </xf>
    <xf numFmtId="0" fontId="7" fillId="0" borderId="3" xfId="0" applyFont="1" applyBorder="1" applyAlignment="1">
      <alignment horizontal="center" vertical="center" wrapText="1"/>
    </xf>
    <xf numFmtId="0" fontId="21" fillId="0" borderId="3" xfId="0" applyFont="1" applyBorder="1" applyAlignment="1">
      <alignment horizontal="center" vertical="center" wrapText="1"/>
    </xf>
    <xf numFmtId="0" fontId="19" fillId="0" borderId="2" xfId="0" applyFont="1" applyBorder="1" applyAlignment="1">
      <alignment horizontal="center" vertical="center" wrapText="1"/>
    </xf>
    <xf numFmtId="0" fontId="7" fillId="0" borderId="3" xfId="0" applyFont="1" applyBorder="1" applyAlignment="1">
      <alignment horizontal="center" vertical="center"/>
    </xf>
    <xf numFmtId="0" fontId="19" fillId="0" borderId="3" xfId="0" applyFont="1" applyBorder="1" applyAlignment="1">
      <alignment horizontal="center" vertical="center"/>
    </xf>
    <xf numFmtId="2" fontId="7" fillId="3" borderId="3" xfId="0"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7" fillId="0" borderId="64" xfId="0" applyFont="1" applyBorder="1" applyAlignment="1">
      <alignment vertical="center" wrapText="1"/>
    </xf>
    <xf numFmtId="0" fontId="33" fillId="0" borderId="3" xfId="0" applyFont="1" applyFill="1" applyBorder="1" applyAlignment="1">
      <alignment horizontal="justify" vertical="top" wrapText="1"/>
    </xf>
    <xf numFmtId="0" fontId="25" fillId="0" borderId="1" xfId="0" applyFont="1" applyFill="1" applyBorder="1" applyAlignment="1">
      <alignment vertical="center" wrapText="1"/>
    </xf>
    <xf numFmtId="0" fontId="34" fillId="17" borderId="3" xfId="0" applyFont="1" applyFill="1" applyBorder="1" applyAlignment="1">
      <alignment horizontal="justify" vertical="top" wrapText="1"/>
    </xf>
    <xf numFmtId="0" fontId="25" fillId="17" borderId="3" xfId="0" applyFont="1" applyFill="1" applyBorder="1" applyAlignment="1">
      <alignment horizontal="justify" vertical="top" wrapText="1"/>
    </xf>
    <xf numFmtId="0" fontId="7" fillId="0" borderId="3" xfId="0" applyFont="1" applyBorder="1" applyAlignment="1">
      <alignment horizontal="center" vertical="center"/>
    </xf>
    <xf numFmtId="0" fontId="21" fillId="0" borderId="21" xfId="0" applyFont="1" applyBorder="1" applyAlignment="1">
      <alignment horizontal="center" vertical="center" wrapText="1"/>
    </xf>
    <xf numFmtId="0" fontId="21" fillId="0" borderId="23" xfId="0" applyFont="1" applyBorder="1" applyAlignment="1">
      <alignment horizontal="center" vertical="center" wrapText="1"/>
    </xf>
    <xf numFmtId="0" fontId="7" fillId="0" borderId="76" xfId="0" applyFont="1" applyBorder="1" applyAlignment="1">
      <alignment horizontal="center" vertical="center" wrapText="1"/>
    </xf>
    <xf numFmtId="0" fontId="7" fillId="0" borderId="15" xfId="0" applyFont="1" applyBorder="1" applyAlignment="1">
      <alignment horizontal="justify" vertical="center" wrapText="1"/>
    </xf>
    <xf numFmtId="0" fontId="7" fillId="0" borderId="18" xfId="0" applyFont="1" applyBorder="1" applyAlignment="1">
      <alignment horizontal="justify" vertical="center" wrapText="1"/>
    </xf>
    <xf numFmtId="0" fontId="7" fillId="21" borderId="4" xfId="0" applyFont="1" applyFill="1" applyBorder="1" applyAlignment="1">
      <alignment horizontal="center" vertical="center" wrapText="1"/>
    </xf>
    <xf numFmtId="0" fontId="7" fillId="10" borderId="4" xfId="0" applyFont="1" applyFill="1" applyBorder="1" applyAlignment="1">
      <alignment horizontal="center" vertical="center" wrapText="1"/>
    </xf>
    <xf numFmtId="164" fontId="7" fillId="0" borderId="73" xfId="0" applyNumberFormat="1" applyFont="1" applyBorder="1" applyAlignment="1"/>
    <xf numFmtId="0" fontId="7" fillId="0" borderId="73" xfId="0" applyFont="1" applyBorder="1"/>
    <xf numFmtId="164" fontId="7" fillId="0" borderId="0" xfId="0" applyNumberFormat="1" applyFont="1" applyBorder="1" applyAlignment="1"/>
    <xf numFmtId="0" fontId="7" fillId="0" borderId="0" xfId="0" applyFont="1" applyBorder="1"/>
    <xf numFmtId="0" fontId="7" fillId="0" borderId="40" xfId="0" applyFont="1" applyBorder="1" applyAlignment="1">
      <alignment horizontal="justify" vertical="center" wrapText="1"/>
    </xf>
    <xf numFmtId="164" fontId="7" fillId="0" borderId="0" xfId="0" applyNumberFormat="1" applyFont="1" applyBorder="1" applyAlignment="1">
      <alignment vertical="center"/>
    </xf>
    <xf numFmtId="0" fontId="7" fillId="0" borderId="0" xfId="0" applyFont="1" applyBorder="1" applyAlignment="1">
      <alignment vertical="center"/>
    </xf>
    <xf numFmtId="0" fontId="7" fillId="0" borderId="20" xfId="0" applyFont="1" applyBorder="1" applyAlignment="1">
      <alignment horizontal="center" vertical="center" wrapText="1"/>
    </xf>
    <xf numFmtId="0" fontId="7" fillId="0" borderId="20" xfId="0" applyFont="1" applyFill="1" applyBorder="1" applyAlignment="1">
      <alignment horizontal="center" vertical="center" wrapText="1"/>
    </xf>
    <xf numFmtId="0" fontId="7" fillId="0" borderId="36" xfId="0" applyFont="1" applyBorder="1" applyAlignment="1">
      <alignment horizontal="center" vertical="center"/>
    </xf>
    <xf numFmtId="0" fontId="7" fillId="0" borderId="36" xfId="0" applyFont="1" applyBorder="1" applyAlignment="1">
      <alignment horizontal="center" vertical="center" wrapText="1"/>
    </xf>
    <xf numFmtId="0" fontId="4" fillId="0" borderId="0" xfId="0" applyFont="1"/>
    <xf numFmtId="0" fontId="7" fillId="0" borderId="77" xfId="0" applyFont="1" applyBorder="1" applyAlignment="1">
      <alignment horizontal="center" vertical="center"/>
    </xf>
    <xf numFmtId="0" fontId="7" fillId="0" borderId="59" xfId="0" applyFont="1" applyBorder="1" applyAlignment="1">
      <alignment horizontal="center" vertical="center"/>
    </xf>
    <xf numFmtId="0" fontId="4" fillId="0" borderId="1" xfId="0" applyFont="1" applyBorder="1" applyAlignment="1">
      <alignment horizontal="center" vertical="center"/>
    </xf>
    <xf numFmtId="0" fontId="7" fillId="0" borderId="78" xfId="0" applyFont="1" applyBorder="1"/>
    <xf numFmtId="0" fontId="4" fillId="0" borderId="81" xfId="0" applyFont="1" applyBorder="1"/>
    <xf numFmtId="0" fontId="4" fillId="0" borderId="1" xfId="0" applyFont="1" applyBorder="1"/>
    <xf numFmtId="0" fontId="4" fillId="0" borderId="26" xfId="0" applyFont="1" applyBorder="1"/>
    <xf numFmtId="0" fontId="35" fillId="0" borderId="0" xfId="0" applyFont="1" applyAlignment="1">
      <alignment horizontal="right"/>
    </xf>
    <xf numFmtId="0" fontId="4" fillId="0" borderId="81" xfId="0" applyFont="1" applyBorder="1" applyAlignment="1">
      <alignment horizontal="center" vertical="center"/>
    </xf>
    <xf numFmtId="0" fontId="4" fillId="0" borderId="82" xfId="0" applyFont="1" applyBorder="1" applyAlignment="1">
      <alignment horizontal="center" vertical="center"/>
    </xf>
    <xf numFmtId="0" fontId="4" fillId="0" borderId="16" xfId="0" applyFont="1" applyBorder="1" applyAlignment="1">
      <alignment horizontal="center" vertical="center"/>
    </xf>
    <xf numFmtId="0" fontId="19" fillId="13" borderId="85" xfId="0" applyFont="1" applyFill="1" applyBorder="1" applyAlignment="1">
      <alignment horizontal="center" vertical="center" wrapText="1"/>
    </xf>
    <xf numFmtId="0" fontId="4" fillId="0" borderId="86" xfId="0" applyFont="1" applyBorder="1" applyAlignment="1">
      <alignment horizontal="center" vertical="center"/>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4" fillId="0" borderId="17"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11" fillId="0" borderId="3" xfId="0" applyFont="1" applyBorder="1" applyAlignment="1">
      <alignment horizontal="center" vertical="center"/>
    </xf>
    <xf numFmtId="0" fontId="19" fillId="5" borderId="70" xfId="0" applyFont="1" applyFill="1" applyBorder="1" applyAlignment="1">
      <alignment horizontal="center" vertical="center"/>
    </xf>
    <xf numFmtId="0" fontId="21" fillId="0" borderId="92" xfId="0" applyFont="1" applyBorder="1" applyAlignment="1">
      <alignment horizontal="center" vertical="center" wrapText="1"/>
    </xf>
    <xf numFmtId="0" fontId="11" fillId="0" borderId="51" xfId="0" applyFont="1" applyBorder="1" applyAlignment="1">
      <alignment horizontal="center" vertical="center"/>
    </xf>
    <xf numFmtId="0" fontId="4" fillId="0" borderId="95" xfId="0" applyFont="1" applyBorder="1" applyAlignment="1">
      <alignment horizontal="center" vertical="center"/>
    </xf>
    <xf numFmtId="0" fontId="4" fillId="0" borderId="2" xfId="0" applyFont="1" applyBorder="1" applyAlignment="1">
      <alignment horizontal="center" vertical="center"/>
    </xf>
    <xf numFmtId="0" fontId="4" fillId="0" borderId="96" xfId="0" applyFont="1" applyBorder="1" applyAlignment="1">
      <alignment horizontal="center" vertical="center"/>
    </xf>
    <xf numFmtId="0" fontId="4" fillId="0" borderId="67" xfId="0" applyFont="1" applyBorder="1" applyAlignment="1">
      <alignment horizontal="center" vertical="center"/>
    </xf>
    <xf numFmtId="0" fontId="4" fillId="0" borderId="83" xfId="0" applyFont="1" applyBorder="1" applyAlignment="1">
      <alignment horizontal="center" vertical="center"/>
    </xf>
    <xf numFmtId="0" fontId="11" fillId="27" borderId="79" xfId="0" applyFont="1" applyFill="1" applyBorder="1" applyAlignment="1">
      <alignment horizontal="center" vertical="center"/>
    </xf>
    <xf numFmtId="0" fontId="4" fillId="9" borderId="78" xfId="0" applyFont="1" applyFill="1" applyBorder="1" applyAlignment="1">
      <alignment horizontal="center" vertical="center" wrapText="1"/>
    </xf>
    <xf numFmtId="0" fontId="4" fillId="6" borderId="80" xfId="0" applyFont="1" applyFill="1" applyBorder="1" applyAlignment="1">
      <alignment vertical="center" wrapText="1"/>
    </xf>
    <xf numFmtId="0" fontId="4" fillId="6" borderId="15" xfId="0" applyFont="1" applyFill="1" applyBorder="1" applyAlignment="1">
      <alignment vertical="center" wrapText="1"/>
    </xf>
    <xf numFmtId="0" fontId="4" fillId="9" borderId="15" xfId="0" applyFont="1" applyFill="1" applyBorder="1" applyAlignment="1">
      <alignment vertical="center" wrapText="1"/>
    </xf>
    <xf numFmtId="0" fontId="4" fillId="28" borderId="15" xfId="0" applyFont="1" applyFill="1" applyBorder="1" applyAlignment="1">
      <alignment vertical="center" wrapText="1"/>
    </xf>
    <xf numFmtId="0" fontId="4" fillId="29" borderId="44" xfId="0" applyFont="1" applyFill="1" applyBorder="1" applyAlignment="1">
      <alignment vertical="center" wrapText="1"/>
    </xf>
    <xf numFmtId="0" fontId="7" fillId="2" borderId="3" xfId="0" applyFont="1" applyFill="1" applyBorder="1" applyAlignment="1">
      <alignment horizontal="center" vertical="center"/>
    </xf>
    <xf numFmtId="0" fontId="7" fillId="0" borderId="3" xfId="0" applyFont="1" applyBorder="1" applyAlignment="1">
      <alignment horizontal="center" vertical="center"/>
    </xf>
    <xf numFmtId="0" fontId="7" fillId="19" borderId="3" xfId="0" applyFont="1" applyFill="1" applyBorder="1" applyAlignment="1">
      <alignment horizontal="justify" vertical="center" wrapText="1"/>
    </xf>
    <xf numFmtId="0" fontId="7" fillId="19" borderId="3" xfId="0" applyFont="1" applyFill="1" applyBorder="1" applyAlignment="1">
      <alignment horizontal="center" vertical="center" wrapText="1"/>
    </xf>
    <xf numFmtId="0" fontId="3" fillId="0" borderId="0" xfId="0" applyFont="1"/>
    <xf numFmtId="17" fontId="23" fillId="0" borderId="0" xfId="0" applyNumberFormat="1" applyFont="1"/>
    <xf numFmtId="0" fontId="23" fillId="0" borderId="0" xfId="0" applyFont="1"/>
    <xf numFmtId="0" fontId="25" fillId="0" borderId="1" xfId="0" applyFont="1" applyFill="1" applyBorder="1" applyAlignment="1">
      <alignment horizontal="left" vertical="center"/>
    </xf>
    <xf numFmtId="0" fontId="25" fillId="0" borderId="1" xfId="0" applyFont="1" applyFill="1" applyBorder="1" applyAlignment="1">
      <alignment horizontal="center" vertical="center"/>
    </xf>
    <xf numFmtId="0" fontId="27" fillId="0" borderId="0" xfId="0" applyFont="1" applyFill="1" applyAlignment="1"/>
    <xf numFmtId="14" fontId="25" fillId="0" borderId="1" xfId="0" applyNumberFormat="1" applyFont="1" applyFill="1" applyBorder="1" applyAlignment="1">
      <alignment horizontal="left" vertical="center"/>
    </xf>
    <xf numFmtId="0" fontId="27" fillId="0" borderId="0" xfId="0" applyFont="1" applyFill="1" applyBorder="1" applyAlignment="1">
      <alignment horizontal="center" vertical="center"/>
    </xf>
    <xf numFmtId="0" fontId="27" fillId="0" borderId="0" xfId="0" applyFont="1" applyFill="1" applyBorder="1" applyAlignment="1">
      <alignment horizontal="left" vertical="center"/>
    </xf>
    <xf numFmtId="0" fontId="37" fillId="17" borderId="0" xfId="0" applyFont="1" applyFill="1" applyBorder="1" applyAlignment="1">
      <alignment horizontal="center" vertical="center"/>
    </xf>
    <xf numFmtId="0" fontId="38" fillId="17" borderId="0" xfId="0" applyFont="1" applyFill="1" applyBorder="1" applyAlignment="1">
      <alignment horizontal="center" vertical="center"/>
    </xf>
    <xf numFmtId="14" fontId="34" fillId="0" borderId="0" xfId="0" applyNumberFormat="1" applyFont="1" applyFill="1" applyBorder="1" applyAlignment="1">
      <alignment horizontal="center" vertical="center"/>
    </xf>
    <xf numFmtId="0" fontId="36" fillId="30" borderId="1" xfId="0" applyFont="1" applyFill="1" applyBorder="1" applyAlignment="1">
      <alignment horizontal="center" vertical="center"/>
    </xf>
    <xf numFmtId="0" fontId="36" fillId="30" borderId="1" xfId="0" applyFont="1" applyFill="1" applyBorder="1" applyAlignment="1">
      <alignment horizontal="center" vertical="center" wrapText="1"/>
    </xf>
    <xf numFmtId="0" fontId="33" fillId="0" borderId="0" xfId="0" applyFont="1" applyFill="1" applyAlignment="1">
      <alignment horizontal="center" vertical="center"/>
    </xf>
    <xf numFmtId="0" fontId="33"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14" fontId="33" fillId="0" borderId="1" xfId="0" applyNumberFormat="1" applyFont="1" applyFill="1" applyBorder="1" applyAlignment="1">
      <alignment horizontal="center" vertical="center" wrapText="1"/>
    </xf>
    <xf numFmtId="14" fontId="33" fillId="0" borderId="1" xfId="0" applyNumberFormat="1" applyFont="1" applyFill="1" applyBorder="1" applyAlignment="1">
      <alignment horizontal="center" vertical="center"/>
    </xf>
    <xf numFmtId="0" fontId="33" fillId="0" borderId="1" xfId="0" applyFont="1" applyFill="1" applyBorder="1" applyAlignment="1">
      <alignment horizontal="center" vertical="center"/>
    </xf>
    <xf numFmtId="0" fontId="29" fillId="27" borderId="1" xfId="0" applyFont="1" applyFill="1" applyBorder="1" applyAlignment="1">
      <alignment horizontal="center" vertical="center"/>
    </xf>
    <xf numFmtId="0" fontId="29" fillId="31" borderId="1" xfId="0" applyFont="1" applyFill="1" applyBorder="1" applyAlignment="1">
      <alignment horizontal="left" vertical="center" wrapText="1"/>
    </xf>
    <xf numFmtId="0" fontId="29" fillId="0" borderId="1" xfId="0" applyFont="1" applyFill="1" applyBorder="1" applyAlignment="1">
      <alignment horizontal="center" vertical="center" wrapText="1"/>
    </xf>
    <xf numFmtId="0" fontId="29" fillId="0" borderId="1" xfId="0" applyFont="1" applyFill="1" applyBorder="1" applyAlignment="1">
      <alignment horizontal="center" vertical="center"/>
    </xf>
    <xf numFmtId="0" fontId="29" fillId="31" borderId="1" xfId="0" applyFont="1" applyFill="1" applyBorder="1" applyAlignment="1">
      <alignment horizontal="center" vertical="center"/>
    </xf>
    <xf numFmtId="164" fontId="29" fillId="0" borderId="1" xfId="0" applyNumberFormat="1" applyFont="1" applyFill="1" applyBorder="1" applyAlignment="1">
      <alignment horizontal="center" vertical="center"/>
    </xf>
    <xf numFmtId="0" fontId="33" fillId="31" borderId="1" xfId="0" applyFont="1" applyFill="1" applyBorder="1" applyAlignment="1">
      <alignment horizontal="left" vertical="center" wrapText="1"/>
    </xf>
    <xf numFmtId="14" fontId="33" fillId="27" borderId="1" xfId="0" applyNumberFormat="1" applyFont="1" applyFill="1" applyBorder="1" applyAlignment="1">
      <alignment horizontal="center" vertical="center"/>
    </xf>
    <xf numFmtId="0" fontId="29" fillId="0" borderId="1" xfId="0" applyFont="1" applyFill="1" applyBorder="1" applyAlignment="1">
      <alignment horizontal="left" vertical="center" wrapText="1"/>
    </xf>
    <xf numFmtId="164" fontId="29" fillId="0" borderId="1" xfId="0" applyNumberFormat="1" applyFont="1" applyFill="1" applyBorder="1" applyAlignment="1">
      <alignment horizontal="center" vertical="center" wrapText="1"/>
    </xf>
    <xf numFmtId="0" fontId="16" fillId="0" borderId="0" xfId="0" applyFont="1" applyAlignment="1">
      <alignment horizontal="center" vertical="center"/>
    </xf>
    <xf numFmtId="0" fontId="33" fillId="32" borderId="1" xfId="0" applyFont="1" applyFill="1" applyBorder="1" applyAlignment="1">
      <alignment horizontal="left" vertical="center" wrapText="1"/>
    </xf>
    <xf numFmtId="0" fontId="33" fillId="32" borderId="1" xfId="0" applyFont="1" applyFill="1" applyBorder="1" applyAlignment="1">
      <alignment horizontal="center" vertical="center" wrapText="1"/>
    </xf>
    <xf numFmtId="0" fontId="33" fillId="32" borderId="1" xfId="0" applyFont="1" applyFill="1" applyBorder="1" applyAlignment="1">
      <alignment horizontal="left" vertical="center"/>
    </xf>
    <xf numFmtId="0" fontId="33" fillId="32" borderId="1" xfId="0" applyFont="1" applyFill="1" applyBorder="1" applyAlignment="1">
      <alignment horizontal="center" vertical="center"/>
    </xf>
    <xf numFmtId="0" fontId="2" fillId="0" borderId="0" xfId="0" applyFont="1"/>
    <xf numFmtId="14" fontId="33" fillId="33" borderId="1" xfId="0" applyNumberFormat="1" applyFont="1" applyFill="1" applyBorder="1" applyAlignment="1">
      <alignment horizontal="center" vertical="center"/>
    </xf>
    <xf numFmtId="0" fontId="0" fillId="32" borderId="0" xfId="0" applyFill="1" applyAlignment="1">
      <alignment vertical="center" wrapText="1"/>
    </xf>
    <xf numFmtId="0" fontId="1" fillId="0" borderId="0" xfId="0" applyFont="1"/>
    <xf numFmtId="0" fontId="3" fillId="2" borderId="0" xfId="0" applyFont="1" applyFill="1"/>
    <xf numFmtId="0" fontId="29" fillId="19" borderId="1" xfId="0" applyFont="1" applyFill="1" applyBorder="1" applyAlignment="1">
      <alignment horizontal="center" vertical="center"/>
    </xf>
    <xf numFmtId="0" fontId="33" fillId="19" borderId="1" xfId="0" applyFont="1" applyFill="1" applyBorder="1" applyAlignment="1">
      <alignment horizontal="center" vertical="center" wrapText="1"/>
    </xf>
    <xf numFmtId="0" fontId="33" fillId="34" borderId="1" xfId="0" applyFont="1" applyFill="1" applyBorder="1" applyAlignment="1">
      <alignment horizontal="center" vertical="center"/>
    </xf>
    <xf numFmtId="0" fontId="33" fillId="20" borderId="1" xfId="0" applyFont="1" applyFill="1" applyBorder="1" applyAlignment="1">
      <alignment horizontal="center" vertical="center"/>
    </xf>
    <xf numFmtId="0" fontId="33" fillId="19" borderId="1" xfId="0" applyFont="1" applyFill="1" applyBorder="1" applyAlignment="1">
      <alignment horizontal="center" vertical="center"/>
    </xf>
    <xf numFmtId="0" fontId="44" fillId="32" borderId="0" xfId="0" applyFont="1" applyFill="1" applyAlignment="1">
      <alignment horizontal="center" vertical="center" wrapText="1"/>
    </xf>
    <xf numFmtId="0" fontId="0" fillId="19" borderId="0" xfId="0" applyFill="1" applyAlignment="1">
      <alignment wrapText="1"/>
    </xf>
    <xf numFmtId="0" fontId="29" fillId="22" borderId="1" xfId="0" applyFont="1" applyFill="1" applyBorder="1" applyAlignment="1">
      <alignment horizontal="center" vertical="center"/>
    </xf>
    <xf numFmtId="0" fontId="7" fillId="2" borderId="3" xfId="0" applyFont="1" applyFill="1" applyBorder="1" applyAlignment="1">
      <alignment vertical="center" wrapText="1"/>
    </xf>
    <xf numFmtId="0" fontId="7" fillId="0" borderId="1" xfId="0" applyFont="1" applyFill="1" applyBorder="1" applyAlignment="1">
      <alignment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center" vertical="center"/>
    </xf>
    <xf numFmtId="0" fontId="7" fillId="0" borderId="1" xfId="0" applyFont="1" applyBorder="1" applyAlignment="1">
      <alignment horizontal="center" vertical="center"/>
    </xf>
    <xf numFmtId="2" fontId="7" fillId="3" borderId="3" xfId="0" applyNumberFormat="1" applyFont="1" applyFill="1" applyBorder="1" applyAlignment="1">
      <alignment horizontal="center" vertical="center" wrapText="1"/>
    </xf>
    <xf numFmtId="0" fontId="16" fillId="0" borderId="0" xfId="0" applyFont="1" applyAlignment="1">
      <alignment horizontal="left" vertical="center"/>
    </xf>
    <xf numFmtId="0" fontId="7" fillId="0" borderId="1" xfId="0" applyFont="1" applyBorder="1" applyAlignment="1">
      <alignment horizontal="center" vertical="center" wrapText="1"/>
    </xf>
    <xf numFmtId="0" fontId="16" fillId="23" borderId="6" xfId="0" applyFont="1" applyFill="1" applyBorder="1" applyAlignment="1">
      <alignment horizontal="center" vertical="center"/>
    </xf>
    <xf numFmtId="0" fontId="46" fillId="20" borderId="0" xfId="0" applyFont="1" applyFill="1" applyBorder="1" applyAlignment="1">
      <alignment horizontal="center" vertical="center" wrapText="1"/>
    </xf>
    <xf numFmtId="0" fontId="16" fillId="4" borderId="55" xfId="0" applyFont="1" applyFill="1" applyBorder="1" applyAlignment="1">
      <alignment horizontal="center" vertical="center" wrapText="1"/>
    </xf>
    <xf numFmtId="15" fontId="16" fillId="10" borderId="6" xfId="0" applyNumberFormat="1" applyFont="1" applyFill="1" applyBorder="1" applyAlignment="1"/>
    <xf numFmtId="0" fontId="16" fillId="3" borderId="37" xfId="0" applyFont="1" applyFill="1" applyBorder="1" applyAlignment="1">
      <alignment horizontal="center" vertical="center" wrapText="1"/>
    </xf>
    <xf numFmtId="0" fontId="16" fillId="3" borderId="60" xfId="0" applyFont="1" applyFill="1" applyBorder="1" applyAlignment="1">
      <alignment horizontal="center" vertical="center" wrapText="1"/>
    </xf>
    <xf numFmtId="0" fontId="16" fillId="3" borderId="9" xfId="0" applyFont="1" applyFill="1" applyBorder="1" applyAlignment="1">
      <alignment horizontal="center" vertical="center" wrapText="1"/>
    </xf>
    <xf numFmtId="165" fontId="7" fillId="0" borderId="3" xfId="0" applyNumberFormat="1" applyFont="1" applyBorder="1" applyAlignment="1">
      <alignment horizontal="center" vertical="center"/>
    </xf>
    <xf numFmtId="165" fontId="7" fillId="17" borderId="3" xfId="0" applyNumberFormat="1" applyFont="1" applyFill="1" applyBorder="1" applyAlignment="1">
      <alignment horizontal="center" vertical="center"/>
    </xf>
    <xf numFmtId="165" fontId="7" fillId="2" borderId="3" xfId="0" applyNumberFormat="1" applyFont="1" applyFill="1" applyBorder="1" applyAlignment="1">
      <alignment horizontal="center" vertical="center"/>
    </xf>
    <xf numFmtId="0" fontId="25" fillId="19" borderId="3" xfId="0" applyFont="1" applyFill="1" applyBorder="1" applyAlignment="1">
      <alignment horizontal="justify" vertical="top" wrapText="1"/>
    </xf>
    <xf numFmtId="165" fontId="7" fillId="0" borderId="3" xfId="0" applyNumberFormat="1" applyFont="1" applyFill="1" applyBorder="1" applyAlignment="1">
      <alignment horizontal="center" vertical="center"/>
    </xf>
    <xf numFmtId="0" fontId="25" fillId="17" borderId="29" xfId="0" applyFont="1" applyFill="1" applyBorder="1" applyAlignment="1">
      <alignment horizontal="justify" vertical="center" wrapText="1"/>
    </xf>
    <xf numFmtId="0" fontId="48" fillId="0" borderId="15" xfId="0" applyFont="1" applyBorder="1" applyAlignment="1">
      <alignment wrapText="1"/>
    </xf>
    <xf numFmtId="0" fontId="25" fillId="17" borderId="1" xfId="0" applyFont="1" applyFill="1" applyBorder="1" applyAlignment="1">
      <alignment horizontal="justify" vertical="top" wrapText="1"/>
    </xf>
    <xf numFmtId="0" fontId="17" fillId="0" borderId="39" xfId="0" applyFont="1" applyBorder="1" applyAlignment="1">
      <alignment horizontal="center" vertical="center"/>
    </xf>
    <xf numFmtId="0" fontId="17" fillId="0" borderId="21" xfId="0" applyFont="1" applyBorder="1" applyAlignment="1">
      <alignment horizontal="center" vertical="center"/>
    </xf>
    <xf numFmtId="0" fontId="23" fillId="0" borderId="39" xfId="0" applyFont="1" applyFill="1" applyBorder="1" applyAlignment="1">
      <alignment horizontal="center" vertical="center"/>
    </xf>
    <xf numFmtId="0" fontId="23" fillId="0" borderId="12" xfId="0" applyFont="1" applyFill="1" applyBorder="1" applyAlignment="1">
      <alignment horizontal="center" vertical="center"/>
    </xf>
    <xf numFmtId="0" fontId="23" fillId="0" borderId="13" xfId="0" applyFont="1" applyFill="1" applyBorder="1" applyAlignment="1">
      <alignment horizontal="center" vertical="center"/>
    </xf>
    <xf numFmtId="0" fontId="17" fillId="0" borderId="0" xfId="0" applyFont="1" applyAlignment="1">
      <alignment horizontal="center"/>
    </xf>
    <xf numFmtId="0" fontId="16" fillId="0" borderId="10" xfId="0" applyFont="1" applyBorder="1" applyAlignment="1">
      <alignment horizontal="center"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6" fillId="0" borderId="13" xfId="0" applyFont="1" applyBorder="1" applyAlignment="1">
      <alignment horizontal="center" vertical="center"/>
    </xf>
    <xf numFmtId="0" fontId="17" fillId="0" borderId="12" xfId="0" applyFont="1" applyBorder="1" applyAlignment="1">
      <alignment horizontal="center" vertical="center"/>
    </xf>
    <xf numFmtId="164" fontId="16" fillId="0" borderId="13" xfId="0" applyNumberFormat="1" applyFont="1" applyBorder="1" applyAlignment="1">
      <alignment horizontal="center" vertical="center" wrapText="1"/>
    </xf>
    <xf numFmtId="164" fontId="16" fillId="0" borderId="23" xfId="0" applyNumberFormat="1" applyFont="1" applyBorder="1" applyAlignment="1">
      <alignment horizontal="center" vertical="center" wrapText="1"/>
    </xf>
    <xf numFmtId="0" fontId="12" fillId="0" borderId="39" xfId="0" applyFont="1" applyBorder="1" applyAlignment="1">
      <alignment horizontal="center" vertical="center"/>
    </xf>
    <xf numFmtId="0" fontId="12" fillId="0" borderId="12" xfId="0" applyFont="1" applyBorder="1" applyAlignment="1">
      <alignment horizontal="center" vertical="center"/>
    </xf>
    <xf numFmtId="0" fontId="20" fillId="3" borderId="12" xfId="0" applyFont="1" applyFill="1" applyBorder="1" applyAlignment="1">
      <alignment horizontal="center" wrapText="1"/>
    </xf>
    <xf numFmtId="0" fontId="20" fillId="3" borderId="13" xfId="0" applyFont="1" applyFill="1" applyBorder="1" applyAlignment="1">
      <alignment horizontal="center" wrapText="1"/>
    </xf>
    <xf numFmtId="0" fontId="7" fillId="0" borderId="2" xfId="0" applyFont="1" applyBorder="1" applyAlignment="1">
      <alignment horizontal="center" vertical="center" wrapText="1"/>
    </xf>
    <xf numFmtId="0" fontId="7" fillId="0" borderId="5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xf>
    <xf numFmtId="0" fontId="7" fillId="0" borderId="51" xfId="0" applyFont="1" applyBorder="1" applyAlignment="1">
      <alignment horizontal="center" vertical="center"/>
    </xf>
    <xf numFmtId="0" fontId="7" fillId="0" borderId="3" xfId="0" applyFont="1" applyBorder="1" applyAlignment="1">
      <alignment horizontal="center" vertical="center"/>
    </xf>
    <xf numFmtId="0" fontId="21" fillId="0" borderId="2" xfId="0" applyFont="1" applyBorder="1" applyAlignment="1">
      <alignment horizontal="center" vertical="center" wrapText="1"/>
    </xf>
    <xf numFmtId="0" fontId="21" fillId="0" borderId="3" xfId="0" applyFont="1" applyBorder="1" applyAlignment="1">
      <alignment horizontal="center" vertical="center" wrapText="1"/>
    </xf>
    <xf numFmtId="0" fontId="19" fillId="24" borderId="2" xfId="0" applyFont="1" applyFill="1" applyBorder="1" applyAlignment="1">
      <alignment horizontal="center" vertical="center" wrapText="1"/>
    </xf>
    <xf numFmtId="0" fontId="19" fillId="24" borderId="3" xfId="0" applyFont="1" applyFill="1" applyBorder="1" applyAlignment="1">
      <alignment horizontal="center" vertical="center" wrapText="1"/>
    </xf>
    <xf numFmtId="2" fontId="7" fillId="3" borderId="2" xfId="0" applyNumberFormat="1" applyFont="1" applyFill="1" applyBorder="1" applyAlignment="1">
      <alignment horizontal="center" vertical="center"/>
    </xf>
    <xf numFmtId="2" fontId="7" fillId="3" borderId="3" xfId="0" applyNumberFormat="1" applyFont="1" applyFill="1" applyBorder="1" applyAlignment="1">
      <alignment horizontal="center" vertical="center"/>
    </xf>
    <xf numFmtId="0" fontId="19" fillId="0" borderId="2" xfId="0" applyFont="1" applyBorder="1" applyAlignment="1">
      <alignment horizontal="center" vertical="center" wrapText="1"/>
    </xf>
    <xf numFmtId="0" fontId="19" fillId="0" borderId="51" xfId="0" applyFont="1" applyBorder="1" applyAlignment="1">
      <alignment horizontal="center" vertical="center" wrapText="1"/>
    </xf>
    <xf numFmtId="0" fontId="19" fillId="0" borderId="3" xfId="0" applyFont="1" applyBorder="1" applyAlignment="1">
      <alignment horizontal="center" vertical="center" wrapText="1"/>
    </xf>
    <xf numFmtId="0" fontId="7" fillId="0" borderId="2" xfId="0" applyFont="1" applyFill="1" applyBorder="1" applyAlignment="1">
      <alignment horizontal="center" vertical="center" wrapText="1"/>
    </xf>
    <xf numFmtId="0" fontId="7" fillId="2" borderId="5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21" fillId="0" borderId="1" xfId="0" applyFont="1" applyBorder="1" applyAlignment="1">
      <alignment horizontal="center" vertical="center" wrapText="1"/>
    </xf>
    <xf numFmtId="0" fontId="21" fillId="0" borderId="51" xfId="0" applyFont="1" applyBorder="1" applyAlignment="1">
      <alignment horizontal="center" vertical="center" wrapText="1"/>
    </xf>
    <xf numFmtId="0" fontId="19" fillId="24" borderId="51" xfId="0" applyFont="1" applyFill="1" applyBorder="1" applyAlignment="1">
      <alignment horizontal="center" vertical="center" wrapText="1"/>
    </xf>
    <xf numFmtId="0" fontId="7" fillId="0" borderId="1" xfId="0" applyFont="1" applyBorder="1" applyAlignment="1">
      <alignment horizontal="center" vertical="center"/>
    </xf>
    <xf numFmtId="0" fontId="7" fillId="18" borderId="52" xfId="0" applyFont="1" applyFill="1" applyBorder="1" applyAlignment="1">
      <alignment horizontal="center"/>
    </xf>
    <xf numFmtId="0" fontId="7" fillId="18" borderId="57" xfId="0" applyFont="1" applyFill="1" applyBorder="1" applyAlignment="1">
      <alignment horizontal="center"/>
    </xf>
    <xf numFmtId="0" fontId="7" fillId="18" borderId="53" xfId="0" applyFont="1" applyFill="1" applyBorder="1" applyAlignment="1">
      <alignment horizontal="center" vertical="center"/>
    </xf>
    <xf numFmtId="164" fontId="16" fillId="21" borderId="58" xfId="0" applyNumberFormat="1" applyFont="1" applyFill="1" applyBorder="1" applyAlignment="1">
      <alignment horizontal="center" vertical="center" wrapText="1"/>
    </xf>
    <xf numFmtId="164" fontId="16" fillId="21" borderId="59" xfId="0" applyNumberFormat="1" applyFont="1" applyFill="1" applyBorder="1" applyAlignment="1">
      <alignment horizontal="center" vertical="center" wrapText="1"/>
    </xf>
    <xf numFmtId="0" fontId="18" fillId="4" borderId="52" xfId="0" applyFont="1" applyFill="1" applyBorder="1" applyAlignment="1">
      <alignment horizontal="center" vertical="center" wrapText="1"/>
    </xf>
    <xf numFmtId="0" fontId="18" fillId="4" borderId="53" xfId="0" applyFont="1" applyFill="1" applyBorder="1" applyAlignment="1">
      <alignment horizontal="center" vertical="center" wrapText="1"/>
    </xf>
    <xf numFmtId="0" fontId="16" fillId="25" borderId="35" xfId="0" applyFont="1" applyFill="1" applyBorder="1" applyAlignment="1">
      <alignment horizontal="center" vertical="center"/>
    </xf>
    <xf numFmtId="0" fontId="16" fillId="25" borderId="36" xfId="0" applyFont="1" applyFill="1" applyBorder="1" applyAlignment="1">
      <alignment horizontal="center" vertical="center"/>
    </xf>
    <xf numFmtId="0" fontId="16" fillId="15" borderId="49" xfId="0" applyFont="1" applyFill="1" applyBorder="1" applyAlignment="1">
      <alignment horizontal="center" vertical="center"/>
    </xf>
    <xf numFmtId="0" fontId="16" fillId="15" borderId="50" xfId="0" applyFont="1" applyFill="1" applyBorder="1" applyAlignment="1">
      <alignment horizontal="center" vertical="center"/>
    </xf>
    <xf numFmtId="2" fontId="7" fillId="3" borderId="2" xfId="0" applyNumberFormat="1" applyFont="1" applyFill="1" applyBorder="1" applyAlignment="1">
      <alignment horizontal="center" vertical="center" wrapText="1"/>
    </xf>
    <xf numFmtId="2" fontId="7" fillId="3" borderId="3" xfId="0" applyNumberFormat="1" applyFont="1" applyFill="1" applyBorder="1" applyAlignment="1">
      <alignment horizontal="center" vertical="center" wrapText="1"/>
    </xf>
    <xf numFmtId="0" fontId="16" fillId="0" borderId="0" xfId="0" applyFont="1" applyAlignment="1">
      <alignment horizontal="center"/>
    </xf>
    <xf numFmtId="0" fontId="16" fillId="0" borderId="0" xfId="0" applyFont="1" applyAlignment="1">
      <alignment horizontal="left" vertical="center"/>
    </xf>
    <xf numFmtId="0" fontId="16" fillId="0" borderId="0" xfId="0" applyFont="1" applyAlignment="1"/>
    <xf numFmtId="0" fontId="16" fillId="0" borderId="0" xfId="0" applyFont="1" applyAlignment="1">
      <alignment horizontal="center" vertical="center"/>
    </xf>
    <xf numFmtId="0" fontId="7" fillId="0" borderId="1" xfId="0" applyFont="1" applyBorder="1" applyAlignment="1">
      <alignment horizontal="center" vertical="center" wrapText="1"/>
    </xf>
    <xf numFmtId="0" fontId="12" fillId="0" borderId="10" xfId="0" applyFont="1" applyBorder="1" applyAlignment="1">
      <alignment horizontal="center" vertical="center"/>
    </xf>
    <xf numFmtId="0" fontId="12" fillId="0" borderId="49" xfId="0" applyFont="1" applyBorder="1" applyAlignment="1">
      <alignment horizontal="center" vertical="center"/>
    </xf>
    <xf numFmtId="0" fontId="12" fillId="0" borderId="11" xfId="0" applyFont="1" applyBorder="1" applyAlignment="1">
      <alignment horizontal="center" vertical="center"/>
    </xf>
    <xf numFmtId="0" fontId="17" fillId="0" borderId="10" xfId="0" applyFont="1" applyBorder="1" applyAlignment="1">
      <alignment horizontal="center" vertical="center"/>
    </xf>
    <xf numFmtId="0" fontId="16" fillId="0" borderId="54" xfId="0" applyFont="1" applyBorder="1" applyAlignment="1">
      <alignment horizontal="center" vertical="center"/>
    </xf>
    <xf numFmtId="0" fontId="16" fillId="0" borderId="50" xfId="0" applyFont="1" applyBorder="1" applyAlignment="1">
      <alignment horizontal="center" vertical="center"/>
    </xf>
    <xf numFmtId="0" fontId="20" fillId="3" borderId="54" xfId="0" applyFont="1" applyFill="1" applyBorder="1" applyAlignment="1">
      <alignment horizontal="center" vertical="center" wrapText="1"/>
    </xf>
    <xf numFmtId="0" fontId="20" fillId="3" borderId="50" xfId="0" applyFont="1" applyFill="1" applyBorder="1" applyAlignment="1">
      <alignment horizontal="center" vertical="center" wrapText="1"/>
    </xf>
    <xf numFmtId="0" fontId="16" fillId="2" borderId="10" xfId="0" applyFont="1" applyFill="1" applyBorder="1" applyAlignment="1">
      <alignment horizontal="center" vertical="center"/>
    </xf>
    <xf numFmtId="0" fontId="16" fillId="2" borderId="50" xfId="0" applyFont="1" applyFill="1" applyBorder="1" applyAlignment="1">
      <alignment horizontal="center" vertical="center"/>
    </xf>
    <xf numFmtId="0" fontId="17" fillId="0" borderId="74" xfId="0" applyFont="1" applyBorder="1" applyAlignment="1">
      <alignment horizontal="center" vertical="center"/>
    </xf>
    <xf numFmtId="0" fontId="17" fillId="0" borderId="73" xfId="0" applyFont="1" applyBorder="1" applyAlignment="1">
      <alignment horizontal="center" vertical="center"/>
    </xf>
    <xf numFmtId="0" fontId="17" fillId="0" borderId="75" xfId="0" applyFont="1" applyBorder="1" applyAlignment="1">
      <alignment horizontal="center" vertical="center"/>
    </xf>
    <xf numFmtId="0" fontId="25" fillId="17" borderId="2" xfId="0" applyFont="1" applyFill="1" applyBorder="1" applyAlignment="1">
      <alignment horizontal="justify" vertical="top" wrapText="1"/>
    </xf>
    <xf numFmtId="0" fontId="25" fillId="17" borderId="3" xfId="0" applyFont="1" applyFill="1" applyBorder="1" applyAlignment="1">
      <alignment horizontal="justify" vertical="top" wrapText="1"/>
    </xf>
    <xf numFmtId="0" fontId="19" fillId="0" borderId="1" xfId="0" applyFont="1" applyBorder="1" applyAlignment="1">
      <alignment horizontal="center" vertical="center" wrapText="1"/>
    </xf>
    <xf numFmtId="0" fontId="7" fillId="0" borderId="67" xfId="0" applyFont="1" applyBorder="1" applyAlignment="1">
      <alignment horizontal="center" vertical="center"/>
    </xf>
    <xf numFmtId="0" fontId="7" fillId="0" borderId="38" xfId="0" applyFont="1" applyBorder="1" applyAlignment="1">
      <alignment horizontal="center" vertical="center"/>
    </xf>
    <xf numFmtId="0" fontId="19"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7" fillId="0" borderId="68" xfId="0" applyFont="1" applyBorder="1" applyAlignment="1">
      <alignment horizontal="center" vertical="center"/>
    </xf>
    <xf numFmtId="0" fontId="7" fillId="2" borderId="2" xfId="0" applyFont="1" applyFill="1" applyBorder="1" applyAlignment="1">
      <alignment horizontal="center" vertical="center" wrapText="1"/>
    </xf>
    <xf numFmtId="0" fontId="19" fillId="0" borderId="51" xfId="0" applyFont="1" applyBorder="1" applyAlignment="1">
      <alignment horizontal="center" vertical="center"/>
    </xf>
    <xf numFmtId="0" fontId="19" fillId="0" borderId="3" xfId="0" applyFont="1" applyBorder="1" applyAlignment="1">
      <alignment horizontal="center" vertical="center"/>
    </xf>
    <xf numFmtId="2" fontId="7" fillId="3" borderId="51" xfId="0" applyNumberFormat="1" applyFont="1" applyFill="1" applyBorder="1" applyAlignment="1">
      <alignment horizontal="center" vertical="center" wrapText="1"/>
    </xf>
    <xf numFmtId="0" fontId="7" fillId="2" borderId="5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2"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51" xfId="0" applyFont="1" applyFill="1" applyBorder="1" applyAlignment="1">
      <alignment horizontal="center" vertical="center"/>
    </xf>
    <xf numFmtId="0" fontId="19" fillId="2" borderId="3" xfId="0" applyFont="1" applyFill="1" applyBorder="1" applyAlignment="1">
      <alignment horizontal="center" vertical="center"/>
    </xf>
    <xf numFmtId="0" fontId="13" fillId="3" borderId="52" xfId="0" applyFont="1" applyFill="1" applyBorder="1" applyAlignment="1">
      <alignment horizontal="center"/>
    </xf>
    <xf numFmtId="0" fontId="13" fillId="3" borderId="53" xfId="0" applyFont="1" applyFill="1" applyBorder="1" applyAlignment="1">
      <alignment horizontal="center"/>
    </xf>
    <xf numFmtId="0" fontId="23" fillId="10" borderId="84" xfId="0" applyFont="1" applyFill="1" applyBorder="1" applyAlignment="1">
      <alignment horizontal="center" vertical="center" wrapText="1"/>
    </xf>
    <xf numFmtId="0" fontId="23" fillId="10" borderId="49" xfId="0" applyFont="1" applyFill="1" applyBorder="1" applyAlignment="1">
      <alignment horizontal="center" vertical="center" wrapText="1"/>
    </xf>
    <xf numFmtId="0" fontId="23" fillId="10" borderId="50" xfId="0" applyFont="1" applyFill="1" applyBorder="1" applyAlignment="1">
      <alignment horizontal="center" vertical="center" wrapText="1"/>
    </xf>
    <xf numFmtId="164" fontId="12" fillId="26" borderId="93" xfId="0" applyNumberFormat="1" applyFont="1" applyFill="1" applyBorder="1" applyAlignment="1">
      <alignment horizontal="center" vertical="center" wrapText="1"/>
    </xf>
    <xf numFmtId="164" fontId="12" fillId="26" borderId="94" xfId="0" applyNumberFormat="1" applyFont="1" applyFill="1" applyBorder="1" applyAlignment="1">
      <alignment horizontal="center" vertical="center" wrapText="1"/>
    </xf>
    <xf numFmtId="0" fontId="17" fillId="3" borderId="10" xfId="0" applyFont="1" applyFill="1" applyBorder="1" applyAlignment="1">
      <alignment horizontal="center" vertical="center"/>
    </xf>
    <xf numFmtId="0" fontId="17" fillId="3" borderId="21" xfId="0" applyFont="1" applyFill="1" applyBorder="1" applyAlignment="1">
      <alignment horizontal="center" vertical="center"/>
    </xf>
    <xf numFmtId="0" fontId="12" fillId="28" borderId="84" xfId="0" applyFont="1" applyFill="1" applyBorder="1" applyAlignment="1">
      <alignment horizontal="center" vertical="center"/>
    </xf>
    <xf numFmtId="0" fontId="12" fillId="28" borderId="49" xfId="0" applyFont="1" applyFill="1" applyBorder="1" applyAlignment="1">
      <alignment horizontal="center" vertical="center"/>
    </xf>
    <xf numFmtId="0" fontId="12" fillId="28" borderId="89" xfId="0" applyFont="1" applyFill="1" applyBorder="1" applyAlignment="1">
      <alignment horizontal="center" vertical="center"/>
    </xf>
    <xf numFmtId="0" fontId="27" fillId="0" borderId="1" xfId="0" applyFont="1" applyFill="1" applyBorder="1" applyAlignment="1">
      <alignment horizontal="center" vertical="center"/>
    </xf>
    <xf numFmtId="0" fontId="37" fillId="17" borderId="1" xfId="0" applyFont="1" applyFill="1" applyBorder="1" applyAlignment="1">
      <alignment horizontal="center" vertical="center"/>
    </xf>
    <xf numFmtId="0" fontId="38" fillId="17" borderId="1" xfId="0" applyFont="1" applyFill="1" applyBorder="1" applyAlignment="1">
      <alignment horizontal="center" vertical="center"/>
    </xf>
  </cellXfs>
  <cellStyles count="4">
    <cellStyle name="Millares" xfId="1" builtinId="3"/>
    <cellStyle name="Normal" xfId="0" builtinId="0"/>
    <cellStyle name="Normal 2" xfId="3"/>
    <cellStyle name="Porcentaje" xfId="2" builtinId="5"/>
  </cellStyles>
  <dxfs count="423">
    <dxf>
      <fill>
        <patternFill patternType="solid">
          <fgColor rgb="FFDAEEF3"/>
          <bgColor rgb="FF000000"/>
        </pattern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8" tint="0.40000610370189521"/>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9" tint="0.59999389629810485"/>
          </stop>
          <stop position="1">
            <color theme="0"/>
          </stop>
        </gradientFill>
      </fill>
    </dxf>
    <dxf>
      <fill>
        <gradientFill degree="90">
          <stop position="0">
            <color theme="0"/>
          </stop>
          <stop position="0.5">
            <color theme="3" tint="0.59999389629810485"/>
          </stop>
          <stop position="1">
            <color theme="0"/>
          </stop>
        </gradientFill>
      </fill>
    </dxf>
    <dxf>
      <fill>
        <gradientFill degree="45">
          <stop position="0">
            <color theme="0"/>
          </stop>
          <stop position="0.5">
            <color theme="5" tint="0.40000610370189521"/>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4" tint="0.80001220740379042"/>
          </stop>
          <stop position="1">
            <color theme="0"/>
          </stop>
        </gradientFill>
      </fill>
    </dxf>
    <dxf>
      <fill>
        <patternFill>
          <bgColor theme="5" tint="0.79998168889431442"/>
        </patternFill>
      </fill>
    </dxf>
    <dxf>
      <fill>
        <patternFill>
          <bgColor theme="8" tint="0.79998168889431442"/>
        </pattern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
      <fill>
        <gradientFill degree="90">
          <stop position="0">
            <color theme="0"/>
          </stop>
          <stop position="0.5">
            <color theme="3"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6" tint="0.80001220740379042"/>
          </stop>
          <stop position="1">
            <color theme="0"/>
          </stop>
        </gradientFill>
      </fill>
    </dxf>
    <dxf>
      <fill>
        <gradientFill degree="90">
          <stop position="0">
            <color theme="0"/>
          </stop>
          <stop position="0.5">
            <color theme="5" tint="0.80001220740379042"/>
          </stop>
          <stop position="1">
            <color theme="0"/>
          </stop>
        </gradientFill>
      </fill>
    </dxf>
    <dxf>
      <fill>
        <gradientFill degree="90">
          <stop position="0">
            <color theme="0"/>
          </stop>
          <stop position="0.5">
            <color theme="9" tint="0.80001220740379042"/>
          </stop>
          <stop position="1">
            <color theme="0"/>
          </stop>
        </gradientFill>
      </fill>
    </dxf>
    <dxf>
      <fill>
        <gradientFill degree="90">
          <stop position="0">
            <color theme="0"/>
          </stop>
          <stop position="0.5">
            <color theme="4" tint="0.80001220740379042"/>
          </stop>
          <stop position="1">
            <color theme="0"/>
          </stop>
        </gradientFill>
      </fill>
    </dxf>
    <dxf>
      <fill>
        <gradientFill degree="90">
          <stop position="0">
            <color theme="0"/>
          </stop>
          <stop position="0.5">
            <color theme="5" tint="0.59999389629810485"/>
          </stop>
          <stop position="1">
            <color theme="0"/>
          </stop>
        </gradientFill>
      </fill>
    </dxf>
    <dxf>
      <fill>
        <gradientFill degree="90">
          <stop position="0">
            <color theme="0"/>
          </stop>
          <stop position="0.5">
            <color theme="6" tint="0.59999389629810485"/>
          </stop>
          <stop position="1">
            <color theme="0"/>
          </stop>
        </gradientFill>
      </fill>
    </dxf>
    <dxf>
      <fill>
        <gradientFill degree="90">
          <stop position="0">
            <color theme="0"/>
          </stop>
          <stop position="1">
            <color theme="4" tint="0.80001220740379042"/>
          </stop>
        </gradientFill>
      </fill>
    </dxf>
    <dxf>
      <fill>
        <gradientFill degree="90">
          <stop position="0">
            <color theme="0"/>
          </stop>
          <stop position="1">
            <color theme="9" tint="0.80001220740379042"/>
          </stop>
        </gradientFill>
      </fill>
    </dxf>
    <dxf>
      <fill>
        <gradientFill degree="90">
          <stop position="0">
            <color theme="0"/>
          </stop>
          <stop position="1">
            <color theme="6" tint="0.59999389629810485"/>
          </stop>
        </gradientFill>
      </fill>
    </dxf>
  </dxfs>
  <tableStyles count="0" defaultTableStyle="TableStyleMedium9" defaultPivotStyle="PivotStyleLight16"/>
  <colors>
    <mruColors>
      <color rgb="FFFFCCCC"/>
      <color rgb="FFFF99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638175</xdr:colOff>
      <xdr:row>0</xdr:row>
      <xdr:rowOff>70910</xdr:rowOff>
    </xdr:from>
    <xdr:to>
      <xdr:col>1</xdr:col>
      <xdr:colOff>1666875</xdr:colOff>
      <xdr:row>2</xdr:row>
      <xdr:rowOff>261410</xdr:rowOff>
    </xdr:to>
    <xdr:pic>
      <xdr:nvPicPr>
        <xdr:cNvPr id="3" name="Picture 39" descr="Escudo color CVP"/>
        <xdr:cNvPicPr>
          <a:picLocks noChangeAspect="1" noChangeArrowheads="1"/>
        </xdr:cNvPicPr>
      </xdr:nvPicPr>
      <xdr:blipFill>
        <a:blip xmlns:r="http://schemas.openxmlformats.org/officeDocument/2006/relationships" r:embed="rId1" cstate="print"/>
        <a:srcRect/>
        <a:stretch>
          <a:fillRect/>
        </a:stretch>
      </xdr:blipFill>
      <xdr:spPr bwMode="auto">
        <a:xfrm>
          <a:off x="952500" y="70910"/>
          <a:ext cx="1028700" cy="7239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alidad/208-PLA-FT-01%20Listado%20maestro%20de%20document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do Maestro de documentos"/>
      <sheetName val="LISTAS SOPORTE"/>
      <sheetName val="Hoja1"/>
    </sheetNames>
    <sheetDataSet>
      <sheetData sheetId="0"/>
      <sheetData sheetId="1">
        <row r="2">
          <cell r="A2" t="str">
            <v>ACTIVO</v>
          </cell>
        </row>
        <row r="3">
          <cell r="A3" t="str">
            <v>INACTIVO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sheetPr>
  <dimension ref="A1:E14"/>
  <sheetViews>
    <sheetView workbookViewId="0">
      <selection activeCell="A30" sqref="A30"/>
    </sheetView>
  </sheetViews>
  <sheetFormatPr baseColWidth="10" defaultRowHeight="15" x14ac:dyDescent="0.25"/>
  <cols>
    <col min="1" max="1" width="32.85546875" style="1" customWidth="1"/>
    <col min="2" max="2" width="16.28515625" style="1" customWidth="1"/>
    <col min="3" max="3" width="16.85546875" style="1" customWidth="1"/>
    <col min="4" max="4" width="11.42578125" style="1"/>
    <col min="5" max="5" width="22.140625" style="1" customWidth="1"/>
    <col min="6" max="16384" width="11.42578125" style="1"/>
  </cols>
  <sheetData>
    <row r="1" spans="1:5" x14ac:dyDescent="0.25">
      <c r="A1" s="19" t="s">
        <v>9</v>
      </c>
      <c r="B1" s="19" t="s">
        <v>47</v>
      </c>
      <c r="C1" s="19" t="s">
        <v>51</v>
      </c>
      <c r="D1" s="19" t="s">
        <v>35</v>
      </c>
      <c r="E1" s="20" t="s">
        <v>52</v>
      </c>
    </row>
    <row r="2" spans="1:5" x14ac:dyDescent="0.25">
      <c r="A2" s="1" t="s">
        <v>53</v>
      </c>
      <c r="B2" s="21" t="s">
        <v>32</v>
      </c>
      <c r="C2" s="1" t="s">
        <v>54</v>
      </c>
      <c r="D2" s="1" t="s">
        <v>55</v>
      </c>
      <c r="E2" s="1" t="s">
        <v>415</v>
      </c>
    </row>
    <row r="3" spans="1:5" x14ac:dyDescent="0.25">
      <c r="A3" s="362" t="s">
        <v>10</v>
      </c>
      <c r="B3" s="23" t="s">
        <v>57</v>
      </c>
      <c r="C3" s="1" t="s">
        <v>58</v>
      </c>
      <c r="D3" s="1" t="s">
        <v>59</v>
      </c>
      <c r="E3" s="1" t="s">
        <v>56</v>
      </c>
    </row>
    <row r="4" spans="1:5" ht="30" x14ac:dyDescent="0.25">
      <c r="A4" s="363" t="s">
        <v>416</v>
      </c>
      <c r="B4" s="22" t="s">
        <v>3</v>
      </c>
      <c r="C4" s="1" t="s">
        <v>61</v>
      </c>
      <c r="E4" s="1" t="s">
        <v>60</v>
      </c>
    </row>
    <row r="5" spans="1:5" x14ac:dyDescent="0.25">
      <c r="A5" s="1" t="s">
        <v>2</v>
      </c>
      <c r="E5" s="1" t="s">
        <v>62</v>
      </c>
    </row>
    <row r="6" spans="1:5" x14ac:dyDescent="0.25">
      <c r="A6" s="362" t="s">
        <v>25</v>
      </c>
      <c r="E6" s="362" t="s">
        <v>798</v>
      </c>
    </row>
    <row r="7" spans="1:5" x14ac:dyDescent="0.25">
      <c r="A7" s="1" t="s">
        <v>38</v>
      </c>
      <c r="E7" s="1" t="s">
        <v>63</v>
      </c>
    </row>
    <row r="8" spans="1:5" x14ac:dyDescent="0.25">
      <c r="A8" s="362" t="s">
        <v>37</v>
      </c>
      <c r="E8" s="1" t="s">
        <v>799</v>
      </c>
    </row>
    <row r="9" spans="1:5" x14ac:dyDescent="0.25">
      <c r="A9" s="1" t="s">
        <v>324</v>
      </c>
      <c r="E9" s="1" t="s">
        <v>182</v>
      </c>
    </row>
    <row r="10" spans="1:5" ht="30" x14ac:dyDescent="0.25">
      <c r="A10" s="22" t="s">
        <v>66</v>
      </c>
      <c r="E10" s="1" t="s">
        <v>219</v>
      </c>
    </row>
    <row r="11" spans="1:5" x14ac:dyDescent="0.25">
      <c r="A11" s="1" t="s">
        <v>67</v>
      </c>
    </row>
    <row r="12" spans="1:5" x14ac:dyDescent="0.25">
      <c r="A12" s="1" t="s">
        <v>414</v>
      </c>
    </row>
    <row r="13" spans="1:5" x14ac:dyDescent="0.25">
      <c r="A13" s="1" t="s">
        <v>65</v>
      </c>
    </row>
    <row r="14" spans="1:5" x14ac:dyDescent="0.25">
      <c r="A14" s="1" t="s">
        <v>69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K115"/>
  <sheetViews>
    <sheetView zoomScaleNormal="100" workbookViewId="0">
      <selection activeCell="B117" sqref="B117"/>
    </sheetView>
  </sheetViews>
  <sheetFormatPr baseColWidth="10" defaultRowHeight="15" x14ac:dyDescent="0.25"/>
  <cols>
    <col min="1" max="1" width="4.7109375" customWidth="1"/>
    <col min="2" max="2" width="47.5703125" customWidth="1"/>
    <col min="3" max="3" width="15.28515625" customWidth="1"/>
    <col min="4" max="4" width="10.42578125" hidden="1" customWidth="1"/>
    <col min="5" max="5" width="21.85546875" customWidth="1"/>
    <col min="6" max="6" width="26.85546875" hidden="1" customWidth="1"/>
    <col min="7" max="7" width="15.5703125" customWidth="1"/>
    <col min="8" max="8" width="12.5703125" customWidth="1"/>
    <col min="9" max="9" width="9.85546875" customWidth="1"/>
    <col min="10" max="10" width="19.7109375" customWidth="1"/>
    <col min="11" max="11" width="16.42578125" customWidth="1"/>
    <col min="12" max="12" width="15" customWidth="1"/>
  </cols>
  <sheetData>
    <row r="1" spans="1:11" s="638" customFormat="1" ht="21" customHeight="1" x14ac:dyDescent="0.2">
      <c r="A1" s="805"/>
      <c r="B1" s="805"/>
      <c r="C1" s="806" t="s">
        <v>866</v>
      </c>
      <c r="D1" s="806"/>
      <c r="E1" s="806"/>
      <c r="F1" s="806"/>
      <c r="G1" s="807"/>
      <c r="H1" s="807"/>
      <c r="I1" s="806"/>
      <c r="J1" s="636" t="s">
        <v>867</v>
      </c>
      <c r="K1" s="637"/>
    </row>
    <row r="2" spans="1:11" s="638" customFormat="1" ht="21" customHeight="1" x14ac:dyDescent="0.2">
      <c r="A2" s="805"/>
      <c r="B2" s="805"/>
      <c r="C2" s="806"/>
      <c r="D2" s="806"/>
      <c r="E2" s="806"/>
      <c r="F2" s="806"/>
      <c r="G2" s="807"/>
      <c r="H2" s="807"/>
      <c r="I2" s="806"/>
      <c r="J2" s="636" t="s">
        <v>868</v>
      </c>
      <c r="K2" s="636" t="s">
        <v>869</v>
      </c>
    </row>
    <row r="3" spans="1:11" s="638" customFormat="1" ht="21" customHeight="1" x14ac:dyDescent="0.2">
      <c r="A3" s="805"/>
      <c r="B3" s="805"/>
      <c r="C3" s="806"/>
      <c r="D3" s="806"/>
      <c r="E3" s="806"/>
      <c r="F3" s="806"/>
      <c r="G3" s="807"/>
      <c r="H3" s="807"/>
      <c r="I3" s="806"/>
      <c r="J3" s="636" t="s">
        <v>870</v>
      </c>
      <c r="K3" s="639">
        <v>40697</v>
      </c>
    </row>
    <row r="4" spans="1:11" s="638" customFormat="1" ht="21" customHeight="1" x14ac:dyDescent="0.2">
      <c r="A4" s="640"/>
      <c r="B4" s="641"/>
      <c r="C4" s="642"/>
      <c r="D4" s="642"/>
      <c r="E4" s="642"/>
      <c r="F4" s="642"/>
      <c r="G4" s="643"/>
      <c r="H4" s="643"/>
      <c r="I4" s="642"/>
      <c r="J4" s="640"/>
      <c r="K4" s="644"/>
    </row>
    <row r="5" spans="1:11" s="647" customFormat="1" ht="28.5" customHeight="1" x14ac:dyDescent="0.25">
      <c r="A5" s="645" t="s">
        <v>871</v>
      </c>
      <c r="B5" s="646" t="s">
        <v>872</v>
      </c>
      <c r="C5" s="646" t="s">
        <v>873</v>
      </c>
      <c r="D5" s="646" t="s">
        <v>874</v>
      </c>
      <c r="E5" s="646" t="s">
        <v>875</v>
      </c>
      <c r="F5" s="646" t="s">
        <v>9</v>
      </c>
      <c r="G5" s="645" t="s">
        <v>876</v>
      </c>
      <c r="H5" s="645" t="s">
        <v>877</v>
      </c>
      <c r="I5" s="645" t="s">
        <v>878</v>
      </c>
      <c r="J5" s="645" t="s">
        <v>879</v>
      </c>
      <c r="K5" s="645" t="s">
        <v>880</v>
      </c>
    </row>
    <row r="6" spans="1:11" ht="24" hidden="1" x14ac:dyDescent="0.25">
      <c r="A6" s="653">
        <v>607</v>
      </c>
      <c r="B6" s="654" t="s">
        <v>1029</v>
      </c>
      <c r="C6" s="655" t="s">
        <v>1030</v>
      </c>
      <c r="D6" s="655" t="s">
        <v>883</v>
      </c>
      <c r="E6" s="655" t="s">
        <v>884</v>
      </c>
      <c r="F6" s="655" t="s">
        <v>885</v>
      </c>
      <c r="G6" s="656" t="s">
        <v>1031</v>
      </c>
      <c r="H6" s="656">
        <v>3</v>
      </c>
      <c r="I6" s="657" t="s">
        <v>890</v>
      </c>
      <c r="J6" s="658">
        <v>39417</v>
      </c>
      <c r="K6" s="658">
        <v>40841</v>
      </c>
    </row>
    <row r="7" spans="1:11" ht="24" hidden="1" x14ac:dyDescent="0.25">
      <c r="A7" s="653">
        <v>608</v>
      </c>
      <c r="B7" s="659" t="s">
        <v>1032</v>
      </c>
      <c r="C7" s="649" t="s">
        <v>882</v>
      </c>
      <c r="D7" s="649" t="s">
        <v>883</v>
      </c>
      <c r="E7" s="655" t="s">
        <v>884</v>
      </c>
      <c r="F7" s="655" t="s">
        <v>885</v>
      </c>
      <c r="G7" s="656" t="s">
        <v>1033</v>
      </c>
      <c r="H7" s="649">
        <v>2</v>
      </c>
      <c r="I7" s="657" t="s">
        <v>890</v>
      </c>
      <c r="J7" s="650">
        <v>40639</v>
      </c>
      <c r="K7" s="650">
        <v>40955</v>
      </c>
    </row>
    <row r="8" spans="1:11" ht="36" hidden="1" x14ac:dyDescent="0.25">
      <c r="A8" s="653">
        <v>609</v>
      </c>
      <c r="B8" s="648" t="s">
        <v>1034</v>
      </c>
      <c r="C8" s="649" t="s">
        <v>882</v>
      </c>
      <c r="D8" s="649" t="s">
        <v>883</v>
      </c>
      <c r="E8" s="655" t="s">
        <v>884</v>
      </c>
      <c r="F8" s="655" t="s">
        <v>885</v>
      </c>
      <c r="G8" s="656" t="s">
        <v>1035</v>
      </c>
      <c r="H8" s="649">
        <v>3</v>
      </c>
      <c r="I8" s="656" t="s">
        <v>887</v>
      </c>
      <c r="J8" s="650">
        <v>40639</v>
      </c>
      <c r="K8" s="650">
        <v>41788</v>
      </c>
    </row>
    <row r="9" spans="1:11" ht="24" x14ac:dyDescent="0.25">
      <c r="A9" s="653">
        <v>610</v>
      </c>
      <c r="B9" s="648" t="s">
        <v>1036</v>
      </c>
      <c r="C9" s="649" t="s">
        <v>882</v>
      </c>
      <c r="D9" s="649" t="s">
        <v>883</v>
      </c>
      <c r="E9" s="655" t="s">
        <v>884</v>
      </c>
      <c r="F9" s="655" t="s">
        <v>885</v>
      </c>
      <c r="G9" s="673" t="s">
        <v>1037</v>
      </c>
      <c r="H9" s="649">
        <v>3</v>
      </c>
      <c r="I9" s="680" t="s">
        <v>887</v>
      </c>
      <c r="J9" s="650">
        <v>40639</v>
      </c>
      <c r="K9" s="650">
        <v>41936</v>
      </c>
    </row>
    <row r="10" spans="1:11" ht="24" hidden="1" x14ac:dyDescent="0.25">
      <c r="A10" s="653">
        <v>611</v>
      </c>
      <c r="B10" s="659" t="s">
        <v>1038</v>
      </c>
      <c r="C10" s="649" t="s">
        <v>882</v>
      </c>
      <c r="D10" s="649" t="s">
        <v>883</v>
      </c>
      <c r="E10" s="655" t="s">
        <v>884</v>
      </c>
      <c r="F10" s="655" t="s">
        <v>885</v>
      </c>
      <c r="G10" s="649" t="s">
        <v>1039</v>
      </c>
      <c r="H10" s="649">
        <v>1</v>
      </c>
      <c r="I10" s="657" t="s">
        <v>890</v>
      </c>
      <c r="J10" s="650">
        <v>40704</v>
      </c>
      <c r="K10" s="650">
        <v>40808</v>
      </c>
    </row>
    <row r="11" spans="1:11" ht="24" x14ac:dyDescent="0.25">
      <c r="A11" s="653">
        <v>612</v>
      </c>
      <c r="B11" s="664" t="s">
        <v>1040</v>
      </c>
      <c r="C11" s="649" t="s">
        <v>882</v>
      </c>
      <c r="D11" s="649" t="s">
        <v>883</v>
      </c>
      <c r="E11" s="655" t="s">
        <v>884</v>
      </c>
      <c r="F11" s="655" t="s">
        <v>885</v>
      </c>
      <c r="G11" s="665" t="s">
        <v>1041</v>
      </c>
      <c r="H11" s="649">
        <v>2</v>
      </c>
      <c r="I11" s="680" t="s">
        <v>887</v>
      </c>
      <c r="J11" s="650">
        <v>40704</v>
      </c>
      <c r="K11" s="650">
        <v>41837</v>
      </c>
    </row>
    <row r="12" spans="1:11" ht="24" hidden="1" x14ac:dyDescent="0.25">
      <c r="A12" s="653">
        <v>613</v>
      </c>
      <c r="B12" s="659" t="s">
        <v>1042</v>
      </c>
      <c r="C12" s="649" t="s">
        <v>882</v>
      </c>
      <c r="D12" s="649" t="s">
        <v>883</v>
      </c>
      <c r="E12" s="655" t="s">
        <v>884</v>
      </c>
      <c r="F12" s="655" t="s">
        <v>885</v>
      </c>
      <c r="G12" s="649" t="s">
        <v>1043</v>
      </c>
      <c r="H12" s="649">
        <v>1</v>
      </c>
      <c r="I12" s="657" t="s">
        <v>890</v>
      </c>
      <c r="J12" s="650">
        <v>40704</v>
      </c>
      <c r="K12" s="650">
        <v>40704</v>
      </c>
    </row>
    <row r="13" spans="1:11" ht="24" hidden="1" x14ac:dyDescent="0.25">
      <c r="A13" s="653">
        <v>614</v>
      </c>
      <c r="B13" s="659" t="s">
        <v>1044</v>
      </c>
      <c r="C13" s="649" t="s">
        <v>882</v>
      </c>
      <c r="D13" s="649" t="s">
        <v>883</v>
      </c>
      <c r="E13" s="655" t="s">
        <v>884</v>
      </c>
      <c r="F13" s="655" t="s">
        <v>885</v>
      </c>
      <c r="G13" s="649" t="s">
        <v>1045</v>
      </c>
      <c r="H13" s="649">
        <v>1</v>
      </c>
      <c r="I13" s="657" t="s">
        <v>890</v>
      </c>
      <c r="J13" s="650">
        <v>40704</v>
      </c>
      <c r="K13" s="650">
        <v>40704</v>
      </c>
    </row>
    <row r="14" spans="1:11" ht="24" x14ac:dyDescent="0.25">
      <c r="A14" s="653">
        <v>615</v>
      </c>
      <c r="B14" s="648" t="s">
        <v>1046</v>
      </c>
      <c r="C14" s="649" t="s">
        <v>882</v>
      </c>
      <c r="D14" s="649" t="s">
        <v>883</v>
      </c>
      <c r="E14" s="655" t="s">
        <v>884</v>
      </c>
      <c r="F14" s="655" t="s">
        <v>885</v>
      </c>
      <c r="G14" s="674" t="s">
        <v>1047</v>
      </c>
      <c r="H14" s="649">
        <v>3</v>
      </c>
      <c r="I14" s="680" t="s">
        <v>887</v>
      </c>
      <c r="J14" s="650">
        <v>40704</v>
      </c>
      <c r="K14" s="650">
        <v>42160</v>
      </c>
    </row>
    <row r="15" spans="1:11" ht="24" x14ac:dyDescent="0.25">
      <c r="A15" s="653">
        <v>616</v>
      </c>
      <c r="B15" s="648" t="s">
        <v>1048</v>
      </c>
      <c r="C15" s="649" t="s">
        <v>882</v>
      </c>
      <c r="D15" s="649" t="s">
        <v>883</v>
      </c>
      <c r="E15" s="655" t="s">
        <v>884</v>
      </c>
      <c r="F15" s="655" t="s">
        <v>885</v>
      </c>
      <c r="G15" s="674" t="s">
        <v>1049</v>
      </c>
      <c r="H15" s="649">
        <v>5</v>
      </c>
      <c r="I15" s="680" t="s">
        <v>887</v>
      </c>
      <c r="J15" s="650">
        <v>42044</v>
      </c>
      <c r="K15" s="650">
        <v>42278</v>
      </c>
    </row>
    <row r="16" spans="1:11" ht="24" x14ac:dyDescent="0.25">
      <c r="A16" s="653">
        <v>617</v>
      </c>
      <c r="B16" s="648" t="s">
        <v>1050</v>
      </c>
      <c r="C16" s="649" t="s">
        <v>882</v>
      </c>
      <c r="D16" s="649" t="s">
        <v>883</v>
      </c>
      <c r="E16" s="655" t="s">
        <v>884</v>
      </c>
      <c r="F16" s="655" t="s">
        <v>885</v>
      </c>
      <c r="G16" s="674" t="s">
        <v>1051</v>
      </c>
      <c r="H16" s="649">
        <v>4</v>
      </c>
      <c r="I16" s="680" t="s">
        <v>887</v>
      </c>
      <c r="J16" s="650">
        <v>42044</v>
      </c>
      <c r="K16" s="650">
        <v>42173</v>
      </c>
    </row>
    <row r="17" spans="1:11" ht="24" x14ac:dyDescent="0.25">
      <c r="A17" s="653">
        <v>618</v>
      </c>
      <c r="B17" s="648" t="s">
        <v>1052</v>
      </c>
      <c r="C17" s="649" t="s">
        <v>882</v>
      </c>
      <c r="D17" s="649" t="s">
        <v>883</v>
      </c>
      <c r="E17" s="655" t="s">
        <v>884</v>
      </c>
      <c r="F17" s="655" t="s">
        <v>885</v>
      </c>
      <c r="G17" s="674" t="s">
        <v>1053</v>
      </c>
      <c r="H17" s="649">
        <v>4</v>
      </c>
      <c r="I17" s="680" t="s">
        <v>887</v>
      </c>
      <c r="J17" s="650">
        <v>40704</v>
      </c>
      <c r="K17" s="650">
        <v>42130</v>
      </c>
    </row>
    <row r="18" spans="1:11" ht="24" x14ac:dyDescent="0.25">
      <c r="A18" s="653">
        <v>619</v>
      </c>
      <c r="B18" s="648" t="s">
        <v>1054</v>
      </c>
      <c r="C18" s="649" t="s">
        <v>882</v>
      </c>
      <c r="D18" s="649" t="s">
        <v>883</v>
      </c>
      <c r="E18" s="655" t="s">
        <v>884</v>
      </c>
      <c r="F18" s="655" t="s">
        <v>885</v>
      </c>
      <c r="G18" s="674" t="s">
        <v>1055</v>
      </c>
      <c r="H18" s="649">
        <v>2</v>
      </c>
      <c r="I18" s="680" t="s">
        <v>887</v>
      </c>
      <c r="J18" s="650">
        <v>40704</v>
      </c>
      <c r="K18" s="650">
        <v>42081</v>
      </c>
    </row>
    <row r="19" spans="1:11" ht="24" x14ac:dyDescent="0.25">
      <c r="A19" s="653">
        <v>620</v>
      </c>
      <c r="B19" s="648" t="s">
        <v>1056</v>
      </c>
      <c r="C19" s="649" t="s">
        <v>882</v>
      </c>
      <c r="D19" s="649" t="s">
        <v>883</v>
      </c>
      <c r="E19" s="655" t="s">
        <v>884</v>
      </c>
      <c r="F19" s="655" t="s">
        <v>885</v>
      </c>
      <c r="G19" s="674" t="s">
        <v>1057</v>
      </c>
      <c r="H19" s="649">
        <v>3</v>
      </c>
      <c r="I19" s="680" t="s">
        <v>887</v>
      </c>
      <c r="J19" s="650">
        <v>40704</v>
      </c>
      <c r="K19" s="650">
        <v>42278</v>
      </c>
    </row>
    <row r="20" spans="1:11" ht="24" hidden="1" x14ac:dyDescent="0.25">
      <c r="A20" s="653">
        <v>621</v>
      </c>
      <c r="B20" s="648" t="s">
        <v>1058</v>
      </c>
      <c r="C20" s="649" t="s">
        <v>882</v>
      </c>
      <c r="D20" s="649" t="s">
        <v>883</v>
      </c>
      <c r="E20" s="655" t="s">
        <v>884</v>
      </c>
      <c r="F20" s="655" t="s">
        <v>885</v>
      </c>
      <c r="G20" s="649" t="s">
        <v>1059</v>
      </c>
      <c r="H20" s="649">
        <v>1</v>
      </c>
      <c r="I20" s="656" t="s">
        <v>887</v>
      </c>
      <c r="J20" s="650">
        <v>40704</v>
      </c>
      <c r="K20" s="650">
        <v>40704</v>
      </c>
    </row>
    <row r="21" spans="1:11" ht="24" hidden="1" x14ac:dyDescent="0.25">
      <c r="A21" s="653">
        <v>622</v>
      </c>
      <c r="B21" s="648" t="s">
        <v>1060</v>
      </c>
      <c r="C21" s="649" t="s">
        <v>882</v>
      </c>
      <c r="D21" s="649" t="s">
        <v>883</v>
      </c>
      <c r="E21" s="655" t="s">
        <v>884</v>
      </c>
      <c r="F21" s="655" t="s">
        <v>885</v>
      </c>
      <c r="G21" s="649" t="s">
        <v>1061</v>
      </c>
      <c r="H21" s="649">
        <v>1</v>
      </c>
      <c r="I21" s="656" t="s">
        <v>887</v>
      </c>
      <c r="J21" s="650">
        <v>40704</v>
      </c>
      <c r="K21" s="650">
        <v>40704</v>
      </c>
    </row>
    <row r="22" spans="1:11" ht="24" x14ac:dyDescent="0.25">
      <c r="A22" s="653">
        <v>623</v>
      </c>
      <c r="B22" s="648" t="s">
        <v>1062</v>
      </c>
      <c r="C22" s="649" t="s">
        <v>882</v>
      </c>
      <c r="D22" s="649" t="s">
        <v>883</v>
      </c>
      <c r="E22" s="655" t="s">
        <v>884</v>
      </c>
      <c r="F22" s="655" t="s">
        <v>885</v>
      </c>
      <c r="G22" s="674" t="s">
        <v>1063</v>
      </c>
      <c r="H22" s="649">
        <v>2</v>
      </c>
      <c r="I22" s="680" t="s">
        <v>887</v>
      </c>
      <c r="J22" s="650">
        <v>40704</v>
      </c>
      <c r="K22" s="650">
        <v>42146</v>
      </c>
    </row>
    <row r="23" spans="1:11" ht="24" x14ac:dyDescent="0.25">
      <c r="A23" s="653">
        <v>624</v>
      </c>
      <c r="B23" s="648" t="s">
        <v>1064</v>
      </c>
      <c r="C23" s="649" t="s">
        <v>882</v>
      </c>
      <c r="D23" s="649" t="s">
        <v>883</v>
      </c>
      <c r="E23" s="655" t="s">
        <v>884</v>
      </c>
      <c r="F23" s="655" t="s">
        <v>885</v>
      </c>
      <c r="G23" s="674" t="s">
        <v>1065</v>
      </c>
      <c r="H23" s="649">
        <v>2</v>
      </c>
      <c r="I23" s="680" t="s">
        <v>887</v>
      </c>
      <c r="J23" s="650">
        <v>40704</v>
      </c>
      <c r="K23" s="650">
        <v>41936</v>
      </c>
    </row>
    <row r="24" spans="1:11" ht="24" hidden="1" x14ac:dyDescent="0.25">
      <c r="A24" s="653">
        <v>625</v>
      </c>
      <c r="B24" s="648" t="s">
        <v>1066</v>
      </c>
      <c r="C24" s="649" t="s">
        <v>882</v>
      </c>
      <c r="D24" s="649" t="s">
        <v>883</v>
      </c>
      <c r="E24" s="655" t="s">
        <v>884</v>
      </c>
      <c r="F24" s="655" t="s">
        <v>885</v>
      </c>
      <c r="G24" s="649" t="s">
        <v>1067</v>
      </c>
      <c r="H24" s="649">
        <v>1</v>
      </c>
      <c r="I24" s="656" t="s">
        <v>887</v>
      </c>
      <c r="J24" s="650">
        <v>40704</v>
      </c>
      <c r="K24" s="650">
        <v>40704</v>
      </c>
    </row>
    <row r="25" spans="1:11" ht="24" x14ac:dyDescent="0.25">
      <c r="A25" s="653">
        <v>626</v>
      </c>
      <c r="B25" s="648" t="s">
        <v>1068</v>
      </c>
      <c r="C25" s="649" t="s">
        <v>882</v>
      </c>
      <c r="D25" s="649" t="s">
        <v>883</v>
      </c>
      <c r="E25" s="655" t="s">
        <v>884</v>
      </c>
      <c r="F25" s="655" t="s">
        <v>885</v>
      </c>
      <c r="G25" s="674" t="s">
        <v>1069</v>
      </c>
      <c r="H25" s="649">
        <v>6</v>
      </c>
      <c r="I25" s="680" t="s">
        <v>887</v>
      </c>
      <c r="J25" s="650">
        <v>40704</v>
      </c>
      <c r="K25" s="650">
        <v>42240</v>
      </c>
    </row>
    <row r="26" spans="1:11" ht="24" hidden="1" x14ac:dyDescent="0.25">
      <c r="A26" s="653">
        <v>627</v>
      </c>
      <c r="B26" s="648" t="s">
        <v>1070</v>
      </c>
      <c r="C26" s="649" t="s">
        <v>882</v>
      </c>
      <c r="D26" s="649" t="s">
        <v>883</v>
      </c>
      <c r="E26" s="655" t="s">
        <v>884</v>
      </c>
      <c r="F26" s="655" t="s">
        <v>885</v>
      </c>
      <c r="G26" s="649" t="s">
        <v>1071</v>
      </c>
      <c r="H26" s="649">
        <v>1</v>
      </c>
      <c r="I26" s="656" t="s">
        <v>887</v>
      </c>
      <c r="J26" s="650">
        <v>40704</v>
      </c>
      <c r="K26" s="650">
        <v>40704</v>
      </c>
    </row>
    <row r="27" spans="1:11" ht="24" hidden="1" x14ac:dyDescent="0.25">
      <c r="A27" s="653">
        <v>628</v>
      </c>
      <c r="B27" s="659" t="s">
        <v>1072</v>
      </c>
      <c r="C27" s="649" t="s">
        <v>882</v>
      </c>
      <c r="D27" s="649" t="s">
        <v>883</v>
      </c>
      <c r="E27" s="655" t="s">
        <v>884</v>
      </c>
      <c r="F27" s="655" t="s">
        <v>885</v>
      </c>
      <c r="G27" s="649" t="s">
        <v>1073</v>
      </c>
      <c r="H27" s="649">
        <v>1</v>
      </c>
      <c r="I27" s="657" t="s">
        <v>890</v>
      </c>
      <c r="J27" s="650">
        <v>40704</v>
      </c>
      <c r="K27" s="650">
        <v>40704</v>
      </c>
    </row>
    <row r="28" spans="1:11" ht="24" hidden="1" x14ac:dyDescent="0.25">
      <c r="A28" s="653">
        <v>629</v>
      </c>
      <c r="B28" s="659" t="s">
        <v>1074</v>
      </c>
      <c r="C28" s="649" t="s">
        <v>882</v>
      </c>
      <c r="D28" s="649" t="s">
        <v>883</v>
      </c>
      <c r="E28" s="655" t="s">
        <v>884</v>
      </c>
      <c r="F28" s="655" t="s">
        <v>885</v>
      </c>
      <c r="G28" s="649" t="s">
        <v>1075</v>
      </c>
      <c r="H28" s="649">
        <v>1</v>
      </c>
      <c r="I28" s="657" t="s">
        <v>890</v>
      </c>
      <c r="J28" s="650">
        <v>40704</v>
      </c>
      <c r="K28" s="650">
        <v>40704</v>
      </c>
    </row>
    <row r="29" spans="1:11" ht="36" hidden="1" x14ac:dyDescent="0.25">
      <c r="A29" s="653">
        <v>630</v>
      </c>
      <c r="B29" s="648" t="s">
        <v>1076</v>
      </c>
      <c r="C29" s="649" t="s">
        <v>882</v>
      </c>
      <c r="D29" s="649" t="s">
        <v>883</v>
      </c>
      <c r="E29" s="655" t="s">
        <v>884</v>
      </c>
      <c r="F29" s="655" t="s">
        <v>885</v>
      </c>
      <c r="G29" s="649" t="s">
        <v>1077</v>
      </c>
      <c r="H29" s="649">
        <v>2</v>
      </c>
      <c r="I29" s="656" t="s">
        <v>887</v>
      </c>
      <c r="J29" s="650">
        <v>40704</v>
      </c>
      <c r="K29" s="650">
        <v>40841</v>
      </c>
    </row>
    <row r="30" spans="1:11" ht="24" hidden="1" x14ac:dyDescent="0.25">
      <c r="A30" s="653">
        <v>631</v>
      </c>
      <c r="B30" s="659" t="s">
        <v>1078</v>
      </c>
      <c r="C30" s="649" t="s">
        <v>882</v>
      </c>
      <c r="D30" s="649" t="s">
        <v>883</v>
      </c>
      <c r="E30" s="655" t="s">
        <v>884</v>
      </c>
      <c r="F30" s="655" t="s">
        <v>885</v>
      </c>
      <c r="G30" s="649" t="s">
        <v>1079</v>
      </c>
      <c r="H30" s="649">
        <v>2</v>
      </c>
      <c r="I30" s="657" t="s">
        <v>890</v>
      </c>
      <c r="J30" s="650">
        <v>40704</v>
      </c>
      <c r="K30" s="650">
        <v>40841</v>
      </c>
    </row>
    <row r="31" spans="1:11" ht="24" hidden="1" x14ac:dyDescent="0.25">
      <c r="A31" s="653">
        <v>632</v>
      </c>
      <c r="B31" s="659" t="s">
        <v>1080</v>
      </c>
      <c r="C31" s="649" t="s">
        <v>882</v>
      </c>
      <c r="D31" s="649" t="s">
        <v>883</v>
      </c>
      <c r="E31" s="655" t="s">
        <v>884</v>
      </c>
      <c r="F31" s="655" t="s">
        <v>885</v>
      </c>
      <c r="G31" s="649" t="s">
        <v>1081</v>
      </c>
      <c r="H31" s="649">
        <v>2</v>
      </c>
      <c r="I31" s="657" t="s">
        <v>890</v>
      </c>
      <c r="J31" s="650">
        <v>40704</v>
      </c>
      <c r="K31" s="650">
        <v>40841</v>
      </c>
    </row>
    <row r="32" spans="1:11" ht="24" x14ac:dyDescent="0.25">
      <c r="A32" s="653">
        <v>633</v>
      </c>
      <c r="B32" s="664" t="s">
        <v>1082</v>
      </c>
      <c r="C32" s="649" t="s">
        <v>882</v>
      </c>
      <c r="D32" s="649" t="s">
        <v>883</v>
      </c>
      <c r="E32" s="655" t="s">
        <v>884</v>
      </c>
      <c r="F32" s="655" t="s">
        <v>885</v>
      </c>
      <c r="G32" s="665" t="s">
        <v>1083</v>
      </c>
      <c r="H32" s="649">
        <v>4</v>
      </c>
      <c r="I32" s="680" t="s">
        <v>887</v>
      </c>
      <c r="J32" s="650">
        <v>40704</v>
      </c>
      <c r="K32" s="650">
        <v>42011</v>
      </c>
    </row>
    <row r="33" spans="1:11" ht="24" x14ac:dyDescent="0.25">
      <c r="A33" s="653">
        <v>634</v>
      </c>
      <c r="B33" s="664" t="s">
        <v>1084</v>
      </c>
      <c r="C33" s="649" t="s">
        <v>882</v>
      </c>
      <c r="D33" s="649" t="s">
        <v>883</v>
      </c>
      <c r="E33" s="655" t="s">
        <v>884</v>
      </c>
      <c r="F33" s="655" t="s">
        <v>885</v>
      </c>
      <c r="G33" s="665" t="s">
        <v>1085</v>
      </c>
      <c r="H33" s="649">
        <v>4</v>
      </c>
      <c r="I33" s="680" t="s">
        <v>887</v>
      </c>
      <c r="J33" s="650">
        <v>40704</v>
      </c>
      <c r="K33" s="650">
        <v>42011</v>
      </c>
    </row>
    <row r="34" spans="1:11" ht="24" x14ac:dyDescent="0.25">
      <c r="A34" s="653">
        <v>635</v>
      </c>
      <c r="B34" s="664" t="s">
        <v>1086</v>
      </c>
      <c r="C34" s="649" t="s">
        <v>882</v>
      </c>
      <c r="D34" s="649" t="s">
        <v>883</v>
      </c>
      <c r="E34" s="655" t="s">
        <v>884</v>
      </c>
      <c r="F34" s="655" t="s">
        <v>885</v>
      </c>
      <c r="G34" s="665" t="s">
        <v>1087</v>
      </c>
      <c r="H34" s="649">
        <v>1</v>
      </c>
      <c r="I34" s="680" t="s">
        <v>887</v>
      </c>
      <c r="J34" s="650">
        <v>40704</v>
      </c>
      <c r="K34" s="650">
        <v>40704</v>
      </c>
    </row>
    <row r="35" spans="1:11" ht="24" x14ac:dyDescent="0.25">
      <c r="A35" s="653">
        <v>636</v>
      </c>
      <c r="B35" s="664" t="s">
        <v>1088</v>
      </c>
      <c r="C35" s="649" t="s">
        <v>882</v>
      </c>
      <c r="D35" s="649" t="s">
        <v>883</v>
      </c>
      <c r="E35" s="655" t="s">
        <v>884</v>
      </c>
      <c r="F35" s="655" t="s">
        <v>885</v>
      </c>
      <c r="G35" s="665" t="s">
        <v>1089</v>
      </c>
      <c r="H35" s="649">
        <v>2</v>
      </c>
      <c r="I35" s="680" t="s">
        <v>887</v>
      </c>
      <c r="J35" s="650">
        <v>40704</v>
      </c>
      <c r="K35" s="650">
        <v>42079</v>
      </c>
    </row>
    <row r="36" spans="1:11" ht="24" x14ac:dyDescent="0.25">
      <c r="A36" s="653">
        <v>637</v>
      </c>
      <c r="B36" s="664" t="s">
        <v>1090</v>
      </c>
      <c r="C36" s="649" t="s">
        <v>882</v>
      </c>
      <c r="D36" s="649" t="s">
        <v>883</v>
      </c>
      <c r="E36" s="655" t="s">
        <v>884</v>
      </c>
      <c r="F36" s="655" t="s">
        <v>885</v>
      </c>
      <c r="G36" s="665" t="s">
        <v>1091</v>
      </c>
      <c r="H36" s="649">
        <v>3</v>
      </c>
      <c r="I36" s="680" t="s">
        <v>887</v>
      </c>
      <c r="J36" s="650">
        <v>40704</v>
      </c>
      <c r="K36" s="650">
        <v>42129</v>
      </c>
    </row>
    <row r="37" spans="1:11" ht="24" hidden="1" x14ac:dyDescent="0.25">
      <c r="A37" s="653">
        <v>638</v>
      </c>
      <c r="B37" s="659" t="s">
        <v>1092</v>
      </c>
      <c r="C37" s="649" t="s">
        <v>882</v>
      </c>
      <c r="D37" s="649" t="s">
        <v>883</v>
      </c>
      <c r="E37" s="655" t="s">
        <v>884</v>
      </c>
      <c r="F37" s="655" t="s">
        <v>885</v>
      </c>
      <c r="G37" s="649" t="s">
        <v>1093</v>
      </c>
      <c r="H37" s="649">
        <v>1</v>
      </c>
      <c r="I37" s="657" t="s">
        <v>890</v>
      </c>
      <c r="J37" s="650">
        <v>40704</v>
      </c>
      <c r="K37" s="650">
        <v>40704</v>
      </c>
    </row>
    <row r="38" spans="1:11" ht="24" hidden="1" x14ac:dyDescent="0.25">
      <c r="A38" s="653">
        <v>639</v>
      </c>
      <c r="B38" s="659" t="s">
        <v>1094</v>
      </c>
      <c r="C38" s="649" t="s">
        <v>882</v>
      </c>
      <c r="D38" s="649" t="s">
        <v>883</v>
      </c>
      <c r="E38" s="655" t="s">
        <v>884</v>
      </c>
      <c r="F38" s="655" t="s">
        <v>885</v>
      </c>
      <c r="G38" s="649" t="s">
        <v>1095</v>
      </c>
      <c r="H38" s="649">
        <v>1</v>
      </c>
      <c r="I38" s="657" t="s">
        <v>890</v>
      </c>
      <c r="J38" s="650">
        <v>40704</v>
      </c>
      <c r="K38" s="650">
        <v>40704</v>
      </c>
    </row>
    <row r="39" spans="1:11" ht="24" x14ac:dyDescent="0.25">
      <c r="A39" s="653">
        <v>640</v>
      </c>
      <c r="B39" s="648" t="s">
        <v>1096</v>
      </c>
      <c r="C39" s="649" t="s">
        <v>882</v>
      </c>
      <c r="D39" s="649" t="s">
        <v>883</v>
      </c>
      <c r="E39" s="655" t="s">
        <v>884</v>
      </c>
      <c r="F39" s="655" t="s">
        <v>885</v>
      </c>
      <c r="G39" s="674" t="s">
        <v>1097</v>
      </c>
      <c r="H39" s="649">
        <v>3</v>
      </c>
      <c r="I39" s="680" t="s">
        <v>887</v>
      </c>
      <c r="J39" s="650">
        <v>40704</v>
      </c>
      <c r="K39" s="650">
        <v>42020</v>
      </c>
    </row>
    <row r="40" spans="1:11" ht="24" hidden="1" x14ac:dyDescent="0.25">
      <c r="A40" s="653">
        <v>641</v>
      </c>
      <c r="B40" s="648" t="s">
        <v>1098</v>
      </c>
      <c r="C40" s="649" t="s">
        <v>882</v>
      </c>
      <c r="D40" s="649" t="s">
        <v>883</v>
      </c>
      <c r="E40" s="655" t="s">
        <v>884</v>
      </c>
      <c r="F40" s="655" t="s">
        <v>885</v>
      </c>
      <c r="G40" s="649" t="s">
        <v>1099</v>
      </c>
      <c r="H40" s="649">
        <v>1</v>
      </c>
      <c r="I40" s="656" t="s">
        <v>887</v>
      </c>
      <c r="J40" s="650">
        <v>40704</v>
      </c>
      <c r="K40" s="650">
        <v>40704</v>
      </c>
    </row>
    <row r="41" spans="1:11" ht="24" hidden="1" x14ac:dyDescent="0.25">
      <c r="A41" s="653">
        <v>642</v>
      </c>
      <c r="B41" s="659" t="s">
        <v>1100</v>
      </c>
      <c r="C41" s="649" t="s">
        <v>882</v>
      </c>
      <c r="D41" s="649" t="s">
        <v>883</v>
      </c>
      <c r="E41" s="655" t="s">
        <v>884</v>
      </c>
      <c r="F41" s="655" t="s">
        <v>885</v>
      </c>
      <c r="G41" s="649" t="s">
        <v>1101</v>
      </c>
      <c r="H41" s="649">
        <v>2</v>
      </c>
      <c r="I41" s="657" t="s">
        <v>890</v>
      </c>
      <c r="J41" s="650">
        <v>40704</v>
      </c>
      <c r="K41" s="650">
        <v>41222</v>
      </c>
    </row>
    <row r="42" spans="1:11" ht="24" x14ac:dyDescent="0.25">
      <c r="A42" s="653">
        <v>643</v>
      </c>
      <c r="B42" s="648" t="s">
        <v>881</v>
      </c>
      <c r="C42" s="649" t="s">
        <v>882</v>
      </c>
      <c r="D42" s="649" t="s">
        <v>883</v>
      </c>
      <c r="E42" s="655" t="s">
        <v>884</v>
      </c>
      <c r="F42" s="655" t="s">
        <v>885</v>
      </c>
      <c r="G42" s="674" t="s">
        <v>886</v>
      </c>
      <c r="H42" s="649">
        <v>5</v>
      </c>
      <c r="I42" s="680" t="s">
        <v>887</v>
      </c>
      <c r="J42" s="650">
        <v>40704</v>
      </c>
      <c r="K42" s="650">
        <v>42146</v>
      </c>
    </row>
    <row r="43" spans="1:11" ht="24" hidden="1" x14ac:dyDescent="0.25">
      <c r="A43" s="653">
        <v>644</v>
      </c>
      <c r="B43" s="659" t="s">
        <v>888</v>
      </c>
      <c r="C43" s="649" t="s">
        <v>882</v>
      </c>
      <c r="D43" s="649" t="s">
        <v>883</v>
      </c>
      <c r="E43" s="655" t="s">
        <v>884</v>
      </c>
      <c r="F43" s="655" t="s">
        <v>885</v>
      </c>
      <c r="G43" s="649" t="s">
        <v>889</v>
      </c>
      <c r="H43" s="649">
        <v>1</v>
      </c>
      <c r="I43" s="657" t="s">
        <v>890</v>
      </c>
      <c r="J43" s="651">
        <v>40798</v>
      </c>
      <c r="K43" s="651">
        <v>40798</v>
      </c>
    </row>
    <row r="44" spans="1:11" ht="24" x14ac:dyDescent="0.25">
      <c r="A44" s="653">
        <v>645</v>
      </c>
      <c r="B44" s="666" t="s">
        <v>891</v>
      </c>
      <c r="C44" s="649" t="s">
        <v>882</v>
      </c>
      <c r="D44" s="649" t="s">
        <v>883</v>
      </c>
      <c r="E44" s="655" t="s">
        <v>884</v>
      </c>
      <c r="F44" s="655" t="s">
        <v>885</v>
      </c>
      <c r="G44" s="676" t="s">
        <v>892</v>
      </c>
      <c r="H44" s="649">
        <v>2</v>
      </c>
      <c r="I44" s="680" t="s">
        <v>887</v>
      </c>
      <c r="J44" s="651">
        <v>40809</v>
      </c>
      <c r="K44" s="651">
        <v>41936</v>
      </c>
    </row>
    <row r="45" spans="1:11" ht="24" hidden="1" x14ac:dyDescent="0.25">
      <c r="A45" s="653">
        <v>646</v>
      </c>
      <c r="B45" s="659" t="s">
        <v>893</v>
      </c>
      <c r="C45" s="649" t="s">
        <v>882</v>
      </c>
      <c r="D45" s="649" t="s">
        <v>883</v>
      </c>
      <c r="E45" s="655" t="s">
        <v>884</v>
      </c>
      <c r="F45" s="655" t="s">
        <v>885</v>
      </c>
      <c r="G45" s="652" t="s">
        <v>894</v>
      </c>
      <c r="H45" s="649">
        <v>1</v>
      </c>
      <c r="I45" s="657" t="s">
        <v>890</v>
      </c>
      <c r="J45" s="651">
        <v>40830</v>
      </c>
      <c r="K45" s="651">
        <v>40830</v>
      </c>
    </row>
    <row r="46" spans="1:11" ht="24" hidden="1" x14ac:dyDescent="0.25">
      <c r="A46" s="653">
        <v>647</v>
      </c>
      <c r="B46" s="659" t="s">
        <v>895</v>
      </c>
      <c r="C46" s="649" t="s">
        <v>882</v>
      </c>
      <c r="D46" s="649" t="s">
        <v>883</v>
      </c>
      <c r="E46" s="655" t="s">
        <v>884</v>
      </c>
      <c r="F46" s="655" t="s">
        <v>885</v>
      </c>
      <c r="G46" s="652" t="s">
        <v>896</v>
      </c>
      <c r="H46" s="649">
        <v>1</v>
      </c>
      <c r="I46" s="657" t="s">
        <v>890</v>
      </c>
      <c r="J46" s="651">
        <v>40830</v>
      </c>
      <c r="K46" s="651">
        <v>40830</v>
      </c>
    </row>
    <row r="47" spans="1:11" ht="24" hidden="1" x14ac:dyDescent="0.25">
      <c r="A47" s="653">
        <v>648</v>
      </c>
      <c r="B47" s="659" t="s">
        <v>897</v>
      </c>
      <c r="C47" s="649" t="s">
        <v>882</v>
      </c>
      <c r="D47" s="649" t="s">
        <v>883</v>
      </c>
      <c r="E47" s="655" t="s">
        <v>884</v>
      </c>
      <c r="F47" s="655" t="s">
        <v>885</v>
      </c>
      <c r="G47" s="652" t="s">
        <v>898</v>
      </c>
      <c r="H47" s="649">
        <v>1</v>
      </c>
      <c r="I47" s="657" t="s">
        <v>890</v>
      </c>
      <c r="J47" s="651">
        <v>40830</v>
      </c>
      <c r="K47" s="651">
        <v>40830</v>
      </c>
    </row>
    <row r="48" spans="1:11" ht="84" x14ac:dyDescent="0.25">
      <c r="A48" s="653">
        <v>649</v>
      </c>
      <c r="B48" s="664" t="s">
        <v>899</v>
      </c>
      <c r="C48" s="649" t="s">
        <v>882</v>
      </c>
      <c r="D48" s="649" t="s">
        <v>883</v>
      </c>
      <c r="E48" s="655" t="s">
        <v>884</v>
      </c>
      <c r="F48" s="655" t="s">
        <v>885</v>
      </c>
      <c r="G48" s="667" t="s">
        <v>900</v>
      </c>
      <c r="H48" s="649">
        <v>2</v>
      </c>
      <c r="I48" s="680" t="s">
        <v>887</v>
      </c>
      <c r="J48" s="669">
        <v>40830</v>
      </c>
      <c r="K48" s="669">
        <v>40840</v>
      </c>
    </row>
    <row r="49" spans="1:11" ht="36" hidden="1" x14ac:dyDescent="0.25">
      <c r="A49" s="653">
        <v>650</v>
      </c>
      <c r="B49" s="648" t="s">
        <v>901</v>
      </c>
      <c r="C49" s="649" t="s">
        <v>882</v>
      </c>
      <c r="D49" s="649" t="s">
        <v>883</v>
      </c>
      <c r="E49" s="655" t="s">
        <v>884</v>
      </c>
      <c r="F49" s="655" t="s">
        <v>885</v>
      </c>
      <c r="G49" s="652" t="s">
        <v>902</v>
      </c>
      <c r="H49" s="652">
        <v>2</v>
      </c>
      <c r="I49" s="656" t="s">
        <v>887</v>
      </c>
      <c r="J49" s="651">
        <v>40955</v>
      </c>
      <c r="K49" s="651">
        <v>40990</v>
      </c>
    </row>
    <row r="50" spans="1:11" ht="24" hidden="1" x14ac:dyDescent="0.25">
      <c r="A50" s="653">
        <v>651</v>
      </c>
      <c r="B50" s="648" t="s">
        <v>903</v>
      </c>
      <c r="C50" s="649" t="s">
        <v>882</v>
      </c>
      <c r="D50" s="649" t="s">
        <v>883</v>
      </c>
      <c r="E50" s="655" t="s">
        <v>884</v>
      </c>
      <c r="F50" s="655" t="s">
        <v>885</v>
      </c>
      <c r="G50" s="652" t="s">
        <v>904</v>
      </c>
      <c r="H50" s="652">
        <v>1</v>
      </c>
      <c r="I50" s="656" t="s">
        <v>887</v>
      </c>
      <c r="J50" s="651">
        <v>41187</v>
      </c>
      <c r="K50" s="651">
        <v>41187</v>
      </c>
    </row>
    <row r="51" spans="1:11" ht="24" hidden="1" x14ac:dyDescent="0.25">
      <c r="A51" s="653">
        <v>652</v>
      </c>
      <c r="B51" s="648" t="s">
        <v>905</v>
      </c>
      <c r="C51" s="649" t="s">
        <v>882</v>
      </c>
      <c r="D51" s="649" t="s">
        <v>883</v>
      </c>
      <c r="E51" s="655" t="s">
        <v>884</v>
      </c>
      <c r="F51" s="655" t="s">
        <v>885</v>
      </c>
      <c r="G51" s="675" t="s">
        <v>906</v>
      </c>
      <c r="H51" s="652">
        <v>2</v>
      </c>
      <c r="I51" s="656" t="s">
        <v>887</v>
      </c>
      <c r="J51" s="651">
        <v>41264</v>
      </c>
      <c r="K51" s="651">
        <v>42044</v>
      </c>
    </row>
    <row r="52" spans="1:11" ht="24" hidden="1" x14ac:dyDescent="0.25">
      <c r="A52" s="653"/>
      <c r="B52" s="648" t="s">
        <v>905</v>
      </c>
      <c r="C52" s="649" t="s">
        <v>882</v>
      </c>
      <c r="D52" s="649" t="s">
        <v>883</v>
      </c>
      <c r="E52" s="655" t="s">
        <v>884</v>
      </c>
      <c r="F52" s="655" t="s">
        <v>885</v>
      </c>
      <c r="G52" s="675" t="s">
        <v>906</v>
      </c>
      <c r="H52" s="649">
        <v>2</v>
      </c>
      <c r="I52" s="656" t="s">
        <v>887</v>
      </c>
      <c r="J52" s="660"/>
      <c r="K52" s="651">
        <v>42044</v>
      </c>
    </row>
    <row r="53" spans="1:11" ht="24" hidden="1" x14ac:dyDescent="0.25">
      <c r="A53" s="653"/>
      <c r="B53" s="659" t="s">
        <v>907</v>
      </c>
      <c r="C53" s="649" t="s">
        <v>882</v>
      </c>
      <c r="D53" s="649" t="s">
        <v>883</v>
      </c>
      <c r="E53" s="655" t="s">
        <v>884</v>
      </c>
      <c r="F53" s="655" t="s">
        <v>885</v>
      </c>
      <c r="G53" s="652" t="s">
        <v>908</v>
      </c>
      <c r="H53" s="649">
        <v>1</v>
      </c>
      <c r="I53" s="657" t="s">
        <v>890</v>
      </c>
      <c r="J53" s="651">
        <v>41551</v>
      </c>
      <c r="K53" s="651">
        <v>41551</v>
      </c>
    </row>
    <row r="54" spans="1:11" ht="24" hidden="1" x14ac:dyDescent="0.25">
      <c r="A54" s="653">
        <v>653</v>
      </c>
      <c r="B54" s="648" t="s">
        <v>909</v>
      </c>
      <c r="C54" s="655" t="s">
        <v>910</v>
      </c>
      <c r="D54" s="655" t="s">
        <v>883</v>
      </c>
      <c r="E54" s="655" t="s">
        <v>884</v>
      </c>
      <c r="F54" s="655" t="s">
        <v>885</v>
      </c>
      <c r="G54" s="652" t="s">
        <v>911</v>
      </c>
      <c r="H54" s="652">
        <v>2</v>
      </c>
      <c r="I54" s="656" t="s">
        <v>887</v>
      </c>
      <c r="J54" s="669">
        <v>41554</v>
      </c>
      <c r="K54" s="669">
        <v>41554</v>
      </c>
    </row>
    <row r="55" spans="1:11" ht="24" hidden="1" x14ac:dyDescent="0.25">
      <c r="A55" s="653">
        <v>654</v>
      </c>
      <c r="B55" s="659" t="s">
        <v>912</v>
      </c>
      <c r="C55" s="655" t="s">
        <v>910</v>
      </c>
      <c r="D55" s="655" t="s">
        <v>883</v>
      </c>
      <c r="E55" s="655" t="s">
        <v>884</v>
      </c>
      <c r="F55" s="655" t="s">
        <v>885</v>
      </c>
      <c r="G55" s="652" t="s">
        <v>908</v>
      </c>
      <c r="H55" s="652">
        <v>1</v>
      </c>
      <c r="I55" s="657" t="s">
        <v>890</v>
      </c>
      <c r="J55" s="651">
        <v>41551</v>
      </c>
      <c r="K55" s="651">
        <v>41551</v>
      </c>
    </row>
    <row r="56" spans="1:11" ht="24" hidden="1" x14ac:dyDescent="0.25">
      <c r="A56" s="653">
        <v>655</v>
      </c>
      <c r="B56" s="659" t="s">
        <v>913</v>
      </c>
      <c r="C56" s="655" t="s">
        <v>910</v>
      </c>
      <c r="D56" s="655" t="s">
        <v>883</v>
      </c>
      <c r="E56" s="655" t="s">
        <v>884</v>
      </c>
      <c r="F56" s="655" t="s">
        <v>885</v>
      </c>
      <c r="G56" s="652" t="s">
        <v>914</v>
      </c>
      <c r="H56" s="652">
        <v>1</v>
      </c>
      <c r="I56" s="657" t="s">
        <v>890</v>
      </c>
      <c r="J56" s="651">
        <v>40704</v>
      </c>
      <c r="K56" s="651">
        <v>40704</v>
      </c>
    </row>
    <row r="57" spans="1:11" ht="24" hidden="1" x14ac:dyDescent="0.25">
      <c r="A57" s="653">
        <v>656</v>
      </c>
      <c r="B57" s="648" t="s">
        <v>915</v>
      </c>
      <c r="C57" s="655" t="s">
        <v>910</v>
      </c>
      <c r="D57" s="655" t="s">
        <v>883</v>
      </c>
      <c r="E57" s="655" t="s">
        <v>884</v>
      </c>
      <c r="F57" s="655" t="s">
        <v>885</v>
      </c>
      <c r="G57" s="652" t="s">
        <v>916</v>
      </c>
      <c r="H57" s="652">
        <v>1</v>
      </c>
      <c r="I57" s="656" t="s">
        <v>887</v>
      </c>
      <c r="J57" s="651">
        <v>41554</v>
      </c>
      <c r="K57" s="651">
        <v>41554</v>
      </c>
    </row>
    <row r="58" spans="1:11" ht="24" hidden="1" x14ac:dyDescent="0.25">
      <c r="A58" s="653">
        <v>657</v>
      </c>
      <c r="B58" s="659" t="s">
        <v>917</v>
      </c>
      <c r="C58" s="655" t="s">
        <v>910</v>
      </c>
      <c r="D58" s="655" t="s">
        <v>883</v>
      </c>
      <c r="E58" s="655" t="s">
        <v>884</v>
      </c>
      <c r="F58" s="655" t="s">
        <v>885</v>
      </c>
      <c r="G58" s="652" t="s">
        <v>918</v>
      </c>
      <c r="H58" s="652">
        <v>1</v>
      </c>
      <c r="I58" s="657" t="s">
        <v>890</v>
      </c>
      <c r="J58" s="651">
        <v>41551</v>
      </c>
      <c r="K58" s="651">
        <v>41551</v>
      </c>
    </row>
    <row r="59" spans="1:11" ht="24" hidden="1" x14ac:dyDescent="0.25">
      <c r="A59" s="653">
        <v>658</v>
      </c>
      <c r="B59" s="648" t="s">
        <v>919</v>
      </c>
      <c r="C59" s="655" t="s">
        <v>910</v>
      </c>
      <c r="D59" s="655" t="s">
        <v>883</v>
      </c>
      <c r="E59" s="655" t="s">
        <v>884</v>
      </c>
      <c r="F59" s="655" t="s">
        <v>885</v>
      </c>
      <c r="G59" s="652" t="s">
        <v>920</v>
      </c>
      <c r="H59" s="652">
        <v>2</v>
      </c>
      <c r="I59" s="656" t="s">
        <v>887</v>
      </c>
      <c r="J59" s="651">
        <v>41562</v>
      </c>
      <c r="K59" s="651">
        <v>42437</v>
      </c>
    </row>
    <row r="60" spans="1:11" ht="24" hidden="1" x14ac:dyDescent="0.25">
      <c r="A60" s="653">
        <v>659</v>
      </c>
      <c r="B60" s="659" t="s">
        <v>921</v>
      </c>
      <c r="C60" s="655" t="s">
        <v>910</v>
      </c>
      <c r="D60" s="655" t="s">
        <v>883</v>
      </c>
      <c r="E60" s="655" t="s">
        <v>884</v>
      </c>
      <c r="F60" s="655" t="s">
        <v>885</v>
      </c>
      <c r="G60" s="652" t="s">
        <v>922</v>
      </c>
      <c r="H60" s="652">
        <v>1</v>
      </c>
      <c r="I60" s="657" t="s">
        <v>890</v>
      </c>
      <c r="J60" s="651">
        <v>41562</v>
      </c>
      <c r="K60" s="651">
        <v>41562</v>
      </c>
    </row>
    <row r="61" spans="1:11" ht="24" hidden="1" x14ac:dyDescent="0.25">
      <c r="A61" s="653">
        <v>660</v>
      </c>
      <c r="B61" s="659" t="s">
        <v>923</v>
      </c>
      <c r="C61" s="655" t="s">
        <v>910</v>
      </c>
      <c r="D61" s="655" t="s">
        <v>883</v>
      </c>
      <c r="E61" s="655" t="s">
        <v>884</v>
      </c>
      <c r="F61" s="655" t="s">
        <v>885</v>
      </c>
      <c r="G61" s="652" t="s">
        <v>924</v>
      </c>
      <c r="H61" s="652">
        <v>1</v>
      </c>
      <c r="I61" s="657" t="s">
        <v>890</v>
      </c>
      <c r="J61" s="651">
        <v>41562</v>
      </c>
      <c r="K61" s="651">
        <v>41562</v>
      </c>
    </row>
    <row r="62" spans="1:11" ht="24" hidden="1" x14ac:dyDescent="0.25">
      <c r="A62" s="653">
        <v>661</v>
      </c>
      <c r="B62" s="659" t="s">
        <v>923</v>
      </c>
      <c r="C62" s="655" t="s">
        <v>910</v>
      </c>
      <c r="D62" s="655" t="s">
        <v>883</v>
      </c>
      <c r="E62" s="655" t="s">
        <v>884</v>
      </c>
      <c r="F62" s="655" t="s">
        <v>885</v>
      </c>
      <c r="G62" s="652" t="s">
        <v>925</v>
      </c>
      <c r="H62" s="652">
        <v>1</v>
      </c>
      <c r="I62" s="657" t="s">
        <v>890</v>
      </c>
      <c r="J62" s="651">
        <v>41562</v>
      </c>
      <c r="K62" s="651">
        <v>41562</v>
      </c>
    </row>
    <row r="63" spans="1:11" ht="24" hidden="1" x14ac:dyDescent="0.25">
      <c r="A63" s="653">
        <v>662</v>
      </c>
      <c r="B63" s="648" t="s">
        <v>926</v>
      </c>
      <c r="C63" s="655" t="s">
        <v>910</v>
      </c>
      <c r="D63" s="655" t="s">
        <v>883</v>
      </c>
      <c r="E63" s="655" t="s">
        <v>884</v>
      </c>
      <c r="F63" s="655" t="s">
        <v>885</v>
      </c>
      <c r="G63" s="652" t="s">
        <v>927</v>
      </c>
      <c r="H63" s="652">
        <v>1</v>
      </c>
      <c r="I63" s="656" t="s">
        <v>887</v>
      </c>
      <c r="J63" s="651">
        <v>41562</v>
      </c>
      <c r="K63" s="651">
        <v>41562</v>
      </c>
    </row>
    <row r="64" spans="1:11" ht="24" hidden="1" x14ac:dyDescent="0.25">
      <c r="A64" s="653">
        <v>663</v>
      </c>
      <c r="B64" s="659" t="s">
        <v>928</v>
      </c>
      <c r="C64" s="655" t="s">
        <v>910</v>
      </c>
      <c r="D64" s="655" t="s">
        <v>883</v>
      </c>
      <c r="E64" s="655" t="s">
        <v>884</v>
      </c>
      <c r="F64" s="655" t="s">
        <v>885</v>
      </c>
      <c r="G64" s="652" t="s">
        <v>929</v>
      </c>
      <c r="H64" s="652">
        <v>1</v>
      </c>
      <c r="I64" s="657" t="s">
        <v>890</v>
      </c>
      <c r="J64" s="651">
        <v>41614</v>
      </c>
      <c r="K64" s="651">
        <v>41614</v>
      </c>
    </row>
    <row r="65" spans="1:11" ht="24" x14ac:dyDescent="0.25">
      <c r="A65" s="653">
        <v>664</v>
      </c>
      <c r="B65" s="648" t="s">
        <v>930</v>
      </c>
      <c r="C65" s="655" t="s">
        <v>910</v>
      </c>
      <c r="D65" s="655" t="s">
        <v>883</v>
      </c>
      <c r="E65" s="655" t="s">
        <v>884</v>
      </c>
      <c r="F65" s="655" t="s">
        <v>885</v>
      </c>
      <c r="G65" s="677" t="s">
        <v>931</v>
      </c>
      <c r="H65" s="652">
        <v>2</v>
      </c>
      <c r="I65" s="680" t="s">
        <v>887</v>
      </c>
      <c r="J65" s="651">
        <v>41655</v>
      </c>
      <c r="K65" s="651">
        <v>42020</v>
      </c>
    </row>
    <row r="66" spans="1:11" ht="24" hidden="1" x14ac:dyDescent="0.25">
      <c r="A66" s="653">
        <v>665</v>
      </c>
      <c r="B66" s="648" t="s">
        <v>932</v>
      </c>
      <c r="C66" s="655" t="s">
        <v>910</v>
      </c>
      <c r="D66" s="655" t="s">
        <v>883</v>
      </c>
      <c r="E66" s="655" t="s">
        <v>884</v>
      </c>
      <c r="F66" s="655" t="s">
        <v>885</v>
      </c>
      <c r="G66" s="652" t="s">
        <v>933</v>
      </c>
      <c r="H66" s="652">
        <v>1</v>
      </c>
      <c r="I66" s="656" t="s">
        <v>887</v>
      </c>
      <c r="J66" s="651">
        <v>41655</v>
      </c>
      <c r="K66" s="651">
        <v>41655</v>
      </c>
    </row>
    <row r="67" spans="1:11" ht="36" hidden="1" x14ac:dyDescent="0.25">
      <c r="A67" s="653">
        <v>666</v>
      </c>
      <c r="B67" s="648" t="s">
        <v>934</v>
      </c>
      <c r="C67" s="655" t="s">
        <v>910</v>
      </c>
      <c r="D67" s="655" t="s">
        <v>883</v>
      </c>
      <c r="E67" s="655" t="s">
        <v>884</v>
      </c>
      <c r="F67" s="655" t="s">
        <v>885</v>
      </c>
      <c r="G67" s="652" t="s">
        <v>935</v>
      </c>
      <c r="H67" s="652">
        <v>1</v>
      </c>
      <c r="I67" s="656" t="s">
        <v>887</v>
      </c>
      <c r="J67" s="651">
        <v>41670</v>
      </c>
      <c r="K67" s="651">
        <v>41670</v>
      </c>
    </row>
    <row r="68" spans="1:11" ht="24" x14ac:dyDescent="0.25">
      <c r="A68" s="653">
        <v>667</v>
      </c>
      <c r="B68" s="648" t="s">
        <v>936</v>
      </c>
      <c r="C68" s="655" t="s">
        <v>910</v>
      </c>
      <c r="D68" s="655" t="s">
        <v>883</v>
      </c>
      <c r="E68" s="655" t="s">
        <v>884</v>
      </c>
      <c r="F68" s="655" t="s">
        <v>885</v>
      </c>
      <c r="G68" s="677" t="s">
        <v>937</v>
      </c>
      <c r="H68" s="652">
        <v>1</v>
      </c>
      <c r="I68" s="680" t="s">
        <v>887</v>
      </c>
      <c r="J68" s="651">
        <v>41670</v>
      </c>
      <c r="K68" s="651">
        <v>41670</v>
      </c>
    </row>
    <row r="69" spans="1:11" ht="24" x14ac:dyDescent="0.25">
      <c r="A69" s="653">
        <v>668</v>
      </c>
      <c r="B69" s="664" t="s">
        <v>938</v>
      </c>
      <c r="C69" s="655" t="s">
        <v>910</v>
      </c>
      <c r="D69" s="655" t="s">
        <v>883</v>
      </c>
      <c r="E69" s="655" t="s">
        <v>884</v>
      </c>
      <c r="F69" s="655" t="s">
        <v>885</v>
      </c>
      <c r="G69" s="667" t="s">
        <v>939</v>
      </c>
      <c r="H69" s="652">
        <v>3</v>
      </c>
      <c r="I69" s="680" t="s">
        <v>887</v>
      </c>
      <c r="J69" s="651">
        <v>41788</v>
      </c>
      <c r="K69" s="651">
        <v>42166</v>
      </c>
    </row>
    <row r="70" spans="1:11" ht="24" hidden="1" x14ac:dyDescent="0.25">
      <c r="A70" s="653">
        <v>669</v>
      </c>
      <c r="B70" s="659" t="s">
        <v>940</v>
      </c>
      <c r="C70" s="655" t="s">
        <v>910</v>
      </c>
      <c r="D70" s="655" t="s">
        <v>883</v>
      </c>
      <c r="E70" s="655" t="s">
        <v>884</v>
      </c>
      <c r="F70" s="655" t="s">
        <v>885</v>
      </c>
      <c r="G70" s="652" t="s">
        <v>941</v>
      </c>
      <c r="H70" s="652">
        <v>1</v>
      </c>
      <c r="I70" s="657" t="s">
        <v>890</v>
      </c>
      <c r="J70" s="651">
        <v>41830</v>
      </c>
      <c r="K70" s="651">
        <v>41830</v>
      </c>
    </row>
    <row r="71" spans="1:11" ht="24" x14ac:dyDescent="0.25">
      <c r="A71" s="653">
        <v>670</v>
      </c>
      <c r="B71" s="664" t="s">
        <v>942</v>
      </c>
      <c r="C71" s="655" t="s">
        <v>910</v>
      </c>
      <c r="D71" s="655" t="s">
        <v>883</v>
      </c>
      <c r="E71" s="655" t="s">
        <v>884</v>
      </c>
      <c r="F71" s="655" t="s">
        <v>885</v>
      </c>
      <c r="G71" s="667" t="s">
        <v>943</v>
      </c>
      <c r="H71" s="652">
        <v>2</v>
      </c>
      <c r="I71" s="680" t="s">
        <v>887</v>
      </c>
      <c r="J71" s="669">
        <v>41873</v>
      </c>
      <c r="K71" s="669">
        <v>41873</v>
      </c>
    </row>
    <row r="72" spans="1:11" ht="36" hidden="1" x14ac:dyDescent="0.25">
      <c r="A72" s="653">
        <v>671</v>
      </c>
      <c r="B72" s="648" t="s">
        <v>944</v>
      </c>
      <c r="C72" s="655" t="s">
        <v>910</v>
      </c>
      <c r="D72" s="655" t="s">
        <v>883</v>
      </c>
      <c r="E72" s="655" t="s">
        <v>884</v>
      </c>
      <c r="F72" s="655" t="s">
        <v>885</v>
      </c>
      <c r="G72" s="652" t="s">
        <v>945</v>
      </c>
      <c r="H72" s="652">
        <v>1</v>
      </c>
      <c r="I72" s="656" t="s">
        <v>887</v>
      </c>
      <c r="J72" s="651">
        <v>41830</v>
      </c>
      <c r="K72" s="651">
        <v>41830</v>
      </c>
    </row>
    <row r="73" spans="1:11" ht="24" hidden="1" x14ac:dyDescent="0.25">
      <c r="A73" s="653">
        <v>672</v>
      </c>
      <c r="B73" s="648" t="s">
        <v>946</v>
      </c>
      <c r="C73" s="655" t="s">
        <v>910</v>
      </c>
      <c r="D73" s="655" t="s">
        <v>883</v>
      </c>
      <c r="E73" s="655" t="s">
        <v>884</v>
      </c>
      <c r="F73" s="655" t="s">
        <v>885</v>
      </c>
      <c r="G73" s="652" t="s">
        <v>947</v>
      </c>
      <c r="H73" s="652">
        <v>2</v>
      </c>
      <c r="I73" s="656" t="s">
        <v>887</v>
      </c>
      <c r="J73" s="651">
        <v>41845</v>
      </c>
      <c r="K73" s="651">
        <v>42150</v>
      </c>
    </row>
    <row r="74" spans="1:11" ht="24" hidden="1" x14ac:dyDescent="0.25">
      <c r="A74" s="653">
        <v>673</v>
      </c>
      <c r="B74" s="648" t="s">
        <v>948</v>
      </c>
      <c r="C74" s="655" t="s">
        <v>910</v>
      </c>
      <c r="D74" s="655" t="s">
        <v>883</v>
      </c>
      <c r="E74" s="655" t="s">
        <v>884</v>
      </c>
      <c r="F74" s="655" t="s">
        <v>885</v>
      </c>
      <c r="G74" s="652" t="s">
        <v>949</v>
      </c>
      <c r="H74" s="652">
        <v>2</v>
      </c>
      <c r="I74" s="656" t="s">
        <v>887</v>
      </c>
      <c r="J74" s="651">
        <v>41845</v>
      </c>
      <c r="K74" s="651">
        <v>42150</v>
      </c>
    </row>
    <row r="75" spans="1:11" ht="24" hidden="1" x14ac:dyDescent="0.25">
      <c r="A75" s="653">
        <v>674</v>
      </c>
      <c r="B75" s="648" t="s">
        <v>950</v>
      </c>
      <c r="C75" s="655" t="s">
        <v>910</v>
      </c>
      <c r="D75" s="655" t="s">
        <v>883</v>
      </c>
      <c r="E75" s="655" t="s">
        <v>884</v>
      </c>
      <c r="F75" s="655" t="s">
        <v>885</v>
      </c>
      <c r="G75" s="652" t="s">
        <v>951</v>
      </c>
      <c r="H75" s="652">
        <v>1</v>
      </c>
      <c r="I75" s="656" t="s">
        <v>887</v>
      </c>
      <c r="J75" s="651">
        <v>41873</v>
      </c>
      <c r="K75" s="651">
        <v>41873</v>
      </c>
    </row>
    <row r="76" spans="1:11" ht="24" x14ac:dyDescent="0.25">
      <c r="A76" s="653">
        <v>675</v>
      </c>
      <c r="B76" s="664" t="s">
        <v>952</v>
      </c>
      <c r="C76" s="655" t="s">
        <v>910</v>
      </c>
      <c r="D76" s="655" t="s">
        <v>883</v>
      </c>
      <c r="E76" s="655" t="s">
        <v>884</v>
      </c>
      <c r="F76" s="655" t="s">
        <v>885</v>
      </c>
      <c r="G76" s="667" t="s">
        <v>953</v>
      </c>
      <c r="H76" s="652">
        <v>2</v>
      </c>
      <c r="I76" s="680" t="s">
        <v>887</v>
      </c>
      <c r="J76" s="651">
        <v>41936</v>
      </c>
      <c r="K76" s="651">
        <v>42138</v>
      </c>
    </row>
    <row r="77" spans="1:11" ht="24" hidden="1" x14ac:dyDescent="0.25">
      <c r="A77" s="653">
        <v>676</v>
      </c>
      <c r="B77" s="648" t="s">
        <v>954</v>
      </c>
      <c r="C77" s="655" t="s">
        <v>910</v>
      </c>
      <c r="D77" s="655" t="s">
        <v>883</v>
      </c>
      <c r="E77" s="655" t="s">
        <v>884</v>
      </c>
      <c r="F77" s="655" t="s">
        <v>885</v>
      </c>
      <c r="G77" s="652" t="s">
        <v>955</v>
      </c>
      <c r="H77" s="652">
        <v>1</v>
      </c>
      <c r="I77" s="656" t="s">
        <v>887</v>
      </c>
      <c r="J77" s="651">
        <v>41936</v>
      </c>
      <c r="K77" s="651">
        <v>41936</v>
      </c>
    </row>
    <row r="78" spans="1:11" ht="24" x14ac:dyDescent="0.25">
      <c r="A78" s="653">
        <v>676</v>
      </c>
      <c r="B78" s="648" t="s">
        <v>956</v>
      </c>
      <c r="C78" s="655" t="s">
        <v>910</v>
      </c>
      <c r="D78" s="655" t="s">
        <v>883</v>
      </c>
      <c r="E78" s="655" t="s">
        <v>884</v>
      </c>
      <c r="F78" s="655" t="s">
        <v>885</v>
      </c>
      <c r="G78" s="677" t="s">
        <v>957</v>
      </c>
      <c r="H78" s="652">
        <v>2</v>
      </c>
      <c r="I78" s="680" t="s">
        <v>887</v>
      </c>
      <c r="J78" s="651">
        <v>42038</v>
      </c>
      <c r="K78" s="651">
        <v>42146</v>
      </c>
    </row>
    <row r="79" spans="1:11" ht="24" hidden="1" x14ac:dyDescent="0.25">
      <c r="A79" s="653">
        <v>676</v>
      </c>
      <c r="B79" s="648" t="s">
        <v>958</v>
      </c>
      <c r="C79" s="655" t="s">
        <v>910</v>
      </c>
      <c r="D79" s="655" t="s">
        <v>883</v>
      </c>
      <c r="E79" s="655" t="s">
        <v>884</v>
      </c>
      <c r="F79" s="655" t="s">
        <v>885</v>
      </c>
      <c r="G79" s="652" t="s">
        <v>959</v>
      </c>
      <c r="H79" s="652">
        <v>1</v>
      </c>
      <c r="I79" s="656" t="s">
        <v>887</v>
      </c>
      <c r="J79" s="651">
        <v>42034</v>
      </c>
      <c r="K79" s="651">
        <v>42034</v>
      </c>
    </row>
    <row r="80" spans="1:11" ht="48" hidden="1" x14ac:dyDescent="0.25">
      <c r="A80" s="653">
        <v>676</v>
      </c>
      <c r="B80" s="648" t="s">
        <v>960</v>
      </c>
      <c r="C80" s="655" t="s">
        <v>910</v>
      </c>
      <c r="D80" s="655" t="s">
        <v>883</v>
      </c>
      <c r="E80" s="655" t="s">
        <v>884</v>
      </c>
      <c r="F80" s="655" t="s">
        <v>885</v>
      </c>
      <c r="G80" s="652" t="s">
        <v>961</v>
      </c>
      <c r="H80" s="652">
        <v>1</v>
      </c>
      <c r="I80" s="656" t="s">
        <v>887</v>
      </c>
      <c r="J80" s="651">
        <v>42044</v>
      </c>
      <c r="K80" s="651">
        <v>42044</v>
      </c>
    </row>
    <row r="81" spans="1:11" ht="24" hidden="1" x14ac:dyDescent="0.25">
      <c r="A81" s="653">
        <v>676</v>
      </c>
      <c r="B81" s="648" t="s">
        <v>962</v>
      </c>
      <c r="C81" s="655" t="s">
        <v>910</v>
      </c>
      <c r="D81" s="655" t="s">
        <v>883</v>
      </c>
      <c r="E81" s="655" t="s">
        <v>884</v>
      </c>
      <c r="F81" s="655" t="s">
        <v>885</v>
      </c>
      <c r="G81" s="652" t="s">
        <v>963</v>
      </c>
      <c r="H81" s="652">
        <v>1</v>
      </c>
      <c r="I81" s="656" t="s">
        <v>887</v>
      </c>
      <c r="J81" s="651">
        <v>42065</v>
      </c>
      <c r="K81" s="651">
        <v>42065</v>
      </c>
    </row>
    <row r="82" spans="1:11" ht="36" hidden="1" x14ac:dyDescent="0.25">
      <c r="A82" s="653">
        <v>677</v>
      </c>
      <c r="B82" s="648" t="s">
        <v>964</v>
      </c>
      <c r="C82" s="655" t="s">
        <v>965</v>
      </c>
      <c r="D82" s="655" t="s">
        <v>883</v>
      </c>
      <c r="E82" s="655" t="s">
        <v>884</v>
      </c>
      <c r="F82" s="655" t="s">
        <v>885</v>
      </c>
      <c r="G82" s="652" t="s">
        <v>966</v>
      </c>
      <c r="H82" s="652">
        <v>2</v>
      </c>
      <c r="I82" s="656" t="s">
        <v>887</v>
      </c>
      <c r="J82" s="651">
        <v>41652</v>
      </c>
      <c r="K82" s="651">
        <v>41772</v>
      </c>
    </row>
    <row r="83" spans="1:11" ht="36" hidden="1" x14ac:dyDescent="0.25">
      <c r="A83" s="653">
        <v>677</v>
      </c>
      <c r="B83" s="648" t="s">
        <v>967</v>
      </c>
      <c r="C83" s="655" t="s">
        <v>965</v>
      </c>
      <c r="D83" s="655" t="s">
        <v>883</v>
      </c>
      <c r="E83" s="655" t="s">
        <v>884</v>
      </c>
      <c r="F83" s="655" t="s">
        <v>885</v>
      </c>
      <c r="G83" s="652" t="s">
        <v>968</v>
      </c>
      <c r="H83" s="652">
        <v>1</v>
      </c>
      <c r="I83" s="656" t="s">
        <v>887</v>
      </c>
      <c r="J83" s="650" t="s">
        <v>969</v>
      </c>
      <c r="K83" s="650" t="s">
        <v>969</v>
      </c>
    </row>
    <row r="84" spans="1:11" ht="36" hidden="1" x14ac:dyDescent="0.25">
      <c r="A84" s="653">
        <v>678</v>
      </c>
      <c r="B84" s="648" t="s">
        <v>970</v>
      </c>
      <c r="C84" s="655" t="s">
        <v>971</v>
      </c>
      <c r="D84" s="649" t="s">
        <v>883</v>
      </c>
      <c r="E84" s="655" t="s">
        <v>884</v>
      </c>
      <c r="F84" s="655" t="s">
        <v>885</v>
      </c>
      <c r="G84" s="652" t="s">
        <v>972</v>
      </c>
      <c r="H84" s="649">
        <v>1</v>
      </c>
      <c r="I84" s="656" t="s">
        <v>887</v>
      </c>
      <c r="J84" s="651">
        <v>40816</v>
      </c>
      <c r="K84" s="651">
        <v>40816</v>
      </c>
    </row>
    <row r="85" spans="1:11" ht="36" hidden="1" x14ac:dyDescent="0.25">
      <c r="A85" s="653">
        <v>679</v>
      </c>
      <c r="B85" s="648" t="s">
        <v>973</v>
      </c>
      <c r="C85" s="655" t="s">
        <v>971</v>
      </c>
      <c r="D85" s="649" t="s">
        <v>883</v>
      </c>
      <c r="E85" s="655" t="s">
        <v>884</v>
      </c>
      <c r="F85" s="655" t="s">
        <v>885</v>
      </c>
      <c r="G85" s="655" t="s">
        <v>974</v>
      </c>
      <c r="H85" s="649">
        <v>15</v>
      </c>
      <c r="I85" s="656" t="s">
        <v>887</v>
      </c>
      <c r="J85" s="651">
        <v>40773</v>
      </c>
      <c r="K85" s="651">
        <v>42319</v>
      </c>
    </row>
    <row r="86" spans="1:11" ht="24" hidden="1" x14ac:dyDescent="0.25">
      <c r="A86" s="653">
        <v>680</v>
      </c>
      <c r="B86" s="654" t="s">
        <v>975</v>
      </c>
      <c r="C86" s="655" t="s">
        <v>976</v>
      </c>
      <c r="D86" s="655" t="s">
        <v>883</v>
      </c>
      <c r="E86" s="655" t="s">
        <v>884</v>
      </c>
      <c r="F86" s="655" t="s">
        <v>885</v>
      </c>
      <c r="G86" s="656" t="s">
        <v>977</v>
      </c>
      <c r="H86" s="656">
        <v>4</v>
      </c>
      <c r="I86" s="657" t="s">
        <v>890</v>
      </c>
      <c r="J86" s="658">
        <v>39753</v>
      </c>
      <c r="K86" s="658">
        <v>41572</v>
      </c>
    </row>
    <row r="87" spans="1:11" ht="60" hidden="1" x14ac:dyDescent="0.25">
      <c r="A87" s="653">
        <f>A86+1</f>
        <v>681</v>
      </c>
      <c r="B87" s="654" t="s">
        <v>1102</v>
      </c>
      <c r="C87" s="655" t="s">
        <v>976</v>
      </c>
      <c r="D87" s="655" t="s">
        <v>883</v>
      </c>
      <c r="E87" s="655" t="s">
        <v>884</v>
      </c>
      <c r="F87" s="655" t="s">
        <v>885</v>
      </c>
      <c r="G87" s="656" t="s">
        <v>978</v>
      </c>
      <c r="H87" s="656">
        <v>1</v>
      </c>
      <c r="I87" s="657" t="s">
        <v>890</v>
      </c>
      <c r="J87" s="658">
        <v>41738</v>
      </c>
      <c r="K87" s="658">
        <v>41738</v>
      </c>
    </row>
    <row r="88" spans="1:11" ht="24" hidden="1" x14ac:dyDescent="0.25">
      <c r="A88" s="653">
        <f>A87+1</f>
        <v>682</v>
      </c>
      <c r="B88" s="661" t="s">
        <v>979</v>
      </c>
      <c r="C88" s="655" t="s">
        <v>976</v>
      </c>
      <c r="D88" s="655" t="s">
        <v>883</v>
      </c>
      <c r="E88" s="655" t="s">
        <v>884</v>
      </c>
      <c r="F88" s="655" t="s">
        <v>885</v>
      </c>
      <c r="G88" s="656" t="s">
        <v>980</v>
      </c>
      <c r="H88" s="656">
        <v>2</v>
      </c>
      <c r="I88" s="656" t="s">
        <v>887</v>
      </c>
      <c r="J88" s="658">
        <v>41828</v>
      </c>
      <c r="K88" s="662">
        <v>42296</v>
      </c>
    </row>
    <row r="89" spans="1:11" ht="24" hidden="1" x14ac:dyDescent="0.25">
      <c r="A89" s="653">
        <f>A88+1</f>
        <v>683</v>
      </c>
      <c r="B89" s="661" t="s">
        <v>981</v>
      </c>
      <c r="C89" s="655" t="s">
        <v>976</v>
      </c>
      <c r="D89" s="655" t="s">
        <v>883</v>
      </c>
      <c r="E89" s="655" t="s">
        <v>884</v>
      </c>
      <c r="F89" s="655" t="s">
        <v>885</v>
      </c>
      <c r="G89" s="656" t="s">
        <v>982</v>
      </c>
      <c r="H89" s="656">
        <v>2</v>
      </c>
      <c r="I89" s="656" t="s">
        <v>887</v>
      </c>
      <c r="J89" s="658">
        <v>42034</v>
      </c>
      <c r="K89" s="662">
        <v>42284</v>
      </c>
    </row>
    <row r="90" spans="1:11" ht="24" hidden="1" x14ac:dyDescent="0.25">
      <c r="A90" s="653">
        <v>676</v>
      </c>
      <c r="B90" s="648" t="s">
        <v>983</v>
      </c>
      <c r="C90" s="655" t="s">
        <v>910</v>
      </c>
      <c r="D90" s="655" t="s">
        <v>883</v>
      </c>
      <c r="E90" s="655" t="s">
        <v>884</v>
      </c>
      <c r="F90" s="655" t="s">
        <v>885</v>
      </c>
      <c r="G90" s="652" t="s">
        <v>984</v>
      </c>
      <c r="H90" s="652">
        <v>1</v>
      </c>
      <c r="I90" s="656" t="s">
        <v>887</v>
      </c>
      <c r="J90" s="651">
        <v>42074</v>
      </c>
      <c r="K90" s="651">
        <v>42074</v>
      </c>
    </row>
    <row r="91" spans="1:11" ht="24" x14ac:dyDescent="0.25">
      <c r="A91" s="653">
        <v>676</v>
      </c>
      <c r="B91" s="648" t="s">
        <v>985</v>
      </c>
      <c r="C91" s="655" t="s">
        <v>910</v>
      </c>
      <c r="D91" s="655" t="s">
        <v>883</v>
      </c>
      <c r="E91" s="655" t="s">
        <v>884</v>
      </c>
      <c r="F91" s="655" t="s">
        <v>885</v>
      </c>
      <c r="G91" s="677" t="s">
        <v>986</v>
      </c>
      <c r="H91" s="652">
        <v>3</v>
      </c>
      <c r="I91" s="680" t="s">
        <v>887</v>
      </c>
      <c r="J91" s="651">
        <v>42074</v>
      </c>
      <c r="K91" s="651">
        <v>42269</v>
      </c>
    </row>
    <row r="92" spans="1:11" ht="24" x14ac:dyDescent="0.25">
      <c r="A92" s="653">
        <v>676</v>
      </c>
      <c r="B92" s="648" t="s">
        <v>987</v>
      </c>
      <c r="C92" s="655" t="s">
        <v>910</v>
      </c>
      <c r="D92" s="655" t="s">
        <v>883</v>
      </c>
      <c r="E92" s="655" t="s">
        <v>884</v>
      </c>
      <c r="F92" s="655" t="s">
        <v>885</v>
      </c>
      <c r="G92" s="677" t="s">
        <v>988</v>
      </c>
      <c r="H92" s="652">
        <v>1</v>
      </c>
      <c r="I92" s="680" t="s">
        <v>887</v>
      </c>
      <c r="J92" s="651">
        <v>42074</v>
      </c>
      <c r="K92" s="651">
        <v>42074</v>
      </c>
    </row>
    <row r="93" spans="1:11" ht="24" x14ac:dyDescent="0.25">
      <c r="A93" s="653">
        <v>676</v>
      </c>
      <c r="B93" s="648" t="s">
        <v>989</v>
      </c>
      <c r="C93" s="655" t="s">
        <v>910</v>
      </c>
      <c r="D93" s="655" t="s">
        <v>883</v>
      </c>
      <c r="E93" s="655" t="s">
        <v>884</v>
      </c>
      <c r="F93" s="655" t="s">
        <v>885</v>
      </c>
      <c r="G93" s="677" t="s">
        <v>990</v>
      </c>
      <c r="H93" s="652">
        <v>3</v>
      </c>
      <c r="I93" s="680" t="s">
        <v>887</v>
      </c>
      <c r="J93" s="651">
        <v>42074</v>
      </c>
      <c r="K93" s="651">
        <v>42278</v>
      </c>
    </row>
    <row r="94" spans="1:11" ht="24" x14ac:dyDescent="0.25">
      <c r="A94" s="653">
        <v>676</v>
      </c>
      <c r="B94" s="648" t="s">
        <v>991</v>
      </c>
      <c r="C94" s="655" t="s">
        <v>910</v>
      </c>
      <c r="D94" s="655" t="s">
        <v>883</v>
      </c>
      <c r="E94" s="655" t="s">
        <v>884</v>
      </c>
      <c r="F94" s="655" t="s">
        <v>885</v>
      </c>
      <c r="G94" s="677" t="s">
        <v>992</v>
      </c>
      <c r="H94" s="652">
        <v>3</v>
      </c>
      <c r="I94" s="680" t="s">
        <v>887</v>
      </c>
      <c r="J94" s="651">
        <v>42076</v>
      </c>
      <c r="K94" s="651">
        <v>42397</v>
      </c>
    </row>
    <row r="95" spans="1:11" ht="24" x14ac:dyDescent="0.25">
      <c r="A95" s="653">
        <v>676</v>
      </c>
      <c r="B95" s="648" t="s">
        <v>993</v>
      </c>
      <c r="C95" s="655" t="s">
        <v>910</v>
      </c>
      <c r="D95" s="655" t="s">
        <v>883</v>
      </c>
      <c r="E95" s="655" t="s">
        <v>884</v>
      </c>
      <c r="F95" s="655" t="s">
        <v>885</v>
      </c>
      <c r="G95" s="677" t="s">
        <v>994</v>
      </c>
      <c r="H95" s="652">
        <v>1</v>
      </c>
      <c r="I95" s="680" t="s">
        <v>887</v>
      </c>
      <c r="J95" s="651">
        <v>42076</v>
      </c>
      <c r="K95" s="651">
        <v>42076</v>
      </c>
    </row>
    <row r="96" spans="1:11" ht="24" x14ac:dyDescent="0.25">
      <c r="A96" s="653">
        <v>676</v>
      </c>
      <c r="B96" s="648" t="s">
        <v>995</v>
      </c>
      <c r="C96" s="655" t="s">
        <v>910</v>
      </c>
      <c r="D96" s="655" t="s">
        <v>883</v>
      </c>
      <c r="E96" s="655" t="s">
        <v>884</v>
      </c>
      <c r="F96" s="655" t="s">
        <v>885</v>
      </c>
      <c r="G96" s="677" t="s">
        <v>996</v>
      </c>
      <c r="H96" s="652">
        <v>1</v>
      </c>
      <c r="I96" s="680" t="s">
        <v>887</v>
      </c>
      <c r="J96" s="651">
        <v>42107</v>
      </c>
      <c r="K96" s="651">
        <v>42107</v>
      </c>
    </row>
    <row r="97" spans="1:11" ht="24" x14ac:dyDescent="0.25">
      <c r="A97" s="653">
        <v>676</v>
      </c>
      <c r="B97" s="648" t="s">
        <v>997</v>
      </c>
      <c r="C97" s="655" t="s">
        <v>910</v>
      </c>
      <c r="D97" s="655" t="s">
        <v>883</v>
      </c>
      <c r="E97" s="655" t="s">
        <v>884</v>
      </c>
      <c r="F97" s="655" t="s">
        <v>885</v>
      </c>
      <c r="G97" s="677" t="s">
        <v>998</v>
      </c>
      <c r="H97" s="652">
        <v>2</v>
      </c>
      <c r="I97" s="680" t="s">
        <v>887</v>
      </c>
      <c r="J97" s="651">
        <v>42107</v>
      </c>
      <c r="K97" s="651">
        <v>42146</v>
      </c>
    </row>
    <row r="98" spans="1:11" ht="24" hidden="1" x14ac:dyDescent="0.25">
      <c r="A98" s="653">
        <v>676</v>
      </c>
      <c r="B98" s="648" t="s">
        <v>999</v>
      </c>
      <c r="C98" s="655" t="s">
        <v>910</v>
      </c>
      <c r="D98" s="655" t="s">
        <v>883</v>
      </c>
      <c r="E98" s="655" t="s">
        <v>884</v>
      </c>
      <c r="F98" s="655" t="s">
        <v>885</v>
      </c>
      <c r="G98" s="652" t="s">
        <v>1000</v>
      </c>
      <c r="H98" s="652">
        <v>1</v>
      </c>
      <c r="I98" s="656" t="s">
        <v>887</v>
      </c>
      <c r="J98" s="651">
        <v>42166</v>
      </c>
      <c r="K98" s="651">
        <v>42166</v>
      </c>
    </row>
    <row r="99" spans="1:11" ht="24" hidden="1" x14ac:dyDescent="0.25">
      <c r="A99" s="653">
        <v>676</v>
      </c>
      <c r="B99" s="648" t="s">
        <v>1001</v>
      </c>
      <c r="C99" s="655" t="s">
        <v>910</v>
      </c>
      <c r="D99" s="655" t="s">
        <v>883</v>
      </c>
      <c r="E99" s="655" t="s">
        <v>884</v>
      </c>
      <c r="F99" s="655" t="s">
        <v>885</v>
      </c>
      <c r="G99" s="652" t="s">
        <v>1002</v>
      </c>
      <c r="H99" s="652">
        <v>1</v>
      </c>
      <c r="I99" s="656" t="s">
        <v>887</v>
      </c>
      <c r="J99" s="650">
        <v>42174</v>
      </c>
      <c r="K99" s="650">
        <v>42174</v>
      </c>
    </row>
    <row r="100" spans="1:11" ht="24" hidden="1" x14ac:dyDescent="0.25">
      <c r="A100" s="653">
        <v>676</v>
      </c>
      <c r="B100" s="648" t="s">
        <v>1003</v>
      </c>
      <c r="C100" s="655" t="s">
        <v>910</v>
      </c>
      <c r="D100" s="655" t="s">
        <v>883</v>
      </c>
      <c r="E100" s="655" t="s">
        <v>884</v>
      </c>
      <c r="F100" s="655" t="s">
        <v>885</v>
      </c>
      <c r="G100" s="652" t="s">
        <v>1004</v>
      </c>
      <c r="H100" s="652">
        <v>1</v>
      </c>
      <c r="I100" s="656" t="s">
        <v>887</v>
      </c>
      <c r="J100" s="650">
        <v>42174</v>
      </c>
      <c r="K100" s="650">
        <v>42174</v>
      </c>
    </row>
    <row r="101" spans="1:11" ht="36" hidden="1" x14ac:dyDescent="0.25">
      <c r="A101" s="653">
        <v>676</v>
      </c>
      <c r="B101" s="648" t="s">
        <v>1005</v>
      </c>
      <c r="C101" s="655" t="s">
        <v>910</v>
      </c>
      <c r="D101" s="655" t="s">
        <v>883</v>
      </c>
      <c r="E101" s="655" t="s">
        <v>884</v>
      </c>
      <c r="F101" s="655" t="s">
        <v>885</v>
      </c>
      <c r="G101" s="652" t="s">
        <v>1006</v>
      </c>
      <c r="H101" s="652">
        <v>1</v>
      </c>
      <c r="I101" s="656" t="s">
        <v>887</v>
      </c>
      <c r="J101" s="651">
        <v>42158</v>
      </c>
      <c r="K101" s="651">
        <v>42158</v>
      </c>
    </row>
    <row r="102" spans="1:11" ht="24" hidden="1" x14ac:dyDescent="0.25">
      <c r="A102" s="653">
        <v>676</v>
      </c>
      <c r="B102" s="648" t="s">
        <v>1007</v>
      </c>
      <c r="C102" s="655" t="s">
        <v>910</v>
      </c>
      <c r="D102" s="655" t="s">
        <v>883</v>
      </c>
      <c r="E102" s="655" t="s">
        <v>884</v>
      </c>
      <c r="F102" s="655" t="s">
        <v>885</v>
      </c>
      <c r="G102" s="652" t="s">
        <v>1008</v>
      </c>
      <c r="H102" s="652">
        <v>1</v>
      </c>
      <c r="I102" s="656" t="s">
        <v>887</v>
      </c>
      <c r="J102" s="651">
        <v>42173</v>
      </c>
      <c r="K102" s="651">
        <v>42173</v>
      </c>
    </row>
    <row r="103" spans="1:11" ht="24" hidden="1" x14ac:dyDescent="0.25">
      <c r="A103" s="653">
        <v>676</v>
      </c>
      <c r="B103" s="648" t="s">
        <v>1009</v>
      </c>
      <c r="C103" s="655" t="s">
        <v>882</v>
      </c>
      <c r="D103" s="655" t="s">
        <v>883</v>
      </c>
      <c r="E103" s="655" t="s">
        <v>884</v>
      </c>
      <c r="F103" s="655" t="s">
        <v>885</v>
      </c>
      <c r="G103" s="652" t="s">
        <v>1010</v>
      </c>
      <c r="H103" s="652">
        <v>1</v>
      </c>
      <c r="I103" s="656" t="s">
        <v>887</v>
      </c>
      <c r="J103" s="651">
        <v>42214</v>
      </c>
      <c r="K103" s="651">
        <v>42214</v>
      </c>
    </row>
    <row r="104" spans="1:11" ht="24" hidden="1" x14ac:dyDescent="0.25">
      <c r="A104" s="653">
        <v>676</v>
      </c>
      <c r="B104" s="648" t="s">
        <v>1011</v>
      </c>
      <c r="C104" s="655" t="s">
        <v>882</v>
      </c>
      <c r="D104" s="655" t="s">
        <v>883</v>
      </c>
      <c r="E104" s="655" t="s">
        <v>884</v>
      </c>
      <c r="F104" s="655" t="s">
        <v>885</v>
      </c>
      <c r="G104" s="652" t="s">
        <v>1012</v>
      </c>
      <c r="H104" s="652">
        <v>1</v>
      </c>
      <c r="I104" s="656" t="s">
        <v>887</v>
      </c>
      <c r="J104" s="651">
        <v>42214</v>
      </c>
      <c r="K104" s="651">
        <v>42214</v>
      </c>
    </row>
    <row r="105" spans="1:11" ht="24" hidden="1" x14ac:dyDescent="0.25">
      <c r="A105" s="653">
        <v>676</v>
      </c>
      <c r="B105" s="648" t="s">
        <v>1013</v>
      </c>
      <c r="C105" s="655" t="s">
        <v>882</v>
      </c>
      <c r="D105" s="655" t="s">
        <v>883</v>
      </c>
      <c r="E105" s="655" t="s">
        <v>884</v>
      </c>
      <c r="F105" s="655" t="s">
        <v>885</v>
      </c>
      <c r="G105" s="652" t="s">
        <v>1014</v>
      </c>
      <c r="H105" s="652">
        <v>1</v>
      </c>
      <c r="I105" s="656" t="s">
        <v>887</v>
      </c>
      <c r="J105" s="651">
        <v>42214</v>
      </c>
      <c r="K105" s="651">
        <v>42214</v>
      </c>
    </row>
    <row r="106" spans="1:11" ht="24" hidden="1" x14ac:dyDescent="0.25">
      <c r="A106" s="653">
        <v>676</v>
      </c>
      <c r="B106" s="648" t="s">
        <v>1015</v>
      </c>
      <c r="C106" s="655" t="s">
        <v>882</v>
      </c>
      <c r="D106" s="655" t="s">
        <v>883</v>
      </c>
      <c r="E106" s="655" t="s">
        <v>884</v>
      </c>
      <c r="F106" s="655" t="s">
        <v>885</v>
      </c>
      <c r="G106" s="652" t="s">
        <v>1016</v>
      </c>
      <c r="H106" s="652">
        <v>1</v>
      </c>
      <c r="I106" s="656" t="s">
        <v>887</v>
      </c>
      <c r="J106" s="651">
        <v>42214</v>
      </c>
      <c r="K106" s="651">
        <v>42214</v>
      </c>
    </row>
    <row r="107" spans="1:11" ht="24" hidden="1" x14ac:dyDescent="0.25">
      <c r="A107" s="653">
        <v>676</v>
      </c>
      <c r="B107" s="648" t="s">
        <v>1017</v>
      </c>
      <c r="C107" s="655" t="s">
        <v>882</v>
      </c>
      <c r="D107" s="655" t="s">
        <v>883</v>
      </c>
      <c r="E107" s="655" t="s">
        <v>884</v>
      </c>
      <c r="F107" s="655" t="s">
        <v>885</v>
      </c>
      <c r="G107" s="652" t="s">
        <v>1018</v>
      </c>
      <c r="H107" s="652">
        <v>2</v>
      </c>
      <c r="I107" s="656" t="s">
        <v>887</v>
      </c>
      <c r="J107" s="651">
        <v>42278</v>
      </c>
      <c r="K107" s="651">
        <v>42291</v>
      </c>
    </row>
    <row r="108" spans="1:11" ht="24" hidden="1" x14ac:dyDescent="0.25">
      <c r="A108" s="653">
        <v>676</v>
      </c>
      <c r="B108" s="648" t="s">
        <v>1019</v>
      </c>
      <c r="C108" s="655" t="s">
        <v>882</v>
      </c>
      <c r="D108" s="655" t="s">
        <v>883</v>
      </c>
      <c r="E108" s="655" t="s">
        <v>884</v>
      </c>
      <c r="F108" s="655" t="s">
        <v>885</v>
      </c>
      <c r="G108" s="652" t="s">
        <v>1020</v>
      </c>
      <c r="H108" s="652">
        <v>1</v>
      </c>
      <c r="I108" s="656" t="s">
        <v>887</v>
      </c>
      <c r="J108" s="651">
        <v>42282</v>
      </c>
      <c r="K108" s="651">
        <v>42282</v>
      </c>
    </row>
    <row r="109" spans="1:11" ht="24" hidden="1" x14ac:dyDescent="0.25">
      <c r="A109" s="653">
        <v>676</v>
      </c>
      <c r="B109" s="648" t="s">
        <v>1021</v>
      </c>
      <c r="C109" s="655" t="s">
        <v>882</v>
      </c>
      <c r="D109" s="655" t="s">
        <v>883</v>
      </c>
      <c r="E109" s="655" t="s">
        <v>884</v>
      </c>
      <c r="F109" s="655" t="s">
        <v>885</v>
      </c>
      <c r="G109" s="652" t="s">
        <v>1022</v>
      </c>
      <c r="H109" s="652">
        <v>1</v>
      </c>
      <c r="I109" s="656" t="s">
        <v>887</v>
      </c>
      <c r="J109" s="651">
        <v>42286</v>
      </c>
      <c r="K109" s="651">
        <v>42286</v>
      </c>
    </row>
    <row r="110" spans="1:11" ht="24" hidden="1" x14ac:dyDescent="0.25">
      <c r="A110" s="653">
        <v>676</v>
      </c>
      <c r="B110" s="648" t="s">
        <v>1023</v>
      </c>
      <c r="C110" s="655" t="s">
        <v>882</v>
      </c>
      <c r="D110" s="655" t="s">
        <v>883</v>
      </c>
      <c r="E110" s="655" t="s">
        <v>884</v>
      </c>
      <c r="F110" s="655" t="s">
        <v>885</v>
      </c>
      <c r="G110" s="652" t="s">
        <v>1024</v>
      </c>
      <c r="H110" s="652">
        <v>1</v>
      </c>
      <c r="I110" s="656" t="s">
        <v>887</v>
      </c>
      <c r="J110" s="651">
        <v>42291</v>
      </c>
      <c r="K110" s="651">
        <v>42291</v>
      </c>
    </row>
    <row r="111" spans="1:11" ht="24" hidden="1" x14ac:dyDescent="0.25">
      <c r="A111" s="653">
        <v>676</v>
      </c>
      <c r="B111" s="648" t="s">
        <v>1025</v>
      </c>
      <c r="C111" s="655" t="s">
        <v>882</v>
      </c>
      <c r="D111" s="655" t="s">
        <v>883</v>
      </c>
      <c r="E111" s="655" t="s">
        <v>884</v>
      </c>
      <c r="F111" s="655" t="s">
        <v>885</v>
      </c>
      <c r="G111" s="652" t="s">
        <v>1026</v>
      </c>
      <c r="H111" s="652">
        <v>1</v>
      </c>
      <c r="I111" s="656" t="s">
        <v>887</v>
      </c>
      <c r="J111" s="650">
        <v>42412</v>
      </c>
      <c r="K111" s="650">
        <v>42412</v>
      </c>
    </row>
    <row r="112" spans="1:11" ht="24" hidden="1" x14ac:dyDescent="0.25">
      <c r="A112" s="653">
        <v>676</v>
      </c>
      <c r="B112" s="648" t="s">
        <v>1027</v>
      </c>
      <c r="C112" s="655" t="s">
        <v>882</v>
      </c>
      <c r="D112" s="655" t="s">
        <v>883</v>
      </c>
      <c r="E112" s="655" t="s">
        <v>884</v>
      </c>
      <c r="F112" s="655" t="s">
        <v>885</v>
      </c>
      <c r="G112" s="652" t="s">
        <v>1028</v>
      </c>
      <c r="H112" s="652">
        <v>1</v>
      </c>
      <c r="I112" s="656" t="s">
        <v>887</v>
      </c>
      <c r="J112" s="650">
        <v>42409</v>
      </c>
      <c r="K112" s="650">
        <v>42409</v>
      </c>
    </row>
    <row r="113" spans="2:3" ht="6.75" customHeight="1" x14ac:dyDescent="0.25"/>
    <row r="114" spans="2:3" ht="26.25" customHeight="1" x14ac:dyDescent="0.25">
      <c r="B114" s="670" t="s">
        <v>1117</v>
      </c>
      <c r="C114" s="678" t="s">
        <v>1118</v>
      </c>
    </row>
    <row r="115" spans="2:3" ht="36" customHeight="1" x14ac:dyDescent="0.25">
      <c r="B115" s="679" t="s">
        <v>1153</v>
      </c>
      <c r="C115" s="674" t="s">
        <v>1154</v>
      </c>
    </row>
  </sheetData>
  <protectedRanges>
    <protectedRange sqref="C5:K5" name="Rango1_1"/>
    <protectedRange sqref="I64 I7 I10 I30 I55" name="Rango1_3"/>
    <protectedRange sqref="I8:I9 I11:I29 I56:I63 I65:I93 I6 I31:I54" name="Rango1_2_4"/>
    <protectedRange sqref="G12:G20 G10 E21:E22 E23:F45 E54 E55:F55 E56:E76 E77:F93 E47:F53 E6:E8" name="Rango1_1_1_3"/>
    <protectedRange sqref="I94:I95" name="Rango1_2_5"/>
    <protectedRange sqref="E94:F95" name="Rango1_1_1_4"/>
    <protectedRange sqref="I96:I112" name="Rango1_2_6"/>
    <protectedRange sqref="E96:F112" name="Rango1_1_1_5"/>
  </protectedRanges>
  <autoFilter ref="A5:V112">
    <filterColumn colId="8">
      <colorFilter dxfId="0"/>
    </filterColumn>
  </autoFilter>
  <mergeCells count="2">
    <mergeCell ref="A1:B3"/>
    <mergeCell ref="C1:I3"/>
  </mergeCells>
  <dataValidations count="2">
    <dataValidation type="list" allowBlank="1" showInputMessage="1" showErrorMessage="1" sqref="I6:I112">
      <formula1>Estado</formula1>
    </dataValidation>
    <dataValidation type="list" allowBlank="1" showInputMessage="1" showErrorMessage="1" sqref="E56:E76 E54 E23:F45 E55:F55 G10 E12:E22 G12:G20 F6:F8 E47:F53 E6:E10 E77:F112">
      <formula1>Procesos</formula1>
    </dataValidation>
  </dataValidations>
  <pageMargins left="1.1417322834645669" right="0.31496062992125984" top="0.35433070866141736" bottom="0.43307086614173229" header="0.23622047244094491" footer="0.31496062992125984"/>
  <pageSetup paperSize="5" orientation="landscape" r:id="rId1"/>
  <headerFooter>
    <oddFooter>&amp;CHola &amp;P de &amp;N&amp;R&amp;A</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T145"/>
  <sheetViews>
    <sheetView topLeftCell="A2" zoomScaleNormal="100" zoomScaleSheetLayoutView="50" workbookViewId="0">
      <pane ySplit="1575" activePane="bottomLeft"/>
      <selection activeCell="A22" sqref="A22"/>
      <selection pane="bottomLeft" activeCell="C4" sqref="C4"/>
    </sheetView>
  </sheetViews>
  <sheetFormatPr baseColWidth="10" defaultRowHeight="12.75" x14ac:dyDescent="0.2"/>
  <cols>
    <col min="1" max="1" width="6" style="32" customWidth="1"/>
    <col min="2" max="2" width="23.28515625" style="31" customWidth="1"/>
    <col min="3" max="3" width="25.140625" style="55" customWidth="1"/>
    <col min="4" max="4" width="11.28515625" style="55" customWidth="1"/>
    <col min="5" max="5" width="12.7109375" style="55" customWidth="1"/>
    <col min="6" max="6" width="11.85546875" style="56" customWidth="1"/>
    <col min="7" max="7" width="33.42578125" style="31" customWidth="1"/>
    <col min="8" max="8" width="11.42578125" style="31" customWidth="1"/>
    <col min="9" max="9" width="11.7109375" style="32" customWidth="1"/>
    <col min="10" max="10" width="12" style="32" customWidth="1"/>
    <col min="11" max="11" width="16" style="32" customWidth="1"/>
    <col min="12" max="12" width="34.7109375" style="32" customWidth="1"/>
    <col min="13" max="13" width="36.28515625" style="57" customWidth="1"/>
    <col min="14" max="14" width="10.28515625" style="32" customWidth="1"/>
    <col min="15" max="15" width="11.85546875" style="32" customWidth="1"/>
    <col min="16" max="16" width="20.42578125" style="31" customWidth="1"/>
    <col min="17" max="17" width="15.5703125" style="31" customWidth="1"/>
    <col min="18" max="18" width="17.28515625" style="31" customWidth="1"/>
    <col min="19" max="16384" width="11.42578125" style="31"/>
  </cols>
  <sheetData>
    <row r="1" spans="1:18" ht="16.5" thickBot="1" x14ac:dyDescent="0.25">
      <c r="A1" s="24"/>
      <c r="B1" s="25" t="s">
        <v>70</v>
      </c>
      <c r="C1" s="26" t="s">
        <v>71</v>
      </c>
      <c r="D1" s="27"/>
      <c r="E1" s="27"/>
      <c r="F1" s="28"/>
      <c r="G1" s="29"/>
      <c r="H1" s="29"/>
      <c r="I1" s="30"/>
      <c r="J1" s="30"/>
      <c r="K1" s="30"/>
      <c r="L1" s="31"/>
      <c r="M1" s="29"/>
      <c r="O1" s="31"/>
    </row>
    <row r="2" spans="1:18" ht="3.75" customHeight="1" thickBot="1" x14ac:dyDescent="0.25">
      <c r="B2" s="29"/>
      <c r="C2" s="33"/>
      <c r="D2" s="33"/>
      <c r="E2" s="33"/>
      <c r="F2" s="28"/>
      <c r="G2" s="29"/>
      <c r="H2" s="29"/>
      <c r="I2" s="30"/>
      <c r="J2" s="30"/>
      <c r="K2" s="30"/>
      <c r="L2" s="30"/>
      <c r="M2" s="29"/>
      <c r="O2" s="30"/>
    </row>
    <row r="3" spans="1:18" ht="60" thickBot="1" x14ac:dyDescent="0.25">
      <c r="A3" s="34" t="s">
        <v>72</v>
      </c>
      <c r="B3" s="35" t="s">
        <v>0</v>
      </c>
      <c r="C3" s="35" t="s">
        <v>1</v>
      </c>
      <c r="D3" s="36" t="s">
        <v>44</v>
      </c>
      <c r="E3" s="36" t="s">
        <v>73</v>
      </c>
      <c r="F3" s="37" t="s">
        <v>74</v>
      </c>
      <c r="G3" s="38" t="s">
        <v>75</v>
      </c>
      <c r="H3" s="39" t="s">
        <v>47</v>
      </c>
      <c r="I3" s="40" t="s">
        <v>76</v>
      </c>
      <c r="J3" s="36" t="s">
        <v>77</v>
      </c>
      <c r="K3" s="39" t="s">
        <v>51</v>
      </c>
      <c r="L3" s="39" t="s">
        <v>34</v>
      </c>
      <c r="M3" s="39" t="s">
        <v>33</v>
      </c>
      <c r="N3" s="35" t="s">
        <v>35</v>
      </c>
      <c r="O3" s="39" t="s">
        <v>78</v>
      </c>
      <c r="P3" s="39" t="s">
        <v>79</v>
      </c>
      <c r="Q3" s="36" t="s">
        <v>80</v>
      </c>
      <c r="R3" s="41" t="s">
        <v>81</v>
      </c>
    </row>
    <row r="4" spans="1:18" ht="26.25" thickTop="1" x14ac:dyDescent="0.2">
      <c r="A4" s="42">
        <v>1</v>
      </c>
      <c r="B4" s="43" t="s">
        <v>37</v>
      </c>
      <c r="C4" s="44"/>
      <c r="D4" s="16" t="s">
        <v>45</v>
      </c>
      <c r="E4" s="45"/>
      <c r="F4" s="46"/>
      <c r="G4" s="47"/>
      <c r="H4" s="48" t="s">
        <v>82</v>
      </c>
      <c r="I4" s="49" t="s">
        <v>83</v>
      </c>
      <c r="J4" s="46"/>
      <c r="K4" s="16"/>
      <c r="L4" s="16"/>
      <c r="M4" s="42"/>
      <c r="N4" s="42" t="s">
        <v>59</v>
      </c>
      <c r="O4" s="46"/>
      <c r="P4" s="42"/>
      <c r="Q4" s="50">
        <f>DAYS360(F4,J4,0)+1</f>
        <v>1</v>
      </c>
      <c r="R4" s="50">
        <f>IFERROR((DAYS360(J4,O4,0)+1),1)</f>
        <v>1</v>
      </c>
    </row>
    <row r="5" spans="1:18" ht="14.25" x14ac:dyDescent="0.2">
      <c r="A5" s="42">
        <v>2</v>
      </c>
      <c r="B5" s="43"/>
      <c r="C5" s="44"/>
      <c r="D5" s="16"/>
      <c r="E5" s="16"/>
      <c r="F5" s="46"/>
      <c r="G5" s="47"/>
      <c r="H5" s="48"/>
      <c r="I5" s="49"/>
      <c r="J5" s="46"/>
      <c r="K5" s="16"/>
      <c r="L5" s="16"/>
      <c r="M5" s="42"/>
      <c r="N5" s="42"/>
      <c r="O5" s="46"/>
      <c r="P5" s="42"/>
      <c r="Q5" s="50">
        <f t="shared" ref="Q5:Q68" si="0">DAYS360(F5,J5,0)+1</f>
        <v>1</v>
      </c>
      <c r="R5" s="50">
        <f t="shared" ref="R5:R68" si="1">IFERROR((DAYS360(J5,O5,0)+1),1)</f>
        <v>1</v>
      </c>
    </row>
    <row r="6" spans="1:18" ht="14.25" x14ac:dyDescent="0.2">
      <c r="A6" s="42">
        <v>3</v>
      </c>
      <c r="B6" s="43"/>
      <c r="C6" s="44"/>
      <c r="D6" s="16"/>
      <c r="E6" s="16"/>
      <c r="F6" s="46"/>
      <c r="G6" s="47"/>
      <c r="H6" s="48"/>
      <c r="I6" s="49"/>
      <c r="J6" s="46"/>
      <c r="K6" s="16"/>
      <c r="L6" s="16"/>
      <c r="M6" s="42"/>
      <c r="N6" s="42"/>
      <c r="O6" s="46"/>
      <c r="P6" s="42"/>
      <c r="Q6" s="50">
        <f t="shared" si="0"/>
        <v>1</v>
      </c>
      <c r="R6" s="50">
        <f t="shared" si="1"/>
        <v>1</v>
      </c>
    </row>
    <row r="7" spans="1:18" ht="14.25" x14ac:dyDescent="0.2">
      <c r="A7" s="42">
        <v>4</v>
      </c>
      <c r="B7" s="43" t="s">
        <v>53</v>
      </c>
      <c r="C7" s="44"/>
      <c r="D7" s="16" t="s">
        <v>45</v>
      </c>
      <c r="E7" s="16"/>
      <c r="F7" s="46"/>
      <c r="G7" s="47"/>
      <c r="H7" s="48" t="s">
        <v>82</v>
      </c>
      <c r="I7" s="49" t="s">
        <v>84</v>
      </c>
      <c r="J7" s="46"/>
      <c r="K7" s="16"/>
      <c r="L7" s="16"/>
      <c r="M7" s="42"/>
      <c r="N7" s="42" t="s">
        <v>55</v>
      </c>
      <c r="O7" s="46"/>
      <c r="P7" s="42"/>
      <c r="Q7" s="50">
        <f t="shared" si="0"/>
        <v>1</v>
      </c>
      <c r="R7" s="50">
        <f t="shared" si="1"/>
        <v>1</v>
      </c>
    </row>
    <row r="8" spans="1:18" ht="14.25" x14ac:dyDescent="0.2">
      <c r="A8" s="42">
        <v>5</v>
      </c>
      <c r="B8" s="43"/>
      <c r="C8" s="44"/>
      <c r="D8" s="16"/>
      <c r="E8" s="16"/>
      <c r="F8" s="46"/>
      <c r="G8" s="47"/>
      <c r="H8" s="48"/>
      <c r="I8" s="49"/>
      <c r="J8" s="46"/>
      <c r="K8" s="16"/>
      <c r="L8" s="16"/>
      <c r="M8" s="42"/>
      <c r="N8" s="42"/>
      <c r="O8" s="46"/>
      <c r="P8" s="42"/>
      <c r="Q8" s="50">
        <f t="shared" si="0"/>
        <v>1</v>
      </c>
      <c r="R8" s="50">
        <f t="shared" si="1"/>
        <v>1</v>
      </c>
    </row>
    <row r="9" spans="1:18" ht="14.25" x14ac:dyDescent="0.2">
      <c r="A9" s="42">
        <v>6</v>
      </c>
      <c r="B9" s="43"/>
      <c r="C9" s="44"/>
      <c r="D9" s="16"/>
      <c r="E9" s="16"/>
      <c r="F9" s="46"/>
      <c r="G9" s="47"/>
      <c r="H9" s="48"/>
      <c r="I9" s="49"/>
      <c r="J9" s="46"/>
      <c r="K9" s="16"/>
      <c r="L9" s="16"/>
      <c r="M9" s="42"/>
      <c r="N9" s="42"/>
      <c r="O9" s="46"/>
      <c r="P9" s="42"/>
      <c r="Q9" s="50">
        <f t="shared" si="0"/>
        <v>1</v>
      </c>
      <c r="R9" s="50">
        <f t="shared" si="1"/>
        <v>1</v>
      </c>
    </row>
    <row r="10" spans="1:18" ht="25.5" x14ac:dyDescent="0.2">
      <c r="A10" s="42">
        <v>7</v>
      </c>
      <c r="B10" s="43" t="s">
        <v>37</v>
      </c>
      <c r="C10" s="44"/>
      <c r="D10" s="16" t="s">
        <v>45</v>
      </c>
      <c r="E10" s="16"/>
      <c r="F10" s="46"/>
      <c r="G10" s="47"/>
      <c r="H10" s="48" t="s">
        <v>57</v>
      </c>
      <c r="I10" s="49" t="s">
        <v>83</v>
      </c>
      <c r="J10" s="46"/>
      <c r="K10" s="16"/>
      <c r="L10" s="16"/>
      <c r="M10" s="42"/>
      <c r="N10" s="42" t="s">
        <v>55</v>
      </c>
      <c r="O10" s="46"/>
      <c r="P10" s="42"/>
      <c r="Q10" s="50">
        <f t="shared" si="0"/>
        <v>1</v>
      </c>
      <c r="R10" s="50">
        <f t="shared" si="1"/>
        <v>1</v>
      </c>
    </row>
    <row r="11" spans="1:18" ht="14.25" x14ac:dyDescent="0.2">
      <c r="A11" s="42">
        <v>8</v>
      </c>
      <c r="B11" s="43"/>
      <c r="C11" s="44"/>
      <c r="D11" s="16"/>
      <c r="E11" s="16"/>
      <c r="F11" s="46"/>
      <c r="G11" s="47"/>
      <c r="H11" s="48"/>
      <c r="I11" s="49"/>
      <c r="J11" s="46"/>
      <c r="K11" s="16"/>
      <c r="L11" s="16"/>
      <c r="M11" s="42"/>
      <c r="N11" s="42"/>
      <c r="O11" s="46"/>
      <c r="P11" s="42"/>
      <c r="Q11" s="50">
        <f t="shared" si="0"/>
        <v>1</v>
      </c>
      <c r="R11" s="50">
        <f t="shared" si="1"/>
        <v>1</v>
      </c>
    </row>
    <row r="12" spans="1:18" ht="14.25" x14ac:dyDescent="0.2">
      <c r="A12" s="42">
        <v>9</v>
      </c>
      <c r="B12" s="43"/>
      <c r="C12" s="44"/>
      <c r="D12" s="16"/>
      <c r="E12" s="16"/>
      <c r="F12" s="46"/>
      <c r="G12" s="47"/>
      <c r="H12" s="48"/>
      <c r="I12" s="49"/>
      <c r="J12" s="46"/>
      <c r="K12" s="16"/>
      <c r="L12" s="16"/>
      <c r="M12" s="42"/>
      <c r="N12" s="42"/>
      <c r="O12" s="46"/>
      <c r="P12" s="42"/>
      <c r="Q12" s="50">
        <f t="shared" si="0"/>
        <v>1</v>
      </c>
      <c r="R12" s="50">
        <f t="shared" si="1"/>
        <v>1</v>
      </c>
    </row>
    <row r="13" spans="1:18" ht="14.25" x14ac:dyDescent="0.2">
      <c r="A13" s="42">
        <v>10</v>
      </c>
      <c r="B13" s="43" t="s">
        <v>25</v>
      </c>
      <c r="C13" s="44"/>
      <c r="D13" s="16" t="s">
        <v>45</v>
      </c>
      <c r="E13" s="16"/>
      <c r="F13" s="46"/>
      <c r="G13" s="47"/>
      <c r="H13" s="48" t="s">
        <v>82</v>
      </c>
      <c r="I13" s="49" t="s">
        <v>83</v>
      </c>
      <c r="J13" s="46"/>
      <c r="K13" s="16"/>
      <c r="L13" s="16"/>
      <c r="M13" s="42"/>
      <c r="N13" s="42" t="s">
        <v>55</v>
      </c>
      <c r="O13" s="46"/>
      <c r="P13" s="42"/>
      <c r="Q13" s="50">
        <f t="shared" si="0"/>
        <v>1</v>
      </c>
      <c r="R13" s="50">
        <f t="shared" si="1"/>
        <v>1</v>
      </c>
    </row>
    <row r="14" spans="1:18" ht="14.25" x14ac:dyDescent="0.2">
      <c r="A14" s="42">
        <v>11</v>
      </c>
      <c r="B14" s="43"/>
      <c r="C14" s="44"/>
      <c r="D14" s="16"/>
      <c r="E14" s="16"/>
      <c r="F14" s="46"/>
      <c r="G14" s="47"/>
      <c r="H14" s="48"/>
      <c r="I14" s="49"/>
      <c r="J14" s="46"/>
      <c r="K14" s="16"/>
      <c r="L14" s="16"/>
      <c r="M14" s="42"/>
      <c r="N14" s="42"/>
      <c r="O14" s="46"/>
      <c r="P14" s="42"/>
      <c r="Q14" s="50">
        <f t="shared" si="0"/>
        <v>1</v>
      </c>
      <c r="R14" s="50">
        <f t="shared" si="1"/>
        <v>1</v>
      </c>
    </row>
    <row r="15" spans="1:18" ht="14.25" x14ac:dyDescent="0.2">
      <c r="A15" s="42">
        <v>12</v>
      </c>
      <c r="B15" s="43" t="s">
        <v>38</v>
      </c>
      <c r="C15" s="44"/>
      <c r="D15" s="16" t="s">
        <v>45</v>
      </c>
      <c r="E15" s="16"/>
      <c r="F15" s="46"/>
      <c r="G15" s="47"/>
      <c r="H15" s="48" t="s">
        <v>82</v>
      </c>
      <c r="I15" s="49" t="s">
        <v>83</v>
      </c>
      <c r="J15" s="46"/>
      <c r="K15" s="16"/>
      <c r="L15" s="16"/>
      <c r="M15" s="42"/>
      <c r="N15" s="42" t="s">
        <v>59</v>
      </c>
      <c r="O15" s="46"/>
      <c r="P15" s="42"/>
      <c r="Q15" s="50">
        <f t="shared" si="0"/>
        <v>1</v>
      </c>
      <c r="R15" s="50">
        <f t="shared" si="1"/>
        <v>1</v>
      </c>
    </row>
    <row r="16" spans="1:18" ht="14.25" x14ac:dyDescent="0.2">
      <c r="A16" s="42">
        <v>13</v>
      </c>
      <c r="B16" s="43"/>
      <c r="C16" s="44"/>
      <c r="D16" s="16"/>
      <c r="E16" s="16"/>
      <c r="F16" s="46"/>
      <c r="G16" s="47"/>
      <c r="H16" s="48"/>
      <c r="I16" s="49"/>
      <c r="J16" s="46"/>
      <c r="K16" s="16"/>
      <c r="L16" s="16"/>
      <c r="M16" s="42"/>
      <c r="N16" s="42"/>
      <c r="O16" s="46"/>
      <c r="P16" s="42"/>
      <c r="Q16" s="50">
        <f t="shared" si="0"/>
        <v>1</v>
      </c>
      <c r="R16" s="50">
        <f t="shared" si="1"/>
        <v>1</v>
      </c>
    </row>
    <row r="17" spans="1:18" ht="14.25" x14ac:dyDescent="0.2">
      <c r="A17" s="42">
        <v>14</v>
      </c>
      <c r="B17" s="43"/>
      <c r="C17" s="44"/>
      <c r="D17" s="16"/>
      <c r="E17" s="16"/>
      <c r="F17" s="46"/>
      <c r="G17" s="47"/>
      <c r="H17" s="48"/>
      <c r="I17" s="49"/>
      <c r="J17" s="46"/>
      <c r="K17" s="16"/>
      <c r="L17" s="16"/>
      <c r="M17" s="42"/>
      <c r="N17" s="42"/>
      <c r="O17" s="46"/>
      <c r="P17" s="42"/>
      <c r="Q17" s="50">
        <f t="shared" si="0"/>
        <v>1</v>
      </c>
      <c r="R17" s="50">
        <f t="shared" si="1"/>
        <v>1</v>
      </c>
    </row>
    <row r="18" spans="1:18" ht="14.25" x14ac:dyDescent="0.2">
      <c r="A18" s="42">
        <v>15</v>
      </c>
      <c r="B18" s="43"/>
      <c r="C18" s="44"/>
      <c r="D18" s="16"/>
      <c r="E18" s="16"/>
      <c r="F18" s="46"/>
      <c r="G18" s="47"/>
      <c r="H18" s="48"/>
      <c r="I18" s="49"/>
      <c r="J18" s="46"/>
      <c r="K18" s="16"/>
      <c r="L18" s="16"/>
      <c r="M18" s="42"/>
      <c r="N18" s="42"/>
      <c r="O18" s="46"/>
      <c r="P18" s="42"/>
      <c r="Q18" s="50">
        <f t="shared" si="0"/>
        <v>1</v>
      </c>
      <c r="R18" s="50">
        <f t="shared" si="1"/>
        <v>1</v>
      </c>
    </row>
    <row r="19" spans="1:18" ht="14.25" x14ac:dyDescent="0.2">
      <c r="A19" s="42">
        <v>16</v>
      </c>
      <c r="B19" s="43"/>
      <c r="C19" s="44"/>
      <c r="D19" s="16"/>
      <c r="E19" s="16"/>
      <c r="F19" s="46"/>
      <c r="G19" s="47"/>
      <c r="H19" s="48"/>
      <c r="I19" s="49"/>
      <c r="J19" s="46"/>
      <c r="K19" s="16"/>
      <c r="L19" s="16"/>
      <c r="M19" s="42"/>
      <c r="N19" s="42"/>
      <c r="O19" s="46"/>
      <c r="P19" s="42"/>
      <c r="Q19" s="50">
        <f t="shared" si="0"/>
        <v>1</v>
      </c>
      <c r="R19" s="50">
        <f t="shared" si="1"/>
        <v>1</v>
      </c>
    </row>
    <row r="20" spans="1:18" ht="14.25" x14ac:dyDescent="0.2">
      <c r="A20" s="42">
        <v>17</v>
      </c>
      <c r="B20" s="43"/>
      <c r="C20" s="44"/>
      <c r="D20" s="16"/>
      <c r="E20" s="16"/>
      <c r="F20" s="46"/>
      <c r="G20" s="47"/>
      <c r="H20" s="48"/>
      <c r="I20" s="49"/>
      <c r="J20" s="46"/>
      <c r="K20" s="16"/>
      <c r="L20" s="16"/>
      <c r="M20" s="42"/>
      <c r="N20" s="42"/>
      <c r="O20" s="46"/>
      <c r="P20" s="42"/>
      <c r="Q20" s="50">
        <f t="shared" si="0"/>
        <v>1</v>
      </c>
      <c r="R20" s="50">
        <f t="shared" si="1"/>
        <v>1</v>
      </c>
    </row>
    <row r="21" spans="1:18" ht="14.25" x14ac:dyDescent="0.2">
      <c r="A21" s="42">
        <v>18</v>
      </c>
      <c r="B21" s="43"/>
      <c r="C21" s="44"/>
      <c r="D21" s="16"/>
      <c r="E21" s="16"/>
      <c r="F21" s="46"/>
      <c r="G21" s="47"/>
      <c r="H21" s="48"/>
      <c r="I21" s="49"/>
      <c r="J21" s="46"/>
      <c r="K21" s="16"/>
      <c r="L21" s="16"/>
      <c r="M21" s="42"/>
      <c r="N21" s="42"/>
      <c r="O21" s="46"/>
      <c r="P21" s="42"/>
      <c r="Q21" s="50">
        <f t="shared" si="0"/>
        <v>1</v>
      </c>
      <c r="R21" s="50">
        <f t="shared" si="1"/>
        <v>1</v>
      </c>
    </row>
    <row r="22" spans="1:18" ht="14.25" x14ac:dyDescent="0.2">
      <c r="A22" s="42">
        <v>19</v>
      </c>
      <c r="B22" s="43"/>
      <c r="C22" s="44"/>
      <c r="D22" s="16"/>
      <c r="E22" s="16"/>
      <c r="F22" s="46"/>
      <c r="G22" s="47"/>
      <c r="H22" s="48"/>
      <c r="I22" s="49"/>
      <c r="J22" s="46"/>
      <c r="K22" s="16"/>
      <c r="L22" s="16"/>
      <c r="M22" s="42"/>
      <c r="N22" s="42"/>
      <c r="O22" s="46"/>
      <c r="P22" s="42"/>
      <c r="Q22" s="50">
        <f t="shared" si="0"/>
        <v>1</v>
      </c>
      <c r="R22" s="50">
        <f t="shared" si="1"/>
        <v>1</v>
      </c>
    </row>
    <row r="23" spans="1:18" ht="14.25" x14ac:dyDescent="0.2">
      <c r="A23" s="42">
        <v>20</v>
      </c>
      <c r="B23" s="43"/>
      <c r="C23" s="44"/>
      <c r="D23" s="16"/>
      <c r="E23" s="16"/>
      <c r="F23" s="46"/>
      <c r="G23" s="47"/>
      <c r="H23" s="48"/>
      <c r="I23" s="49"/>
      <c r="J23" s="46"/>
      <c r="K23" s="16"/>
      <c r="L23" s="16"/>
      <c r="M23" s="42"/>
      <c r="N23" s="42"/>
      <c r="O23" s="46"/>
      <c r="P23" s="42"/>
      <c r="Q23" s="50">
        <f t="shared" si="0"/>
        <v>1</v>
      </c>
      <c r="R23" s="50">
        <f t="shared" si="1"/>
        <v>1</v>
      </c>
    </row>
    <row r="24" spans="1:18" ht="14.25" x14ac:dyDescent="0.2">
      <c r="A24" s="42">
        <v>21</v>
      </c>
      <c r="B24" s="43"/>
      <c r="C24" s="44"/>
      <c r="D24" s="16"/>
      <c r="E24" s="16"/>
      <c r="F24" s="46"/>
      <c r="G24" s="47"/>
      <c r="H24" s="48"/>
      <c r="I24" s="49"/>
      <c r="J24" s="46"/>
      <c r="K24" s="16"/>
      <c r="L24" s="16"/>
      <c r="M24" s="42"/>
      <c r="N24" s="42"/>
      <c r="O24" s="46"/>
      <c r="P24" s="42"/>
      <c r="Q24" s="50">
        <f t="shared" si="0"/>
        <v>1</v>
      </c>
      <c r="R24" s="50">
        <f t="shared" si="1"/>
        <v>1</v>
      </c>
    </row>
    <row r="25" spans="1:18" ht="14.25" x14ac:dyDescent="0.2">
      <c r="A25" s="42">
        <v>22</v>
      </c>
      <c r="B25" s="43"/>
      <c r="C25" s="44"/>
      <c r="D25" s="16"/>
      <c r="E25" s="16"/>
      <c r="F25" s="46"/>
      <c r="G25" s="47"/>
      <c r="H25" s="48"/>
      <c r="I25" s="49"/>
      <c r="J25" s="46"/>
      <c r="K25" s="16"/>
      <c r="L25" s="16"/>
      <c r="M25" s="42"/>
      <c r="N25" s="42"/>
      <c r="O25" s="46"/>
      <c r="P25" s="42"/>
      <c r="Q25" s="50">
        <f t="shared" si="0"/>
        <v>1</v>
      </c>
      <c r="R25" s="50">
        <f t="shared" si="1"/>
        <v>1</v>
      </c>
    </row>
    <row r="26" spans="1:18" ht="14.25" x14ac:dyDescent="0.2">
      <c r="A26" s="42">
        <v>23</v>
      </c>
      <c r="B26" s="43"/>
      <c r="C26" s="44"/>
      <c r="D26" s="16"/>
      <c r="E26" s="16"/>
      <c r="F26" s="46"/>
      <c r="G26" s="47"/>
      <c r="H26" s="48"/>
      <c r="I26" s="49"/>
      <c r="J26" s="46"/>
      <c r="K26" s="16"/>
      <c r="L26" s="16"/>
      <c r="M26" s="42"/>
      <c r="N26" s="42"/>
      <c r="O26" s="46"/>
      <c r="P26" s="42"/>
      <c r="Q26" s="50">
        <f t="shared" si="0"/>
        <v>1</v>
      </c>
      <c r="R26" s="50">
        <f t="shared" si="1"/>
        <v>1</v>
      </c>
    </row>
    <row r="27" spans="1:18" ht="14.25" x14ac:dyDescent="0.2">
      <c r="A27" s="42">
        <v>24</v>
      </c>
      <c r="B27" s="43"/>
      <c r="C27" s="44"/>
      <c r="D27" s="16"/>
      <c r="E27" s="16"/>
      <c r="F27" s="46"/>
      <c r="G27" s="47"/>
      <c r="H27" s="48"/>
      <c r="I27" s="49"/>
      <c r="J27" s="46"/>
      <c r="K27" s="16"/>
      <c r="L27" s="16"/>
      <c r="M27" s="42"/>
      <c r="N27" s="42"/>
      <c r="O27" s="46"/>
      <c r="P27" s="42"/>
      <c r="Q27" s="50">
        <f t="shared" si="0"/>
        <v>1</v>
      </c>
      <c r="R27" s="50">
        <f t="shared" si="1"/>
        <v>1</v>
      </c>
    </row>
    <row r="28" spans="1:18" ht="14.25" x14ac:dyDescent="0.2">
      <c r="A28" s="42">
        <v>25</v>
      </c>
      <c r="B28" s="43"/>
      <c r="C28" s="44"/>
      <c r="D28" s="16"/>
      <c r="E28" s="16"/>
      <c r="F28" s="46"/>
      <c r="G28" s="47"/>
      <c r="H28" s="48"/>
      <c r="I28" s="49"/>
      <c r="J28" s="46"/>
      <c r="K28" s="16"/>
      <c r="L28" s="16"/>
      <c r="M28" s="42"/>
      <c r="N28" s="42"/>
      <c r="O28" s="46"/>
      <c r="P28" s="42"/>
      <c r="Q28" s="50">
        <f t="shared" si="0"/>
        <v>1</v>
      </c>
      <c r="R28" s="50">
        <f t="shared" si="1"/>
        <v>1</v>
      </c>
    </row>
    <row r="29" spans="1:18" ht="14.25" x14ac:dyDescent="0.2">
      <c r="A29" s="42">
        <v>26</v>
      </c>
      <c r="B29" s="43"/>
      <c r="C29" s="44"/>
      <c r="D29" s="16"/>
      <c r="E29" s="16"/>
      <c r="F29" s="46"/>
      <c r="G29" s="47"/>
      <c r="H29" s="48"/>
      <c r="I29" s="49"/>
      <c r="J29" s="46"/>
      <c r="K29" s="16"/>
      <c r="L29" s="16"/>
      <c r="M29" s="42"/>
      <c r="N29" s="42"/>
      <c r="O29" s="46"/>
      <c r="P29" s="42"/>
      <c r="Q29" s="50">
        <f t="shared" si="0"/>
        <v>1</v>
      </c>
      <c r="R29" s="50">
        <f t="shared" si="1"/>
        <v>1</v>
      </c>
    </row>
    <row r="30" spans="1:18" ht="14.25" x14ac:dyDescent="0.2">
      <c r="A30" s="42">
        <v>27</v>
      </c>
      <c r="B30" s="43"/>
      <c r="C30" s="44"/>
      <c r="D30" s="16"/>
      <c r="E30" s="16"/>
      <c r="F30" s="46"/>
      <c r="G30" s="47"/>
      <c r="H30" s="48"/>
      <c r="I30" s="49"/>
      <c r="J30" s="46"/>
      <c r="K30" s="16"/>
      <c r="L30" s="16"/>
      <c r="M30" s="42"/>
      <c r="N30" s="42"/>
      <c r="O30" s="46"/>
      <c r="P30" s="42"/>
      <c r="Q30" s="50">
        <f t="shared" si="0"/>
        <v>1</v>
      </c>
      <c r="R30" s="50">
        <f t="shared" si="1"/>
        <v>1</v>
      </c>
    </row>
    <row r="31" spans="1:18" ht="14.25" x14ac:dyDescent="0.2">
      <c r="A31" s="42">
        <v>28</v>
      </c>
      <c r="B31" s="43"/>
      <c r="C31" s="44"/>
      <c r="D31" s="16"/>
      <c r="E31" s="16"/>
      <c r="F31" s="46"/>
      <c r="G31" s="47"/>
      <c r="H31" s="48"/>
      <c r="I31" s="49"/>
      <c r="J31" s="46"/>
      <c r="K31" s="16"/>
      <c r="L31" s="16"/>
      <c r="M31" s="42"/>
      <c r="N31" s="42"/>
      <c r="O31" s="46"/>
      <c r="P31" s="42"/>
      <c r="Q31" s="50">
        <f t="shared" si="0"/>
        <v>1</v>
      </c>
      <c r="R31" s="50">
        <f t="shared" si="1"/>
        <v>1</v>
      </c>
    </row>
    <row r="32" spans="1:18" ht="14.25" x14ac:dyDescent="0.2">
      <c r="A32" s="42">
        <v>29</v>
      </c>
      <c r="B32" s="43"/>
      <c r="C32" s="44"/>
      <c r="D32" s="16"/>
      <c r="E32" s="16"/>
      <c r="F32" s="46"/>
      <c r="G32" s="47"/>
      <c r="H32" s="48"/>
      <c r="I32" s="49"/>
      <c r="J32" s="46"/>
      <c r="K32" s="16"/>
      <c r="L32" s="16"/>
      <c r="M32" s="42"/>
      <c r="N32" s="42"/>
      <c r="O32" s="46"/>
      <c r="P32" s="42"/>
      <c r="Q32" s="50">
        <f t="shared" si="0"/>
        <v>1</v>
      </c>
      <c r="R32" s="50">
        <f t="shared" si="1"/>
        <v>1</v>
      </c>
    </row>
    <row r="33" spans="1:18" ht="14.25" x14ac:dyDescent="0.2">
      <c r="A33" s="42">
        <v>30</v>
      </c>
      <c r="B33" s="43"/>
      <c r="C33" s="44"/>
      <c r="D33" s="16"/>
      <c r="E33" s="16"/>
      <c r="F33" s="46"/>
      <c r="G33" s="47"/>
      <c r="H33" s="48"/>
      <c r="I33" s="49"/>
      <c r="J33" s="46"/>
      <c r="K33" s="16"/>
      <c r="L33" s="16"/>
      <c r="M33" s="42"/>
      <c r="N33" s="42"/>
      <c r="O33" s="46"/>
      <c r="P33" s="42"/>
      <c r="Q33" s="50">
        <f t="shared" si="0"/>
        <v>1</v>
      </c>
      <c r="R33" s="50">
        <f t="shared" si="1"/>
        <v>1</v>
      </c>
    </row>
    <row r="34" spans="1:18" ht="14.25" x14ac:dyDescent="0.2">
      <c r="A34" s="42">
        <v>31</v>
      </c>
      <c r="B34" s="43"/>
      <c r="C34" s="44"/>
      <c r="D34" s="16"/>
      <c r="E34" s="16"/>
      <c r="F34" s="46"/>
      <c r="G34" s="47"/>
      <c r="H34" s="48"/>
      <c r="I34" s="49"/>
      <c r="J34" s="46"/>
      <c r="K34" s="16"/>
      <c r="L34" s="16"/>
      <c r="M34" s="42"/>
      <c r="N34" s="42"/>
      <c r="O34" s="46"/>
      <c r="P34" s="42"/>
      <c r="Q34" s="50">
        <f t="shared" si="0"/>
        <v>1</v>
      </c>
      <c r="R34" s="50">
        <f t="shared" si="1"/>
        <v>1</v>
      </c>
    </row>
    <row r="35" spans="1:18" ht="14.25" x14ac:dyDescent="0.2">
      <c r="A35" s="42">
        <v>32</v>
      </c>
      <c r="B35" s="43"/>
      <c r="C35" s="44"/>
      <c r="D35" s="16"/>
      <c r="E35" s="16"/>
      <c r="F35" s="46"/>
      <c r="G35" s="47"/>
      <c r="H35" s="48"/>
      <c r="I35" s="49"/>
      <c r="J35" s="46"/>
      <c r="K35" s="16"/>
      <c r="L35" s="16"/>
      <c r="M35" s="42"/>
      <c r="N35" s="42"/>
      <c r="O35" s="46"/>
      <c r="P35" s="42"/>
      <c r="Q35" s="50">
        <f t="shared" si="0"/>
        <v>1</v>
      </c>
      <c r="R35" s="50">
        <f t="shared" si="1"/>
        <v>1</v>
      </c>
    </row>
    <row r="36" spans="1:18" ht="14.25" x14ac:dyDescent="0.2">
      <c r="A36" s="42">
        <v>33</v>
      </c>
      <c r="B36" s="43"/>
      <c r="C36" s="44"/>
      <c r="D36" s="16"/>
      <c r="E36" s="16"/>
      <c r="F36" s="46"/>
      <c r="G36" s="47"/>
      <c r="H36" s="48"/>
      <c r="I36" s="49"/>
      <c r="J36" s="46"/>
      <c r="K36" s="16"/>
      <c r="L36" s="16"/>
      <c r="M36" s="42"/>
      <c r="N36" s="42"/>
      <c r="O36" s="46"/>
      <c r="P36" s="42"/>
      <c r="Q36" s="50">
        <f t="shared" si="0"/>
        <v>1</v>
      </c>
      <c r="R36" s="50">
        <f t="shared" si="1"/>
        <v>1</v>
      </c>
    </row>
    <row r="37" spans="1:18" ht="14.25" x14ac:dyDescent="0.2">
      <c r="A37" s="42">
        <v>34</v>
      </c>
      <c r="B37" s="43"/>
      <c r="C37" s="44"/>
      <c r="D37" s="16"/>
      <c r="E37" s="16"/>
      <c r="F37" s="46"/>
      <c r="G37" s="47"/>
      <c r="H37" s="48"/>
      <c r="I37" s="49"/>
      <c r="J37" s="46"/>
      <c r="K37" s="16"/>
      <c r="L37" s="16"/>
      <c r="M37" s="42"/>
      <c r="N37" s="42"/>
      <c r="O37" s="46"/>
      <c r="P37" s="42"/>
      <c r="Q37" s="50">
        <f t="shared" si="0"/>
        <v>1</v>
      </c>
      <c r="R37" s="50">
        <f t="shared" si="1"/>
        <v>1</v>
      </c>
    </row>
    <row r="38" spans="1:18" ht="14.25" x14ac:dyDescent="0.2">
      <c r="A38" s="42">
        <v>35</v>
      </c>
      <c r="B38" s="43"/>
      <c r="C38" s="44"/>
      <c r="D38" s="16"/>
      <c r="E38" s="16"/>
      <c r="F38" s="46"/>
      <c r="G38" s="47"/>
      <c r="H38" s="48"/>
      <c r="I38" s="49"/>
      <c r="J38" s="46"/>
      <c r="K38" s="16"/>
      <c r="L38" s="16"/>
      <c r="M38" s="42"/>
      <c r="N38" s="42"/>
      <c r="O38" s="46"/>
      <c r="P38" s="42"/>
      <c r="Q38" s="50">
        <f t="shared" si="0"/>
        <v>1</v>
      </c>
      <c r="R38" s="50">
        <f t="shared" si="1"/>
        <v>1</v>
      </c>
    </row>
    <row r="39" spans="1:18" ht="14.25" x14ac:dyDescent="0.2">
      <c r="A39" s="42">
        <v>36</v>
      </c>
      <c r="B39" s="43"/>
      <c r="C39" s="44"/>
      <c r="D39" s="16"/>
      <c r="E39" s="16"/>
      <c r="F39" s="46"/>
      <c r="G39" s="47"/>
      <c r="H39" s="48"/>
      <c r="I39" s="49"/>
      <c r="J39" s="46"/>
      <c r="K39" s="16"/>
      <c r="L39" s="16"/>
      <c r="M39" s="42"/>
      <c r="N39" s="42"/>
      <c r="O39" s="46"/>
      <c r="P39" s="42"/>
      <c r="Q39" s="50">
        <f t="shared" si="0"/>
        <v>1</v>
      </c>
      <c r="R39" s="50">
        <f t="shared" si="1"/>
        <v>1</v>
      </c>
    </row>
    <row r="40" spans="1:18" ht="14.25" x14ac:dyDescent="0.2">
      <c r="A40" s="42">
        <v>37</v>
      </c>
      <c r="B40" s="43"/>
      <c r="C40" s="44"/>
      <c r="D40" s="16"/>
      <c r="E40" s="16"/>
      <c r="F40" s="46"/>
      <c r="G40" s="47"/>
      <c r="H40" s="48"/>
      <c r="I40" s="49"/>
      <c r="J40" s="46"/>
      <c r="K40" s="16"/>
      <c r="L40" s="16"/>
      <c r="M40" s="42"/>
      <c r="N40" s="42"/>
      <c r="O40" s="46"/>
      <c r="P40" s="42"/>
      <c r="Q40" s="50">
        <f t="shared" si="0"/>
        <v>1</v>
      </c>
      <c r="R40" s="50">
        <f t="shared" si="1"/>
        <v>1</v>
      </c>
    </row>
    <row r="41" spans="1:18" ht="14.25" x14ac:dyDescent="0.2">
      <c r="A41" s="42">
        <v>38</v>
      </c>
      <c r="B41" s="43"/>
      <c r="C41" s="44"/>
      <c r="D41" s="16"/>
      <c r="E41" s="16"/>
      <c r="F41" s="46"/>
      <c r="G41" s="47"/>
      <c r="H41" s="48"/>
      <c r="I41" s="49"/>
      <c r="J41" s="46"/>
      <c r="K41" s="16"/>
      <c r="L41" s="16"/>
      <c r="M41" s="42"/>
      <c r="N41" s="42"/>
      <c r="O41" s="46"/>
      <c r="P41" s="42"/>
      <c r="Q41" s="50">
        <f t="shared" si="0"/>
        <v>1</v>
      </c>
      <c r="R41" s="50">
        <f t="shared" si="1"/>
        <v>1</v>
      </c>
    </row>
    <row r="42" spans="1:18" ht="14.25" x14ac:dyDescent="0.2">
      <c r="A42" s="42">
        <v>39</v>
      </c>
      <c r="B42" s="43"/>
      <c r="C42" s="44"/>
      <c r="D42" s="16"/>
      <c r="E42" s="16"/>
      <c r="F42" s="46"/>
      <c r="G42" s="47"/>
      <c r="H42" s="48"/>
      <c r="I42" s="49"/>
      <c r="J42" s="46"/>
      <c r="K42" s="16"/>
      <c r="L42" s="16"/>
      <c r="M42" s="42"/>
      <c r="N42" s="42"/>
      <c r="O42" s="46"/>
      <c r="P42" s="42"/>
      <c r="Q42" s="50">
        <f t="shared" si="0"/>
        <v>1</v>
      </c>
      <c r="R42" s="50">
        <f t="shared" si="1"/>
        <v>1</v>
      </c>
    </row>
    <row r="43" spans="1:18" ht="14.25" x14ac:dyDescent="0.2">
      <c r="A43" s="42">
        <v>40</v>
      </c>
      <c r="B43" s="43"/>
      <c r="C43" s="44"/>
      <c r="D43" s="16"/>
      <c r="E43" s="16"/>
      <c r="F43" s="46"/>
      <c r="G43" s="47"/>
      <c r="H43" s="48"/>
      <c r="I43" s="49"/>
      <c r="J43" s="46"/>
      <c r="K43" s="16"/>
      <c r="L43" s="16"/>
      <c r="M43" s="42"/>
      <c r="N43" s="42"/>
      <c r="O43" s="46"/>
      <c r="P43" s="42"/>
      <c r="Q43" s="50">
        <f t="shared" si="0"/>
        <v>1</v>
      </c>
      <c r="R43" s="50">
        <f t="shared" si="1"/>
        <v>1</v>
      </c>
    </row>
    <row r="44" spans="1:18" ht="14.25" x14ac:dyDescent="0.2">
      <c r="A44" s="42">
        <v>41</v>
      </c>
      <c r="B44" s="43"/>
      <c r="C44" s="44"/>
      <c r="D44" s="16"/>
      <c r="E44" s="16"/>
      <c r="F44" s="46"/>
      <c r="G44" s="47"/>
      <c r="H44" s="48"/>
      <c r="I44" s="49"/>
      <c r="J44" s="46"/>
      <c r="K44" s="16"/>
      <c r="L44" s="16"/>
      <c r="M44" s="42"/>
      <c r="N44" s="42"/>
      <c r="O44" s="46"/>
      <c r="P44" s="42"/>
      <c r="Q44" s="50">
        <f t="shared" si="0"/>
        <v>1</v>
      </c>
      <c r="R44" s="50">
        <f t="shared" si="1"/>
        <v>1</v>
      </c>
    </row>
    <row r="45" spans="1:18" ht="14.25" x14ac:dyDescent="0.2">
      <c r="A45" s="42">
        <v>42</v>
      </c>
      <c r="B45" s="43"/>
      <c r="C45" s="44"/>
      <c r="D45" s="16"/>
      <c r="E45" s="16"/>
      <c r="F45" s="46"/>
      <c r="G45" s="47"/>
      <c r="H45" s="48"/>
      <c r="I45" s="49"/>
      <c r="J45" s="46"/>
      <c r="K45" s="16"/>
      <c r="L45" s="16"/>
      <c r="M45" s="42"/>
      <c r="N45" s="42"/>
      <c r="O45" s="46"/>
      <c r="P45" s="42"/>
      <c r="Q45" s="50">
        <f t="shared" si="0"/>
        <v>1</v>
      </c>
      <c r="R45" s="50">
        <f t="shared" si="1"/>
        <v>1</v>
      </c>
    </row>
    <row r="46" spans="1:18" ht="14.25" x14ac:dyDescent="0.2">
      <c r="A46" s="42">
        <v>43</v>
      </c>
      <c r="B46" s="43"/>
      <c r="C46" s="44"/>
      <c r="D46" s="16"/>
      <c r="E46" s="16"/>
      <c r="F46" s="46"/>
      <c r="G46" s="47"/>
      <c r="H46" s="48"/>
      <c r="I46" s="49"/>
      <c r="J46" s="46"/>
      <c r="K46" s="16"/>
      <c r="L46" s="16"/>
      <c r="M46" s="42"/>
      <c r="N46" s="42"/>
      <c r="O46" s="46"/>
      <c r="P46" s="42"/>
      <c r="Q46" s="50">
        <f t="shared" si="0"/>
        <v>1</v>
      </c>
      <c r="R46" s="50">
        <f t="shared" si="1"/>
        <v>1</v>
      </c>
    </row>
    <row r="47" spans="1:18" ht="14.25" x14ac:dyDescent="0.2">
      <c r="A47" s="42">
        <v>44</v>
      </c>
      <c r="B47" s="43"/>
      <c r="C47" s="44"/>
      <c r="D47" s="16"/>
      <c r="E47" s="16"/>
      <c r="F47" s="46"/>
      <c r="G47" s="47"/>
      <c r="H47" s="48"/>
      <c r="I47" s="49"/>
      <c r="J47" s="46"/>
      <c r="K47" s="16"/>
      <c r="L47" s="16"/>
      <c r="M47" s="42"/>
      <c r="N47" s="42"/>
      <c r="O47" s="46"/>
      <c r="P47" s="42"/>
      <c r="Q47" s="50">
        <f t="shared" si="0"/>
        <v>1</v>
      </c>
      <c r="R47" s="50">
        <f t="shared" si="1"/>
        <v>1</v>
      </c>
    </row>
    <row r="48" spans="1:18" ht="14.25" x14ac:dyDescent="0.2">
      <c r="A48" s="42">
        <v>45</v>
      </c>
      <c r="B48" s="43"/>
      <c r="C48" s="44"/>
      <c r="D48" s="16"/>
      <c r="E48" s="16"/>
      <c r="F48" s="46"/>
      <c r="G48" s="47"/>
      <c r="H48" s="48"/>
      <c r="I48" s="49"/>
      <c r="J48" s="46"/>
      <c r="K48" s="16"/>
      <c r="L48" s="16"/>
      <c r="M48" s="42"/>
      <c r="N48" s="42"/>
      <c r="O48" s="46"/>
      <c r="P48" s="42"/>
      <c r="Q48" s="50">
        <f t="shared" si="0"/>
        <v>1</v>
      </c>
      <c r="R48" s="50">
        <f t="shared" si="1"/>
        <v>1</v>
      </c>
    </row>
    <row r="49" spans="1:18" ht="14.25" x14ac:dyDescent="0.2">
      <c r="A49" s="42">
        <v>46</v>
      </c>
      <c r="B49" s="43"/>
      <c r="C49" s="44"/>
      <c r="D49" s="16"/>
      <c r="E49" s="16"/>
      <c r="F49" s="46"/>
      <c r="G49" s="47"/>
      <c r="H49" s="48"/>
      <c r="I49" s="49"/>
      <c r="J49" s="46"/>
      <c r="K49" s="16"/>
      <c r="L49" s="16"/>
      <c r="M49" s="42"/>
      <c r="N49" s="42"/>
      <c r="O49" s="46"/>
      <c r="P49" s="42"/>
      <c r="Q49" s="50">
        <f t="shared" si="0"/>
        <v>1</v>
      </c>
      <c r="R49" s="50">
        <f t="shared" si="1"/>
        <v>1</v>
      </c>
    </row>
    <row r="50" spans="1:18" ht="14.25" x14ac:dyDescent="0.2">
      <c r="A50" s="42">
        <v>47</v>
      </c>
      <c r="B50" s="43"/>
      <c r="C50" s="44"/>
      <c r="D50" s="16"/>
      <c r="E50" s="16"/>
      <c r="F50" s="46"/>
      <c r="G50" s="47"/>
      <c r="H50" s="48"/>
      <c r="I50" s="49"/>
      <c r="J50" s="46"/>
      <c r="K50" s="16"/>
      <c r="L50" s="16"/>
      <c r="M50" s="42"/>
      <c r="N50" s="42"/>
      <c r="O50" s="46"/>
      <c r="P50" s="42"/>
      <c r="Q50" s="50">
        <f t="shared" si="0"/>
        <v>1</v>
      </c>
      <c r="R50" s="50">
        <f t="shared" si="1"/>
        <v>1</v>
      </c>
    </row>
    <row r="51" spans="1:18" ht="14.25" x14ac:dyDescent="0.2">
      <c r="A51" s="42">
        <v>48</v>
      </c>
      <c r="B51" s="43"/>
      <c r="C51" s="44"/>
      <c r="D51" s="16"/>
      <c r="E51" s="16"/>
      <c r="F51" s="46"/>
      <c r="G51" s="47"/>
      <c r="H51" s="48"/>
      <c r="I51" s="49"/>
      <c r="J51" s="46"/>
      <c r="K51" s="16"/>
      <c r="L51" s="16"/>
      <c r="M51" s="42"/>
      <c r="N51" s="42"/>
      <c r="O51" s="46"/>
      <c r="P51" s="42"/>
      <c r="Q51" s="50">
        <f t="shared" si="0"/>
        <v>1</v>
      </c>
      <c r="R51" s="50">
        <f t="shared" si="1"/>
        <v>1</v>
      </c>
    </row>
    <row r="52" spans="1:18" ht="14.25" x14ac:dyDescent="0.2">
      <c r="A52" s="42">
        <v>49</v>
      </c>
      <c r="B52" s="43"/>
      <c r="C52" s="44"/>
      <c r="D52" s="16"/>
      <c r="E52" s="16"/>
      <c r="F52" s="46"/>
      <c r="G52" s="47"/>
      <c r="H52" s="48"/>
      <c r="I52" s="49"/>
      <c r="J52" s="46"/>
      <c r="K52" s="16"/>
      <c r="L52" s="16"/>
      <c r="M52" s="42"/>
      <c r="N52" s="42"/>
      <c r="O52" s="46"/>
      <c r="P52" s="42"/>
      <c r="Q52" s="50">
        <f t="shared" si="0"/>
        <v>1</v>
      </c>
      <c r="R52" s="50">
        <f t="shared" si="1"/>
        <v>1</v>
      </c>
    </row>
    <row r="53" spans="1:18" ht="14.25" x14ac:dyDescent="0.2">
      <c r="A53" s="42">
        <v>50</v>
      </c>
      <c r="B53" s="43"/>
      <c r="C53" s="44"/>
      <c r="D53" s="16"/>
      <c r="E53" s="16"/>
      <c r="F53" s="46"/>
      <c r="G53" s="47"/>
      <c r="H53" s="48"/>
      <c r="I53" s="49"/>
      <c r="J53" s="46"/>
      <c r="K53" s="16"/>
      <c r="L53" s="16"/>
      <c r="M53" s="42"/>
      <c r="N53" s="42"/>
      <c r="O53" s="46"/>
      <c r="P53" s="42"/>
      <c r="Q53" s="50">
        <f t="shared" si="0"/>
        <v>1</v>
      </c>
      <c r="R53" s="50">
        <f t="shared" si="1"/>
        <v>1</v>
      </c>
    </row>
    <row r="54" spans="1:18" ht="14.25" x14ac:dyDescent="0.2">
      <c r="A54" s="42">
        <v>51</v>
      </c>
      <c r="B54" s="43"/>
      <c r="C54" s="44"/>
      <c r="D54" s="16"/>
      <c r="E54" s="16"/>
      <c r="F54" s="46"/>
      <c r="G54" s="47"/>
      <c r="H54" s="48"/>
      <c r="I54" s="49"/>
      <c r="J54" s="46"/>
      <c r="K54" s="16"/>
      <c r="L54" s="16"/>
      <c r="M54" s="42"/>
      <c r="N54" s="42"/>
      <c r="O54" s="46"/>
      <c r="P54" s="42"/>
      <c r="Q54" s="50">
        <f t="shared" si="0"/>
        <v>1</v>
      </c>
      <c r="R54" s="50">
        <f t="shared" si="1"/>
        <v>1</v>
      </c>
    </row>
    <row r="55" spans="1:18" ht="14.25" x14ac:dyDescent="0.2">
      <c r="A55" s="42">
        <v>52</v>
      </c>
      <c r="B55" s="43"/>
      <c r="C55" s="44"/>
      <c r="D55" s="16"/>
      <c r="E55" s="16"/>
      <c r="F55" s="46"/>
      <c r="G55" s="47"/>
      <c r="H55" s="48"/>
      <c r="I55" s="49"/>
      <c r="J55" s="46"/>
      <c r="K55" s="16"/>
      <c r="L55" s="16"/>
      <c r="M55" s="42"/>
      <c r="N55" s="42"/>
      <c r="O55" s="46"/>
      <c r="P55" s="42"/>
      <c r="Q55" s="50">
        <f t="shared" si="0"/>
        <v>1</v>
      </c>
      <c r="R55" s="50">
        <f t="shared" si="1"/>
        <v>1</v>
      </c>
    </row>
    <row r="56" spans="1:18" ht="14.25" x14ac:dyDescent="0.2">
      <c r="A56" s="42">
        <v>53</v>
      </c>
      <c r="B56" s="43"/>
      <c r="C56" s="44"/>
      <c r="D56" s="16"/>
      <c r="E56" s="16"/>
      <c r="F56" s="46"/>
      <c r="G56" s="47"/>
      <c r="H56" s="48"/>
      <c r="I56" s="49"/>
      <c r="J56" s="46"/>
      <c r="K56" s="16"/>
      <c r="L56" s="16"/>
      <c r="M56" s="42"/>
      <c r="N56" s="42"/>
      <c r="O56" s="46"/>
      <c r="P56" s="42"/>
      <c r="Q56" s="50">
        <f t="shared" si="0"/>
        <v>1</v>
      </c>
      <c r="R56" s="50">
        <f t="shared" si="1"/>
        <v>1</v>
      </c>
    </row>
    <row r="57" spans="1:18" ht="14.25" x14ac:dyDescent="0.2">
      <c r="A57" s="42">
        <v>54</v>
      </c>
      <c r="B57" s="43"/>
      <c r="C57" s="44"/>
      <c r="D57" s="16"/>
      <c r="E57" s="16"/>
      <c r="F57" s="46"/>
      <c r="G57" s="47"/>
      <c r="H57" s="48"/>
      <c r="I57" s="49"/>
      <c r="J57" s="46"/>
      <c r="K57" s="16"/>
      <c r="L57" s="16"/>
      <c r="M57" s="42"/>
      <c r="N57" s="42"/>
      <c r="O57" s="46"/>
      <c r="P57" s="42"/>
      <c r="Q57" s="50">
        <f t="shared" si="0"/>
        <v>1</v>
      </c>
      <c r="R57" s="50">
        <f t="shared" si="1"/>
        <v>1</v>
      </c>
    </row>
    <row r="58" spans="1:18" ht="14.25" x14ac:dyDescent="0.2">
      <c r="A58" s="42">
        <v>55</v>
      </c>
      <c r="B58" s="43"/>
      <c r="C58" s="44"/>
      <c r="D58" s="16"/>
      <c r="E58" s="16"/>
      <c r="F58" s="46"/>
      <c r="G58" s="47"/>
      <c r="H58" s="48"/>
      <c r="I58" s="49"/>
      <c r="J58" s="46"/>
      <c r="K58" s="16"/>
      <c r="L58" s="16"/>
      <c r="M58" s="42"/>
      <c r="N58" s="42"/>
      <c r="O58" s="46"/>
      <c r="P58" s="42"/>
      <c r="Q58" s="50">
        <f t="shared" si="0"/>
        <v>1</v>
      </c>
      <c r="R58" s="50">
        <f t="shared" si="1"/>
        <v>1</v>
      </c>
    </row>
    <row r="59" spans="1:18" ht="14.25" x14ac:dyDescent="0.2">
      <c r="A59" s="42">
        <v>56</v>
      </c>
      <c r="B59" s="43"/>
      <c r="C59" s="44"/>
      <c r="D59" s="16"/>
      <c r="E59" s="16"/>
      <c r="F59" s="46"/>
      <c r="G59" s="47"/>
      <c r="H59" s="48"/>
      <c r="I59" s="49"/>
      <c r="J59" s="46"/>
      <c r="K59" s="16"/>
      <c r="L59" s="16"/>
      <c r="M59" s="42"/>
      <c r="N59" s="42"/>
      <c r="O59" s="46"/>
      <c r="P59" s="42"/>
      <c r="Q59" s="50">
        <f t="shared" si="0"/>
        <v>1</v>
      </c>
      <c r="R59" s="50">
        <f t="shared" si="1"/>
        <v>1</v>
      </c>
    </row>
    <row r="60" spans="1:18" ht="14.25" x14ac:dyDescent="0.2">
      <c r="A60" s="42">
        <v>57</v>
      </c>
      <c r="B60" s="43"/>
      <c r="C60" s="44"/>
      <c r="D60" s="16"/>
      <c r="E60" s="16"/>
      <c r="F60" s="46"/>
      <c r="G60" s="47"/>
      <c r="H60" s="48"/>
      <c r="I60" s="49"/>
      <c r="J60" s="46"/>
      <c r="K60" s="16"/>
      <c r="L60" s="16"/>
      <c r="M60" s="42"/>
      <c r="N60" s="42"/>
      <c r="O60" s="46"/>
      <c r="P60" s="42"/>
      <c r="Q60" s="50">
        <f t="shared" si="0"/>
        <v>1</v>
      </c>
      <c r="R60" s="50">
        <f t="shared" si="1"/>
        <v>1</v>
      </c>
    </row>
    <row r="61" spans="1:18" ht="14.25" x14ac:dyDescent="0.2">
      <c r="A61" s="42">
        <v>58</v>
      </c>
      <c r="B61" s="43"/>
      <c r="C61" s="44"/>
      <c r="D61" s="16"/>
      <c r="E61" s="16"/>
      <c r="F61" s="46"/>
      <c r="G61" s="47"/>
      <c r="H61" s="48"/>
      <c r="I61" s="49"/>
      <c r="J61" s="46"/>
      <c r="K61" s="16"/>
      <c r="L61" s="16"/>
      <c r="M61" s="42"/>
      <c r="N61" s="42"/>
      <c r="O61" s="46"/>
      <c r="P61" s="42"/>
      <c r="Q61" s="50">
        <f t="shared" si="0"/>
        <v>1</v>
      </c>
      <c r="R61" s="50">
        <f t="shared" si="1"/>
        <v>1</v>
      </c>
    </row>
    <row r="62" spans="1:18" ht="14.25" x14ac:dyDescent="0.2">
      <c r="A62" s="42">
        <v>59</v>
      </c>
      <c r="B62" s="43"/>
      <c r="C62" s="44"/>
      <c r="D62" s="16"/>
      <c r="E62" s="16"/>
      <c r="F62" s="46"/>
      <c r="G62" s="47"/>
      <c r="H62" s="48"/>
      <c r="I62" s="49"/>
      <c r="J62" s="46"/>
      <c r="K62" s="16"/>
      <c r="L62" s="16"/>
      <c r="M62" s="42"/>
      <c r="N62" s="42"/>
      <c r="O62" s="46"/>
      <c r="P62" s="42"/>
      <c r="Q62" s="50">
        <f t="shared" si="0"/>
        <v>1</v>
      </c>
      <c r="R62" s="50">
        <f t="shared" si="1"/>
        <v>1</v>
      </c>
    </row>
    <row r="63" spans="1:18" ht="14.25" x14ac:dyDescent="0.2">
      <c r="A63" s="42">
        <v>60</v>
      </c>
      <c r="B63" s="43"/>
      <c r="C63" s="44"/>
      <c r="D63" s="16"/>
      <c r="E63" s="16"/>
      <c r="F63" s="46"/>
      <c r="G63" s="47"/>
      <c r="H63" s="48"/>
      <c r="I63" s="49"/>
      <c r="J63" s="46"/>
      <c r="K63" s="16"/>
      <c r="L63" s="16"/>
      <c r="M63" s="42"/>
      <c r="N63" s="42"/>
      <c r="O63" s="46"/>
      <c r="P63" s="42"/>
      <c r="Q63" s="50">
        <f t="shared" si="0"/>
        <v>1</v>
      </c>
      <c r="R63" s="50">
        <f t="shared" si="1"/>
        <v>1</v>
      </c>
    </row>
    <row r="64" spans="1:18" ht="14.25" x14ac:dyDescent="0.2">
      <c r="A64" s="42">
        <v>61</v>
      </c>
      <c r="B64" s="43"/>
      <c r="C64" s="44"/>
      <c r="D64" s="16"/>
      <c r="E64" s="16"/>
      <c r="F64" s="46"/>
      <c r="G64" s="47"/>
      <c r="H64" s="48"/>
      <c r="I64" s="49"/>
      <c r="J64" s="46"/>
      <c r="K64" s="16"/>
      <c r="L64" s="16"/>
      <c r="M64" s="42"/>
      <c r="N64" s="42"/>
      <c r="O64" s="46"/>
      <c r="P64" s="42"/>
      <c r="Q64" s="50">
        <f t="shared" si="0"/>
        <v>1</v>
      </c>
      <c r="R64" s="50">
        <f t="shared" si="1"/>
        <v>1</v>
      </c>
    </row>
    <row r="65" spans="1:18" ht="14.25" x14ac:dyDescent="0.2">
      <c r="A65" s="42">
        <v>62</v>
      </c>
      <c r="B65" s="43"/>
      <c r="C65" s="44"/>
      <c r="D65" s="16"/>
      <c r="E65" s="16"/>
      <c r="F65" s="46"/>
      <c r="G65" s="47"/>
      <c r="H65" s="48"/>
      <c r="I65" s="49"/>
      <c r="J65" s="46"/>
      <c r="K65" s="16"/>
      <c r="L65" s="16"/>
      <c r="M65" s="42"/>
      <c r="N65" s="42"/>
      <c r="O65" s="46"/>
      <c r="P65" s="42"/>
      <c r="Q65" s="50">
        <f t="shared" si="0"/>
        <v>1</v>
      </c>
      <c r="R65" s="50">
        <f t="shared" si="1"/>
        <v>1</v>
      </c>
    </row>
    <row r="66" spans="1:18" ht="14.25" x14ac:dyDescent="0.2">
      <c r="A66" s="42">
        <v>63</v>
      </c>
      <c r="B66" s="43"/>
      <c r="C66" s="44"/>
      <c r="D66" s="16"/>
      <c r="E66" s="16"/>
      <c r="F66" s="46"/>
      <c r="G66" s="47"/>
      <c r="H66" s="48"/>
      <c r="I66" s="49"/>
      <c r="J66" s="46"/>
      <c r="K66" s="16"/>
      <c r="L66" s="16"/>
      <c r="M66" s="42"/>
      <c r="N66" s="42"/>
      <c r="O66" s="46"/>
      <c r="P66" s="42"/>
      <c r="Q66" s="50">
        <f t="shared" si="0"/>
        <v>1</v>
      </c>
      <c r="R66" s="50">
        <f t="shared" si="1"/>
        <v>1</v>
      </c>
    </row>
    <row r="67" spans="1:18" ht="14.25" x14ac:dyDescent="0.2">
      <c r="A67" s="42">
        <v>64</v>
      </c>
      <c r="B67" s="43"/>
      <c r="C67" s="44"/>
      <c r="D67" s="16"/>
      <c r="E67" s="16"/>
      <c r="F67" s="46"/>
      <c r="G67" s="47"/>
      <c r="H67" s="48"/>
      <c r="I67" s="49"/>
      <c r="J67" s="46"/>
      <c r="K67" s="16"/>
      <c r="L67" s="16"/>
      <c r="M67" s="42"/>
      <c r="N67" s="42"/>
      <c r="O67" s="46"/>
      <c r="P67" s="42"/>
      <c r="Q67" s="50">
        <f t="shared" si="0"/>
        <v>1</v>
      </c>
      <c r="R67" s="50">
        <f t="shared" si="1"/>
        <v>1</v>
      </c>
    </row>
    <row r="68" spans="1:18" ht="14.25" x14ac:dyDescent="0.2">
      <c r="A68" s="42">
        <v>65</v>
      </c>
      <c r="B68" s="43"/>
      <c r="C68" s="44"/>
      <c r="D68" s="16"/>
      <c r="E68" s="16"/>
      <c r="F68" s="46"/>
      <c r="G68" s="47"/>
      <c r="H68" s="48"/>
      <c r="I68" s="49"/>
      <c r="J68" s="46"/>
      <c r="K68" s="16"/>
      <c r="L68" s="16"/>
      <c r="M68" s="42"/>
      <c r="N68" s="42"/>
      <c r="O68" s="46"/>
      <c r="P68" s="42"/>
      <c r="Q68" s="50">
        <f t="shared" si="0"/>
        <v>1</v>
      </c>
      <c r="R68" s="50">
        <f t="shared" si="1"/>
        <v>1</v>
      </c>
    </row>
    <row r="69" spans="1:18" ht="14.25" x14ac:dyDescent="0.2">
      <c r="A69" s="42">
        <v>66</v>
      </c>
      <c r="B69" s="43"/>
      <c r="C69" s="44"/>
      <c r="D69" s="16"/>
      <c r="E69" s="16"/>
      <c r="F69" s="46"/>
      <c r="G69" s="47"/>
      <c r="H69" s="48"/>
      <c r="I69" s="49"/>
      <c r="J69" s="46"/>
      <c r="K69" s="16"/>
      <c r="L69" s="16"/>
      <c r="M69" s="42"/>
      <c r="N69" s="42"/>
      <c r="O69" s="46"/>
      <c r="P69" s="42"/>
      <c r="Q69" s="50">
        <f t="shared" ref="Q69:Q103" si="2">DAYS360(F69,J69,0)+1</f>
        <v>1</v>
      </c>
      <c r="R69" s="50">
        <f t="shared" ref="R69:R103" si="3">IFERROR((DAYS360(J69,O69,0)+1),1)</f>
        <v>1</v>
      </c>
    </row>
    <row r="70" spans="1:18" ht="14.25" x14ac:dyDescent="0.2">
      <c r="A70" s="42">
        <v>67</v>
      </c>
      <c r="B70" s="43"/>
      <c r="C70" s="44"/>
      <c r="D70" s="16"/>
      <c r="E70" s="16"/>
      <c r="F70" s="46"/>
      <c r="G70" s="47"/>
      <c r="H70" s="48"/>
      <c r="I70" s="49"/>
      <c r="J70" s="46"/>
      <c r="K70" s="16"/>
      <c r="L70" s="16"/>
      <c r="M70" s="42"/>
      <c r="N70" s="42"/>
      <c r="O70" s="46"/>
      <c r="P70" s="42"/>
      <c r="Q70" s="50">
        <f t="shared" si="2"/>
        <v>1</v>
      </c>
      <c r="R70" s="50">
        <f t="shared" si="3"/>
        <v>1</v>
      </c>
    </row>
    <row r="71" spans="1:18" ht="14.25" x14ac:dyDescent="0.2">
      <c r="A71" s="42">
        <v>68</v>
      </c>
      <c r="B71" s="43"/>
      <c r="C71" s="44"/>
      <c r="D71" s="16"/>
      <c r="E71" s="16"/>
      <c r="F71" s="46"/>
      <c r="G71" s="47"/>
      <c r="H71" s="48"/>
      <c r="I71" s="49"/>
      <c r="J71" s="46"/>
      <c r="K71" s="16"/>
      <c r="L71" s="16"/>
      <c r="M71" s="42"/>
      <c r="N71" s="42"/>
      <c r="O71" s="46"/>
      <c r="P71" s="42"/>
      <c r="Q71" s="50">
        <f t="shared" si="2"/>
        <v>1</v>
      </c>
      <c r="R71" s="50">
        <f t="shared" si="3"/>
        <v>1</v>
      </c>
    </row>
    <row r="72" spans="1:18" ht="14.25" x14ac:dyDescent="0.2">
      <c r="A72" s="42">
        <v>69</v>
      </c>
      <c r="B72" s="43"/>
      <c r="C72" s="44"/>
      <c r="D72" s="16"/>
      <c r="E72" s="16"/>
      <c r="F72" s="46"/>
      <c r="G72" s="47"/>
      <c r="H72" s="48"/>
      <c r="I72" s="49"/>
      <c r="J72" s="46"/>
      <c r="K72" s="16"/>
      <c r="L72" s="16"/>
      <c r="M72" s="42"/>
      <c r="N72" s="42"/>
      <c r="O72" s="46"/>
      <c r="P72" s="42"/>
      <c r="Q72" s="50">
        <f t="shared" si="2"/>
        <v>1</v>
      </c>
      <c r="R72" s="50">
        <f t="shared" si="3"/>
        <v>1</v>
      </c>
    </row>
    <row r="73" spans="1:18" ht="14.25" x14ac:dyDescent="0.2">
      <c r="A73" s="42">
        <v>70</v>
      </c>
      <c r="B73" s="43"/>
      <c r="C73" s="44"/>
      <c r="D73" s="16"/>
      <c r="E73" s="16"/>
      <c r="F73" s="46"/>
      <c r="G73" s="47"/>
      <c r="H73" s="48"/>
      <c r="I73" s="49"/>
      <c r="J73" s="46"/>
      <c r="K73" s="16"/>
      <c r="L73" s="16"/>
      <c r="M73" s="42"/>
      <c r="N73" s="42"/>
      <c r="O73" s="46"/>
      <c r="P73" s="42"/>
      <c r="Q73" s="50">
        <f t="shared" si="2"/>
        <v>1</v>
      </c>
      <c r="R73" s="50">
        <f t="shared" si="3"/>
        <v>1</v>
      </c>
    </row>
    <row r="74" spans="1:18" ht="14.25" x14ac:dyDescent="0.2">
      <c r="A74" s="42">
        <v>71</v>
      </c>
      <c r="B74" s="43"/>
      <c r="C74" s="44"/>
      <c r="D74" s="16"/>
      <c r="E74" s="16"/>
      <c r="F74" s="46"/>
      <c r="G74" s="47"/>
      <c r="H74" s="48"/>
      <c r="I74" s="49"/>
      <c r="J74" s="46"/>
      <c r="K74" s="16"/>
      <c r="L74" s="16"/>
      <c r="M74" s="42"/>
      <c r="N74" s="42"/>
      <c r="O74" s="46"/>
      <c r="P74" s="42"/>
      <c r="Q74" s="50">
        <f t="shared" si="2"/>
        <v>1</v>
      </c>
      <c r="R74" s="50">
        <f t="shared" si="3"/>
        <v>1</v>
      </c>
    </row>
    <row r="75" spans="1:18" ht="14.25" x14ac:dyDescent="0.2">
      <c r="A75" s="42">
        <v>72</v>
      </c>
      <c r="B75" s="43"/>
      <c r="C75" s="44"/>
      <c r="D75" s="16"/>
      <c r="E75" s="16"/>
      <c r="F75" s="46"/>
      <c r="G75" s="47"/>
      <c r="H75" s="48"/>
      <c r="I75" s="49"/>
      <c r="J75" s="46"/>
      <c r="K75" s="16"/>
      <c r="L75" s="16"/>
      <c r="M75" s="42"/>
      <c r="N75" s="42"/>
      <c r="O75" s="46"/>
      <c r="P75" s="42"/>
      <c r="Q75" s="50">
        <f t="shared" si="2"/>
        <v>1</v>
      </c>
      <c r="R75" s="50">
        <f t="shared" si="3"/>
        <v>1</v>
      </c>
    </row>
    <row r="76" spans="1:18" ht="14.25" x14ac:dyDescent="0.2">
      <c r="A76" s="42">
        <v>73</v>
      </c>
      <c r="B76" s="43"/>
      <c r="C76" s="44"/>
      <c r="D76" s="16"/>
      <c r="E76" s="16"/>
      <c r="F76" s="46"/>
      <c r="G76" s="47"/>
      <c r="H76" s="48"/>
      <c r="I76" s="49"/>
      <c r="J76" s="46"/>
      <c r="K76" s="16"/>
      <c r="L76" s="16"/>
      <c r="M76" s="42"/>
      <c r="N76" s="42"/>
      <c r="O76" s="46"/>
      <c r="P76" s="42"/>
      <c r="Q76" s="50">
        <f t="shared" si="2"/>
        <v>1</v>
      </c>
      <c r="R76" s="50">
        <f t="shared" si="3"/>
        <v>1</v>
      </c>
    </row>
    <row r="77" spans="1:18" ht="14.25" x14ac:dyDescent="0.2">
      <c r="A77" s="42">
        <v>74</v>
      </c>
      <c r="B77" s="43"/>
      <c r="C77" s="44"/>
      <c r="D77" s="16"/>
      <c r="E77" s="16"/>
      <c r="F77" s="46"/>
      <c r="G77" s="47"/>
      <c r="H77" s="48"/>
      <c r="I77" s="49"/>
      <c r="J77" s="46"/>
      <c r="K77" s="16"/>
      <c r="L77" s="16"/>
      <c r="M77" s="42"/>
      <c r="N77" s="42"/>
      <c r="O77" s="46"/>
      <c r="P77" s="42"/>
      <c r="Q77" s="50">
        <f t="shared" si="2"/>
        <v>1</v>
      </c>
      <c r="R77" s="50">
        <f t="shared" si="3"/>
        <v>1</v>
      </c>
    </row>
    <row r="78" spans="1:18" ht="14.25" x14ac:dyDescent="0.2">
      <c r="A78" s="42">
        <v>75</v>
      </c>
      <c r="B78" s="43"/>
      <c r="C78" s="44"/>
      <c r="D78" s="16"/>
      <c r="E78" s="16"/>
      <c r="F78" s="46"/>
      <c r="G78" s="47"/>
      <c r="H78" s="48"/>
      <c r="I78" s="49"/>
      <c r="J78" s="46"/>
      <c r="K78" s="16"/>
      <c r="L78" s="16"/>
      <c r="M78" s="42"/>
      <c r="N78" s="42"/>
      <c r="O78" s="46"/>
      <c r="P78" s="42"/>
      <c r="Q78" s="50">
        <f t="shared" si="2"/>
        <v>1</v>
      </c>
      <c r="R78" s="50">
        <f t="shared" si="3"/>
        <v>1</v>
      </c>
    </row>
    <row r="79" spans="1:18" ht="14.25" x14ac:dyDescent="0.2">
      <c r="A79" s="42">
        <v>76</v>
      </c>
      <c r="B79" s="43"/>
      <c r="C79" s="44"/>
      <c r="D79" s="16"/>
      <c r="E79" s="16"/>
      <c r="F79" s="46"/>
      <c r="G79" s="47"/>
      <c r="H79" s="48"/>
      <c r="I79" s="49"/>
      <c r="J79" s="46"/>
      <c r="K79" s="16"/>
      <c r="L79" s="16"/>
      <c r="M79" s="42"/>
      <c r="N79" s="42"/>
      <c r="O79" s="46"/>
      <c r="P79" s="42"/>
      <c r="Q79" s="50">
        <f t="shared" si="2"/>
        <v>1</v>
      </c>
      <c r="R79" s="50">
        <f t="shared" si="3"/>
        <v>1</v>
      </c>
    </row>
    <row r="80" spans="1:18" ht="14.25" x14ac:dyDescent="0.2">
      <c r="A80" s="42">
        <v>77</v>
      </c>
      <c r="B80" s="43"/>
      <c r="C80" s="44"/>
      <c r="D80" s="16"/>
      <c r="E80" s="16"/>
      <c r="F80" s="46"/>
      <c r="G80" s="47"/>
      <c r="H80" s="48"/>
      <c r="I80" s="49"/>
      <c r="J80" s="46"/>
      <c r="K80" s="16"/>
      <c r="L80" s="16"/>
      <c r="M80" s="42"/>
      <c r="N80" s="42"/>
      <c r="O80" s="46"/>
      <c r="P80" s="42"/>
      <c r="Q80" s="50">
        <f t="shared" si="2"/>
        <v>1</v>
      </c>
      <c r="R80" s="50">
        <f t="shared" si="3"/>
        <v>1</v>
      </c>
    </row>
    <row r="81" spans="1:18" ht="14.25" x14ac:dyDescent="0.2">
      <c r="A81" s="42">
        <v>78</v>
      </c>
      <c r="B81" s="43"/>
      <c r="C81" s="44"/>
      <c r="D81" s="16"/>
      <c r="E81" s="16"/>
      <c r="F81" s="46"/>
      <c r="G81" s="47"/>
      <c r="H81" s="48"/>
      <c r="I81" s="49"/>
      <c r="J81" s="46"/>
      <c r="K81" s="16"/>
      <c r="L81" s="16"/>
      <c r="M81" s="42"/>
      <c r="N81" s="42"/>
      <c r="O81" s="46"/>
      <c r="P81" s="42"/>
      <c r="Q81" s="50">
        <f t="shared" si="2"/>
        <v>1</v>
      </c>
      <c r="R81" s="50">
        <f t="shared" si="3"/>
        <v>1</v>
      </c>
    </row>
    <row r="82" spans="1:18" ht="14.25" x14ac:dyDescent="0.2">
      <c r="A82" s="42">
        <v>79</v>
      </c>
      <c r="B82" s="43"/>
      <c r="C82" s="44"/>
      <c r="D82" s="16"/>
      <c r="E82" s="16"/>
      <c r="F82" s="46"/>
      <c r="G82" s="47"/>
      <c r="H82" s="48"/>
      <c r="I82" s="49"/>
      <c r="J82" s="46"/>
      <c r="K82" s="16"/>
      <c r="L82" s="16"/>
      <c r="M82" s="42"/>
      <c r="N82" s="42"/>
      <c r="O82" s="46"/>
      <c r="P82" s="42"/>
      <c r="Q82" s="50">
        <f t="shared" si="2"/>
        <v>1</v>
      </c>
      <c r="R82" s="50">
        <f t="shared" si="3"/>
        <v>1</v>
      </c>
    </row>
    <row r="83" spans="1:18" ht="14.25" x14ac:dyDescent="0.2">
      <c r="A83" s="42">
        <v>80</v>
      </c>
      <c r="B83" s="43"/>
      <c r="C83" s="44"/>
      <c r="D83" s="16"/>
      <c r="E83" s="16"/>
      <c r="F83" s="46"/>
      <c r="G83" s="47"/>
      <c r="H83" s="48"/>
      <c r="I83" s="49"/>
      <c r="J83" s="46"/>
      <c r="K83" s="16"/>
      <c r="L83" s="16"/>
      <c r="M83" s="42"/>
      <c r="N83" s="42"/>
      <c r="O83" s="46"/>
      <c r="P83" s="42"/>
      <c r="Q83" s="50">
        <f t="shared" si="2"/>
        <v>1</v>
      </c>
      <c r="R83" s="50">
        <f t="shared" si="3"/>
        <v>1</v>
      </c>
    </row>
    <row r="84" spans="1:18" ht="14.25" x14ac:dyDescent="0.2">
      <c r="A84" s="42">
        <v>81</v>
      </c>
      <c r="B84" s="43"/>
      <c r="C84" s="44"/>
      <c r="D84" s="16"/>
      <c r="E84" s="16"/>
      <c r="F84" s="46"/>
      <c r="G84" s="47"/>
      <c r="H84" s="48"/>
      <c r="I84" s="49"/>
      <c r="J84" s="46"/>
      <c r="K84" s="16"/>
      <c r="L84" s="16"/>
      <c r="M84" s="42"/>
      <c r="N84" s="42"/>
      <c r="O84" s="46"/>
      <c r="P84" s="42"/>
      <c r="Q84" s="50">
        <f t="shared" si="2"/>
        <v>1</v>
      </c>
      <c r="R84" s="50">
        <f t="shared" si="3"/>
        <v>1</v>
      </c>
    </row>
    <row r="85" spans="1:18" ht="14.25" x14ac:dyDescent="0.2">
      <c r="A85" s="42">
        <v>82</v>
      </c>
      <c r="B85" s="43"/>
      <c r="C85" s="44"/>
      <c r="D85" s="16"/>
      <c r="E85" s="16"/>
      <c r="F85" s="46"/>
      <c r="G85" s="47"/>
      <c r="H85" s="48"/>
      <c r="I85" s="49"/>
      <c r="J85" s="46"/>
      <c r="K85" s="16"/>
      <c r="L85" s="16"/>
      <c r="M85" s="42"/>
      <c r="N85" s="42"/>
      <c r="O85" s="46"/>
      <c r="P85" s="42"/>
      <c r="Q85" s="50">
        <f t="shared" si="2"/>
        <v>1</v>
      </c>
      <c r="R85" s="50">
        <f t="shared" si="3"/>
        <v>1</v>
      </c>
    </row>
    <row r="86" spans="1:18" ht="14.25" x14ac:dyDescent="0.2">
      <c r="A86" s="42">
        <v>83</v>
      </c>
      <c r="B86" s="43"/>
      <c r="C86" s="44"/>
      <c r="D86" s="16"/>
      <c r="E86" s="16"/>
      <c r="F86" s="46"/>
      <c r="G86" s="47"/>
      <c r="H86" s="48"/>
      <c r="I86" s="49"/>
      <c r="J86" s="46"/>
      <c r="K86" s="16"/>
      <c r="L86" s="16"/>
      <c r="M86" s="42"/>
      <c r="N86" s="42"/>
      <c r="O86" s="46"/>
      <c r="P86" s="42"/>
      <c r="Q86" s="50">
        <f t="shared" si="2"/>
        <v>1</v>
      </c>
      <c r="R86" s="50">
        <f t="shared" si="3"/>
        <v>1</v>
      </c>
    </row>
    <row r="87" spans="1:18" ht="14.25" x14ac:dyDescent="0.2">
      <c r="A87" s="42">
        <v>84</v>
      </c>
      <c r="B87" s="43"/>
      <c r="C87" s="44"/>
      <c r="D87" s="16"/>
      <c r="E87" s="16"/>
      <c r="F87" s="46"/>
      <c r="G87" s="47"/>
      <c r="H87" s="48"/>
      <c r="I87" s="49"/>
      <c r="J87" s="46"/>
      <c r="K87" s="16"/>
      <c r="L87" s="16"/>
      <c r="M87" s="42"/>
      <c r="N87" s="42"/>
      <c r="O87" s="46"/>
      <c r="P87" s="42"/>
      <c r="Q87" s="50">
        <f t="shared" si="2"/>
        <v>1</v>
      </c>
      <c r="R87" s="50">
        <f t="shared" si="3"/>
        <v>1</v>
      </c>
    </row>
    <row r="88" spans="1:18" ht="14.25" x14ac:dyDescent="0.2">
      <c r="A88" s="42">
        <v>85</v>
      </c>
      <c r="B88" s="43"/>
      <c r="C88" s="44"/>
      <c r="D88" s="16"/>
      <c r="E88" s="16"/>
      <c r="F88" s="46"/>
      <c r="G88" s="47"/>
      <c r="H88" s="48"/>
      <c r="I88" s="49"/>
      <c r="J88" s="46"/>
      <c r="K88" s="16"/>
      <c r="L88" s="16"/>
      <c r="M88" s="42"/>
      <c r="N88" s="42"/>
      <c r="O88" s="46"/>
      <c r="P88" s="42"/>
      <c r="Q88" s="50">
        <f t="shared" si="2"/>
        <v>1</v>
      </c>
      <c r="R88" s="50">
        <f t="shared" si="3"/>
        <v>1</v>
      </c>
    </row>
    <row r="89" spans="1:18" ht="14.25" x14ac:dyDescent="0.2">
      <c r="A89" s="42">
        <v>86</v>
      </c>
      <c r="B89" s="43"/>
      <c r="C89" s="44"/>
      <c r="D89" s="16"/>
      <c r="E89" s="16"/>
      <c r="F89" s="46"/>
      <c r="G89" s="47"/>
      <c r="H89" s="48"/>
      <c r="I89" s="49"/>
      <c r="J89" s="46"/>
      <c r="K89" s="16"/>
      <c r="L89" s="16"/>
      <c r="M89" s="42"/>
      <c r="N89" s="42"/>
      <c r="O89" s="46"/>
      <c r="P89" s="42"/>
      <c r="Q89" s="50">
        <f t="shared" si="2"/>
        <v>1</v>
      </c>
      <c r="R89" s="50">
        <f t="shared" si="3"/>
        <v>1</v>
      </c>
    </row>
    <row r="90" spans="1:18" ht="14.25" x14ac:dyDescent="0.2">
      <c r="A90" s="42">
        <v>87</v>
      </c>
      <c r="B90" s="43"/>
      <c r="C90" s="44"/>
      <c r="D90" s="16"/>
      <c r="E90" s="16"/>
      <c r="F90" s="46"/>
      <c r="G90" s="47"/>
      <c r="H90" s="48"/>
      <c r="I90" s="49"/>
      <c r="J90" s="46"/>
      <c r="K90" s="16"/>
      <c r="L90" s="16"/>
      <c r="M90" s="42"/>
      <c r="N90" s="42"/>
      <c r="O90" s="46"/>
      <c r="P90" s="42"/>
      <c r="Q90" s="50">
        <f t="shared" si="2"/>
        <v>1</v>
      </c>
      <c r="R90" s="50">
        <f t="shared" si="3"/>
        <v>1</v>
      </c>
    </row>
    <row r="91" spans="1:18" ht="14.25" x14ac:dyDescent="0.2">
      <c r="A91" s="42">
        <v>88</v>
      </c>
      <c r="B91" s="43"/>
      <c r="C91" s="44"/>
      <c r="D91" s="16"/>
      <c r="E91" s="16"/>
      <c r="F91" s="46"/>
      <c r="G91" s="47"/>
      <c r="H91" s="48"/>
      <c r="I91" s="49"/>
      <c r="J91" s="46"/>
      <c r="K91" s="16"/>
      <c r="L91" s="16"/>
      <c r="M91" s="42"/>
      <c r="N91" s="42"/>
      <c r="O91" s="46"/>
      <c r="P91" s="42"/>
      <c r="Q91" s="50">
        <f t="shared" si="2"/>
        <v>1</v>
      </c>
      <c r="R91" s="50">
        <f t="shared" si="3"/>
        <v>1</v>
      </c>
    </row>
    <row r="92" spans="1:18" ht="14.25" x14ac:dyDescent="0.2">
      <c r="A92" s="42">
        <v>89</v>
      </c>
      <c r="B92" s="43"/>
      <c r="C92" s="44"/>
      <c r="D92" s="16"/>
      <c r="E92" s="16"/>
      <c r="F92" s="46"/>
      <c r="G92" s="47"/>
      <c r="H92" s="48"/>
      <c r="I92" s="49"/>
      <c r="J92" s="46"/>
      <c r="K92" s="16"/>
      <c r="L92" s="16"/>
      <c r="M92" s="42"/>
      <c r="N92" s="42"/>
      <c r="O92" s="46"/>
      <c r="P92" s="42"/>
      <c r="Q92" s="50">
        <f t="shared" si="2"/>
        <v>1</v>
      </c>
      <c r="R92" s="50">
        <f t="shared" si="3"/>
        <v>1</v>
      </c>
    </row>
    <row r="93" spans="1:18" ht="14.25" x14ac:dyDescent="0.2">
      <c r="A93" s="42">
        <v>90</v>
      </c>
      <c r="B93" s="43"/>
      <c r="C93" s="44"/>
      <c r="D93" s="16"/>
      <c r="E93" s="16"/>
      <c r="F93" s="46"/>
      <c r="G93" s="47"/>
      <c r="H93" s="48"/>
      <c r="I93" s="49"/>
      <c r="J93" s="46"/>
      <c r="K93" s="16"/>
      <c r="L93" s="16"/>
      <c r="M93" s="42"/>
      <c r="N93" s="42"/>
      <c r="O93" s="46"/>
      <c r="P93" s="42"/>
      <c r="Q93" s="50">
        <f t="shared" si="2"/>
        <v>1</v>
      </c>
      <c r="R93" s="50">
        <f t="shared" si="3"/>
        <v>1</v>
      </c>
    </row>
    <row r="94" spans="1:18" ht="14.25" x14ac:dyDescent="0.2">
      <c r="A94" s="42">
        <v>91</v>
      </c>
      <c r="B94" s="43"/>
      <c r="C94" s="44"/>
      <c r="D94" s="16"/>
      <c r="E94" s="16"/>
      <c r="F94" s="46"/>
      <c r="G94" s="47"/>
      <c r="H94" s="48"/>
      <c r="I94" s="49"/>
      <c r="J94" s="46"/>
      <c r="K94" s="16"/>
      <c r="L94" s="16"/>
      <c r="M94" s="42"/>
      <c r="N94" s="42"/>
      <c r="O94" s="46"/>
      <c r="P94" s="42"/>
      <c r="Q94" s="50">
        <f t="shared" si="2"/>
        <v>1</v>
      </c>
      <c r="R94" s="50">
        <f t="shared" si="3"/>
        <v>1</v>
      </c>
    </row>
    <row r="95" spans="1:18" ht="14.25" x14ac:dyDescent="0.2">
      <c r="A95" s="42">
        <v>92</v>
      </c>
      <c r="B95" s="43"/>
      <c r="C95" s="44"/>
      <c r="D95" s="16"/>
      <c r="E95" s="16"/>
      <c r="F95" s="46"/>
      <c r="G95" s="47"/>
      <c r="H95" s="48"/>
      <c r="I95" s="49"/>
      <c r="J95" s="46"/>
      <c r="K95" s="16"/>
      <c r="L95" s="16"/>
      <c r="M95" s="42"/>
      <c r="N95" s="42"/>
      <c r="O95" s="46"/>
      <c r="P95" s="42"/>
      <c r="Q95" s="50">
        <f t="shared" si="2"/>
        <v>1</v>
      </c>
      <c r="R95" s="50">
        <f t="shared" si="3"/>
        <v>1</v>
      </c>
    </row>
    <row r="96" spans="1:18" ht="14.25" x14ac:dyDescent="0.2">
      <c r="A96" s="42">
        <v>93</v>
      </c>
      <c r="B96" s="43"/>
      <c r="C96" s="44"/>
      <c r="D96" s="16"/>
      <c r="E96" s="16"/>
      <c r="F96" s="46"/>
      <c r="G96" s="47"/>
      <c r="H96" s="48"/>
      <c r="I96" s="49"/>
      <c r="J96" s="46"/>
      <c r="K96" s="16"/>
      <c r="L96" s="16"/>
      <c r="M96" s="42"/>
      <c r="N96" s="42"/>
      <c r="O96" s="46"/>
      <c r="P96" s="42"/>
      <c r="Q96" s="50">
        <f t="shared" si="2"/>
        <v>1</v>
      </c>
      <c r="R96" s="50">
        <f t="shared" si="3"/>
        <v>1</v>
      </c>
    </row>
    <row r="97" spans="1:19" ht="14.25" x14ac:dyDescent="0.2">
      <c r="A97" s="42">
        <v>94</v>
      </c>
      <c r="B97" s="43"/>
      <c r="C97" s="44"/>
      <c r="D97" s="16"/>
      <c r="E97" s="16"/>
      <c r="F97" s="46"/>
      <c r="G97" s="47"/>
      <c r="H97" s="48"/>
      <c r="I97" s="49"/>
      <c r="J97" s="46"/>
      <c r="K97" s="16"/>
      <c r="L97" s="16"/>
      <c r="M97" s="42"/>
      <c r="N97" s="42"/>
      <c r="O97" s="46"/>
      <c r="P97" s="42"/>
      <c r="Q97" s="50">
        <f t="shared" si="2"/>
        <v>1</v>
      </c>
      <c r="R97" s="50">
        <f t="shared" si="3"/>
        <v>1</v>
      </c>
    </row>
    <row r="98" spans="1:19" ht="14.25" x14ac:dyDescent="0.2">
      <c r="A98" s="42">
        <v>95</v>
      </c>
      <c r="B98" s="43"/>
      <c r="C98" s="44"/>
      <c r="D98" s="16"/>
      <c r="E98" s="16"/>
      <c r="F98" s="46"/>
      <c r="G98" s="47"/>
      <c r="H98" s="48"/>
      <c r="I98" s="49"/>
      <c r="J98" s="46"/>
      <c r="K98" s="16"/>
      <c r="L98" s="16"/>
      <c r="M98" s="42"/>
      <c r="N98" s="42"/>
      <c r="O98" s="46"/>
      <c r="P98" s="42"/>
      <c r="Q98" s="50">
        <f t="shared" si="2"/>
        <v>1</v>
      </c>
      <c r="R98" s="50">
        <f t="shared" si="3"/>
        <v>1</v>
      </c>
    </row>
    <row r="99" spans="1:19" ht="14.25" x14ac:dyDescent="0.2">
      <c r="A99" s="42">
        <v>96</v>
      </c>
      <c r="B99" s="43"/>
      <c r="C99" s="44"/>
      <c r="D99" s="16"/>
      <c r="E99" s="16"/>
      <c r="F99" s="46"/>
      <c r="G99" s="47"/>
      <c r="H99" s="48"/>
      <c r="I99" s="49"/>
      <c r="J99" s="46"/>
      <c r="K99" s="16"/>
      <c r="L99" s="16"/>
      <c r="M99" s="42"/>
      <c r="N99" s="42"/>
      <c r="O99" s="46"/>
      <c r="P99" s="42"/>
      <c r="Q99" s="50">
        <f t="shared" si="2"/>
        <v>1</v>
      </c>
      <c r="R99" s="50">
        <f t="shared" si="3"/>
        <v>1</v>
      </c>
    </row>
    <row r="100" spans="1:19" ht="14.25" x14ac:dyDescent="0.2">
      <c r="A100" s="42">
        <v>97</v>
      </c>
      <c r="B100" s="43"/>
      <c r="C100" s="44"/>
      <c r="D100" s="16"/>
      <c r="E100" s="16"/>
      <c r="F100" s="46"/>
      <c r="G100" s="47"/>
      <c r="H100" s="48"/>
      <c r="I100" s="49"/>
      <c r="J100" s="46"/>
      <c r="K100" s="16"/>
      <c r="L100" s="16"/>
      <c r="M100" s="42"/>
      <c r="N100" s="42"/>
      <c r="O100" s="46"/>
      <c r="P100" s="42"/>
      <c r="Q100" s="50">
        <f t="shared" si="2"/>
        <v>1</v>
      </c>
      <c r="R100" s="50">
        <f t="shared" si="3"/>
        <v>1</v>
      </c>
    </row>
    <row r="101" spans="1:19" ht="25.5" x14ac:dyDescent="0.2">
      <c r="A101" s="42">
        <v>98</v>
      </c>
      <c r="B101" s="43" t="s">
        <v>37</v>
      </c>
      <c r="C101" s="44"/>
      <c r="D101" s="16" t="s">
        <v>46</v>
      </c>
      <c r="E101" s="16"/>
      <c r="F101" s="46"/>
      <c r="G101" s="47"/>
      <c r="H101" s="48" t="s">
        <v>57</v>
      </c>
      <c r="I101" s="49" t="s">
        <v>84</v>
      </c>
      <c r="J101" s="46"/>
      <c r="K101" s="16"/>
      <c r="L101" s="16"/>
      <c r="M101" s="42"/>
      <c r="N101" s="42" t="s">
        <v>55</v>
      </c>
      <c r="O101" s="46"/>
      <c r="P101" s="42"/>
      <c r="Q101" s="50">
        <f t="shared" si="2"/>
        <v>1</v>
      </c>
      <c r="R101" s="50">
        <f t="shared" si="3"/>
        <v>1</v>
      </c>
    </row>
    <row r="102" spans="1:19" ht="14.25" x14ac:dyDescent="0.2">
      <c r="A102" s="42">
        <v>99</v>
      </c>
      <c r="B102" s="43" t="s">
        <v>53</v>
      </c>
      <c r="C102" s="44"/>
      <c r="D102" s="16" t="s">
        <v>50</v>
      </c>
      <c r="E102" s="16"/>
      <c r="F102" s="46"/>
      <c r="G102" s="47"/>
      <c r="H102" s="48" t="s">
        <v>57</v>
      </c>
      <c r="I102" s="49" t="s">
        <v>83</v>
      </c>
      <c r="J102" s="46"/>
      <c r="K102" s="16"/>
      <c r="L102" s="16"/>
      <c r="M102" s="42"/>
      <c r="N102" s="42" t="s">
        <v>59</v>
      </c>
      <c r="O102" s="46"/>
      <c r="P102" s="42"/>
      <c r="Q102" s="50">
        <f t="shared" si="2"/>
        <v>1</v>
      </c>
      <c r="R102" s="50">
        <f t="shared" si="3"/>
        <v>1</v>
      </c>
    </row>
    <row r="103" spans="1:19" ht="14.25" x14ac:dyDescent="0.2">
      <c r="A103" s="42">
        <v>100</v>
      </c>
      <c r="B103" s="51"/>
      <c r="C103" s="52"/>
      <c r="D103" s="53"/>
      <c r="E103" s="16"/>
      <c r="F103" s="46"/>
      <c r="G103" s="47"/>
      <c r="H103" s="48"/>
      <c r="I103" s="49"/>
      <c r="J103" s="46"/>
      <c r="K103" s="16"/>
      <c r="L103" s="16"/>
      <c r="M103" s="42"/>
      <c r="N103" s="42"/>
      <c r="O103" s="46"/>
      <c r="P103" s="42"/>
      <c r="Q103" s="50">
        <f t="shared" si="2"/>
        <v>1</v>
      </c>
      <c r="R103" s="50">
        <f t="shared" si="3"/>
        <v>1</v>
      </c>
    </row>
    <row r="104" spans="1:19" x14ac:dyDescent="0.2">
      <c r="B104" s="54" t="s">
        <v>85</v>
      </c>
    </row>
    <row r="105" spans="1:19" x14ac:dyDescent="0.2">
      <c r="B105" s="58"/>
    </row>
    <row r="106" spans="1:19" ht="16.5" thickBot="1" x14ac:dyDescent="0.3">
      <c r="C106" s="710" t="s">
        <v>86</v>
      </c>
      <c r="D106" s="710"/>
      <c r="E106" s="710"/>
      <c r="F106" s="710"/>
      <c r="G106" s="710"/>
      <c r="H106" s="710"/>
      <c r="I106" s="710"/>
      <c r="J106" s="710"/>
      <c r="M106" s="710" t="s">
        <v>86</v>
      </c>
      <c r="N106" s="710"/>
      <c r="O106" s="710"/>
      <c r="P106" s="710"/>
      <c r="Q106" s="710"/>
      <c r="R106" s="710"/>
    </row>
    <row r="107" spans="1:19" ht="16.5" thickBot="1" x14ac:dyDescent="0.3">
      <c r="C107" s="711" t="s">
        <v>87</v>
      </c>
      <c r="D107" s="712"/>
      <c r="E107" s="713" t="s">
        <v>3</v>
      </c>
      <c r="F107" s="714"/>
      <c r="G107" s="59" t="s">
        <v>88</v>
      </c>
      <c r="H107" s="60" t="s">
        <v>45</v>
      </c>
      <c r="I107" s="60" t="s">
        <v>46</v>
      </c>
      <c r="J107" s="61" t="s">
        <v>50</v>
      </c>
      <c r="M107" s="62" t="s">
        <v>89</v>
      </c>
      <c r="N107" s="63" t="s">
        <v>90</v>
      </c>
      <c r="O107" s="64" t="s">
        <v>45</v>
      </c>
      <c r="P107" s="65" t="s">
        <v>46</v>
      </c>
      <c r="Q107" s="66" t="s">
        <v>50</v>
      </c>
      <c r="R107" s="67" t="s">
        <v>91</v>
      </c>
      <c r="S107" s="68"/>
    </row>
    <row r="108" spans="1:19" ht="13.5" thickTop="1" x14ac:dyDescent="0.2">
      <c r="C108" s="69" t="s">
        <v>82</v>
      </c>
      <c r="D108" s="49">
        <f>COUNTIF($H$4:H104,"No Conformidad")</f>
        <v>4</v>
      </c>
      <c r="E108" s="70" t="s">
        <v>83</v>
      </c>
      <c r="F108" s="71">
        <f>COUNTIF($I$4:I104,"Si")</f>
        <v>5</v>
      </c>
      <c r="G108" s="72" t="s">
        <v>82</v>
      </c>
      <c r="H108" s="49">
        <f>COUNTIFS($H$4:H104,"No Conformidad",$D$4:D104,"Auditoria")</f>
        <v>4</v>
      </c>
      <c r="I108" s="49">
        <f>COUNTIFS($H$4:H104,"No Conformidad",$D$4:D104,"Especial")</f>
        <v>0</v>
      </c>
      <c r="J108" s="71">
        <f>COUNTIFS($H$4:H104,"No Conformidad",$D$4:D104,"Informes")</f>
        <v>0</v>
      </c>
      <c r="M108" s="73" t="s">
        <v>55</v>
      </c>
      <c r="N108" s="74">
        <f>COUNTIF($N$4:$N104,"Abierta")</f>
        <v>4</v>
      </c>
      <c r="O108" s="42">
        <f>COUNTIFS($N$4:$N104,"Abierta",$D$4:$D104,"Auditoria")</f>
        <v>3</v>
      </c>
      <c r="P108" s="42">
        <f>COUNTIFS($N$4:$N104,"Abierta",$D$4:$D104,"Especial")</f>
        <v>1</v>
      </c>
      <c r="Q108" s="75">
        <f>COUNTIFS($N$4:$N104,"Abierta",$D$4:$D104,"Informes")</f>
        <v>0</v>
      </c>
      <c r="R108" s="76">
        <f>SUM(O108:Q108)</f>
        <v>4</v>
      </c>
    </row>
    <row r="109" spans="1:19" ht="13.5" thickBot="1" x14ac:dyDescent="0.25">
      <c r="C109" s="77" t="s">
        <v>57</v>
      </c>
      <c r="D109" s="78">
        <f>COUNTIF($H$4:H104,"Recomendación")</f>
        <v>3</v>
      </c>
      <c r="E109" s="79" t="s">
        <v>84</v>
      </c>
      <c r="F109" s="80">
        <f>COUNTIF($I$4:I104,"No")</f>
        <v>2</v>
      </c>
      <c r="G109" s="81" t="s">
        <v>57</v>
      </c>
      <c r="H109" s="78">
        <f>COUNTIFS($H$4:H104,"Recomendación",$D$4:D104,"Auditoria")</f>
        <v>1</v>
      </c>
      <c r="I109" s="78">
        <f>COUNTIFS($H$4:H104,"Recomendación",$D$4:D104,"Especial")</f>
        <v>1</v>
      </c>
      <c r="J109" s="80">
        <f>COUNTIFS($H$4:H104,"Recomendación",$D$4:D104,"Informes")</f>
        <v>1</v>
      </c>
      <c r="M109" s="82" t="s">
        <v>59</v>
      </c>
      <c r="N109" s="83">
        <f>COUNTIF($N$4:$N104,"Cerrada")</f>
        <v>3</v>
      </c>
      <c r="O109" s="84">
        <f>COUNTIFS($N$4:$N104,"Cerrada",$D$4:$D104,"Auditoria")</f>
        <v>2</v>
      </c>
      <c r="P109" s="84">
        <f>COUNTIFS($N$4:$N104,"Cerrada",$D$4:$D104,"Especial")</f>
        <v>0</v>
      </c>
      <c r="Q109" s="85">
        <f>COUNTIFS($N$4:N104,"Cerrada",$D$4:D104,"Informes")</f>
        <v>1</v>
      </c>
      <c r="R109" s="86">
        <f>SUM(O109:Q109)</f>
        <v>3</v>
      </c>
    </row>
    <row r="110" spans="1:19" ht="14.25" thickTop="1" thickBot="1" x14ac:dyDescent="0.25">
      <c r="C110" s="87" t="s">
        <v>90</v>
      </c>
      <c r="D110" s="88">
        <f>SUM(D108:D109)</f>
        <v>7</v>
      </c>
      <c r="E110" s="89" t="s">
        <v>90</v>
      </c>
      <c r="F110" s="90">
        <f>SUM(F108:F109)</f>
        <v>7</v>
      </c>
      <c r="G110" s="91" t="s">
        <v>90</v>
      </c>
      <c r="H110" s="92">
        <f>SUM(H108:H109)</f>
        <v>5</v>
      </c>
      <c r="I110" s="93">
        <f>SUM(I108:I109)</f>
        <v>1</v>
      </c>
      <c r="J110" s="94">
        <f>SUM(J108:J109)</f>
        <v>1</v>
      </c>
      <c r="N110" s="95">
        <f>SUM(N108:N109)</f>
        <v>7</v>
      </c>
      <c r="R110" s="96">
        <f>SUM(R108:R109)</f>
        <v>7</v>
      </c>
    </row>
    <row r="111" spans="1:19" ht="11.25" customHeight="1" thickBot="1" x14ac:dyDescent="0.25">
      <c r="G111" s="97" t="s">
        <v>92</v>
      </c>
      <c r="H111" s="98">
        <f>SUM(H110:J110)</f>
        <v>7</v>
      </c>
      <c r="I111" s="99"/>
      <c r="J111" s="99"/>
      <c r="M111" s="100" t="s">
        <v>59</v>
      </c>
    </row>
    <row r="112" spans="1:19" ht="13.5" thickBot="1" x14ac:dyDescent="0.25">
      <c r="B112" s="31" t="s">
        <v>93</v>
      </c>
      <c r="F112" s="101"/>
      <c r="G112" s="102"/>
      <c r="H112" s="103"/>
      <c r="I112" s="99"/>
      <c r="J112" s="99"/>
      <c r="K112" s="99"/>
      <c r="M112" s="104" t="s">
        <v>94</v>
      </c>
      <c r="N112" s="105" t="s">
        <v>45</v>
      </c>
      <c r="O112" s="65" t="s">
        <v>46</v>
      </c>
      <c r="P112" s="66" t="s">
        <v>50</v>
      </c>
    </row>
    <row r="113" spans="2:20" ht="16.5" thickTop="1" thickBot="1" x14ac:dyDescent="0.3">
      <c r="B113" s="106" t="s">
        <v>95</v>
      </c>
      <c r="C113" s="107" t="str">
        <f>C1</f>
        <v>AÑO</v>
      </c>
      <c r="F113" s="101"/>
      <c r="M113" s="108" t="s">
        <v>96</v>
      </c>
      <c r="N113" s="109">
        <f>COUNTIFS($N$4:$N104,"Cerrada",$H$4:$H104,"No conformidad",$D$4:$D104,"Auditoria")</f>
        <v>2</v>
      </c>
      <c r="O113" s="42">
        <f>COUNTIFS($N$4:$N104,"Cerrada",$H$4:$H104,"No conformidad",$D$4:$D104,"Especial")</f>
        <v>0</v>
      </c>
      <c r="P113" s="42">
        <f>COUNTIFS($N$4:$N104,"Cerrada",$H$4:$H104,"No conformidad",$D$4:$D104,"Informes")</f>
        <v>0</v>
      </c>
    </row>
    <row r="114" spans="2:20" ht="14.25" customHeight="1" thickBot="1" x14ac:dyDescent="0.25">
      <c r="B114" s="705" t="s">
        <v>0</v>
      </c>
      <c r="C114" s="715" t="s">
        <v>97</v>
      </c>
      <c r="D114" s="715"/>
      <c r="E114" s="715"/>
      <c r="F114" s="716" t="s">
        <v>98</v>
      </c>
      <c r="H114" s="718" t="s">
        <v>99</v>
      </c>
      <c r="I114" s="719"/>
      <c r="J114" s="720" t="s">
        <v>100</v>
      </c>
      <c r="K114" s="721"/>
      <c r="M114" s="110" t="s">
        <v>101</v>
      </c>
      <c r="N114" s="111">
        <f>COUNTIFS($N$4:$N104,"Cerrada",$H$4:$H104,"Recomendación",$D$4:$D104,"Auditoria")</f>
        <v>0</v>
      </c>
      <c r="O114" s="78">
        <f>COUNTIFS($N$4:$N104,"Cerrada",$H$4:$H104,"Recomendación",$D$4:$D104,"Especial")</f>
        <v>0</v>
      </c>
      <c r="P114" s="78">
        <f>COUNTIFS($N$4:$N104,"Cerrada",$H$4:$H104,"Recomendación",$D$4:$D104,"Informes")</f>
        <v>1</v>
      </c>
    </row>
    <row r="115" spans="2:20" ht="22.5" customHeight="1" thickBot="1" x14ac:dyDescent="0.25">
      <c r="B115" s="706"/>
      <c r="C115" s="112" t="s">
        <v>45</v>
      </c>
      <c r="D115" s="112" t="s">
        <v>46</v>
      </c>
      <c r="E115" s="112" t="s">
        <v>50</v>
      </c>
      <c r="F115" s="717"/>
      <c r="H115" s="113" t="s">
        <v>82</v>
      </c>
      <c r="I115" s="114" t="s">
        <v>57</v>
      </c>
      <c r="J115" s="115" t="s">
        <v>83</v>
      </c>
      <c r="K115" s="116" t="s">
        <v>84</v>
      </c>
      <c r="M115" s="106" t="s">
        <v>90</v>
      </c>
      <c r="N115" s="117">
        <f>SUM(N113:N114)</f>
        <v>2</v>
      </c>
      <c r="O115" s="118">
        <f t="shared" ref="O115:P115" si="4">SUM(O113:O114)</f>
        <v>0</v>
      </c>
      <c r="P115" s="119">
        <f t="shared" si="4"/>
        <v>1</v>
      </c>
    </row>
    <row r="116" spans="2:20" ht="15.75" customHeight="1" thickTop="1" thickBot="1" x14ac:dyDescent="0.3">
      <c r="B116" s="120" t="s">
        <v>53</v>
      </c>
      <c r="C116" s="42">
        <f>COUNTIFS($D$4:$D104,"Auditoria",$B$4:$B104,$B116)</f>
        <v>1</v>
      </c>
      <c r="D116" s="42">
        <f>COUNTIFS($D$4:$D104,"Especial",$B$4:$B104,$B116)</f>
        <v>0</v>
      </c>
      <c r="E116" s="42">
        <f>COUNTIFS($D$4:$D104,"Especial",$B$4:$B104,$B116)</f>
        <v>0</v>
      </c>
      <c r="F116" s="42">
        <f>COUNTIF($B$4:B104,$B116)</f>
        <v>2</v>
      </c>
      <c r="H116" s="121">
        <f>COUNTIFS($H$4:$H104,"No Conformidad",$B$4:$B104,$B116)</f>
        <v>1</v>
      </c>
      <c r="I116" s="42">
        <f>COUNTIFS($H$4:$H104,"Recomendación",$B$4:$B104,$B116)</f>
        <v>1</v>
      </c>
      <c r="J116" s="42">
        <f>COUNTIFS($I$4:I104,"Si",$B$4:B104,$B116)</f>
        <v>1</v>
      </c>
      <c r="K116" s="75">
        <f>COUNTIFS($I$4:I104,"No",$B$4:B104,$B116)</f>
        <v>1</v>
      </c>
      <c r="M116" s="106" t="s">
        <v>92</v>
      </c>
      <c r="N116" s="122">
        <f>SUM(N115:P115)</f>
        <v>3</v>
      </c>
    </row>
    <row r="117" spans="2:20" ht="45.75" thickBot="1" x14ac:dyDescent="0.3">
      <c r="B117" s="123" t="s">
        <v>36</v>
      </c>
      <c r="C117" s="42">
        <f>COUNTIFS($D$4:$D104,"Auditoria",$B$4:$B104,$B117)</f>
        <v>0</v>
      </c>
      <c r="D117" s="42">
        <f>COUNTIFS($D$4:$D104,"Especial",$B$4:$B104,$B117)</f>
        <v>0</v>
      </c>
      <c r="E117" s="42">
        <f>COUNTIFS($D$4:$D104,"Especial",$B$4:$B104,$B117)</f>
        <v>0</v>
      </c>
      <c r="F117" s="42">
        <f>COUNTIF($B$4:B104,$B117)</f>
        <v>0</v>
      </c>
      <c r="H117" s="124">
        <f>COUNTIFS($H$4:$H104,"No Conformidad",$B$4:$B104,$B117)</f>
        <v>0</v>
      </c>
      <c r="I117" s="49">
        <f>COUNTIFS($H$4:$H104,"Recomendación",$B$4:$B104,$B117)</f>
        <v>0</v>
      </c>
      <c r="J117" s="49">
        <f>COUNTIFS($I$4:$I104,"Si",$B$4:$B104,$B117)</f>
        <v>0</v>
      </c>
      <c r="K117" s="71">
        <f>COUNTIFS($I$4:$I104,"No",$B$4:$B104,$B117)</f>
        <v>0</v>
      </c>
      <c r="T117" s="32"/>
    </row>
    <row r="118" spans="2:20" ht="15.75" thickBot="1" x14ac:dyDescent="0.3">
      <c r="B118" s="125" t="s">
        <v>10</v>
      </c>
      <c r="C118" s="42">
        <f>COUNTIFS($D$4:$D104,"Auditoria",$B$4:$B104,$B118)</f>
        <v>0</v>
      </c>
      <c r="D118" s="42">
        <f>COUNTIFS($D$4:$D104,"Especial",$B$4:$B104,$B118)</f>
        <v>0</v>
      </c>
      <c r="E118" s="42">
        <f>COUNTIFS($D$4:$D104,"Especial",$B$4:$B104,$B118)</f>
        <v>0</v>
      </c>
      <c r="F118" s="42">
        <f>COUNTIF($B$4:B104,$B118)</f>
        <v>0</v>
      </c>
      <c r="H118" s="124">
        <f>COUNTIFS($H$4:$H104,"No Conformidad",$B$4:$B104,$B118)</f>
        <v>0</v>
      </c>
      <c r="I118" s="49">
        <f>COUNTIFS($H$4:$H104,"Recomendación",$B$4:$B104,$B118)</f>
        <v>0</v>
      </c>
      <c r="J118" s="49">
        <f>COUNTIFS($I$4:$I104,"Si",$B$4:$B104,$B118)</f>
        <v>0</v>
      </c>
      <c r="K118" s="71">
        <f>COUNTIFS($I$4:$I104,"No",$B$4:$B104,$B118)</f>
        <v>0</v>
      </c>
      <c r="M118" s="126" t="s">
        <v>55</v>
      </c>
    </row>
    <row r="119" spans="2:20" ht="15.75" thickBot="1" x14ac:dyDescent="0.3">
      <c r="B119" s="125" t="s">
        <v>2</v>
      </c>
      <c r="C119" s="42">
        <f>COUNTIFS($D$4:$D104,"Auditoria",$B$4:$B104,$B119)</f>
        <v>0</v>
      </c>
      <c r="D119" s="42">
        <f>COUNTIFS($D$4:$D104,"Especial",$B$4:$B104,$B119)</f>
        <v>0</v>
      </c>
      <c r="E119" s="42">
        <f>COUNTIFS($D$4:$D104,"Especial",$B$4:$B104,$B119)</f>
        <v>0</v>
      </c>
      <c r="F119" s="42">
        <f>COUNTIF($B$4:B104,$B119)</f>
        <v>0</v>
      </c>
      <c r="H119" s="124">
        <f>COUNTIFS($H$4:$H104,"No Conformidad",$B$4:$B104,$B119)</f>
        <v>0</v>
      </c>
      <c r="I119" s="49">
        <f>COUNTIFS($H$4:$H104,"Recomendación",$B$4:$B104,$B119)</f>
        <v>0</v>
      </c>
      <c r="J119" s="49">
        <f>COUNTIFS($I$4:$I104,"Si",$B$4:$B104,$B119)</f>
        <v>0</v>
      </c>
      <c r="K119" s="71">
        <f>COUNTIFS($I$4:$I104,"No",$B$4:$B104,$B119)</f>
        <v>0</v>
      </c>
      <c r="M119" s="127" t="s">
        <v>102</v>
      </c>
      <c r="N119" s="128" t="s">
        <v>45</v>
      </c>
      <c r="O119" s="65" t="s">
        <v>46</v>
      </c>
      <c r="P119" s="66" t="s">
        <v>50</v>
      </c>
    </row>
    <row r="120" spans="2:20" ht="15.75" thickTop="1" x14ac:dyDescent="0.25">
      <c r="B120" s="125" t="s">
        <v>37</v>
      </c>
      <c r="C120" s="42">
        <f>COUNTIFS($D$4:$D104,"Auditoria",$B$4:$B104,$B120)</f>
        <v>2</v>
      </c>
      <c r="D120" s="42">
        <f>COUNTIFS($D$4:$D104,"Especial",$B$4:$B104,$B120)</f>
        <v>1</v>
      </c>
      <c r="E120" s="42">
        <f>COUNTIFS($D$4:$D104,"Especial",$B$4:$B104,$B120)</f>
        <v>1</v>
      </c>
      <c r="F120" s="42">
        <f>COUNTIF($B$4:B104,$B120)</f>
        <v>3</v>
      </c>
      <c r="H120" s="124">
        <f>COUNTIFS($H$4:$H104,"No Conformidad",$B$4:$B104,$B120)</f>
        <v>1</v>
      </c>
      <c r="I120" s="49">
        <f>COUNTIFS($H$4:$H104,"Recomendación",$B$4:$B104,$B120)</f>
        <v>2</v>
      </c>
      <c r="J120" s="49">
        <f>COUNTIFS($I$4:$I104,"Si",$B$4:$B104,$B120)</f>
        <v>2</v>
      </c>
      <c r="K120" s="71">
        <f>COUNTIFS($I$4:$I104,"No",$B$4:$B104,$B120)</f>
        <v>1</v>
      </c>
      <c r="M120" s="129" t="s">
        <v>103</v>
      </c>
      <c r="N120" s="121">
        <f>COUNTIFS($N$4:$N104,"Abierta",$H$4:$H104,"No conformidad",$D$4:$D104,"Auditoria")</f>
        <v>2</v>
      </c>
      <c r="O120" s="42">
        <f>COUNTIFS($N$4:$N104,"Abierta",$H$4:$H104,"No conformidad",$D$4:$D104,"Especial")</f>
        <v>0</v>
      </c>
      <c r="P120" s="75">
        <f>COUNTIFS($N$4:$N104,"Abierta",$H$4:$H104,"No conformidad",$D$4:$D104,"Informes")</f>
        <v>0</v>
      </c>
    </row>
    <row r="121" spans="2:20" ht="15.75" thickBot="1" x14ac:dyDescent="0.3">
      <c r="B121" s="125" t="s">
        <v>38</v>
      </c>
      <c r="C121" s="42">
        <f>COUNTIFS($D$4:$D104,"Auditoria",$B$4:$B104,$B121)</f>
        <v>1</v>
      </c>
      <c r="D121" s="42">
        <f>COUNTIFS($D$4:$D104,"Especial",$B$4:$B104,$B121)</f>
        <v>0</v>
      </c>
      <c r="E121" s="42">
        <f>COUNTIFS($D$4:$D104,"Especial",$B$4:$B104,$B121)</f>
        <v>0</v>
      </c>
      <c r="F121" s="42">
        <f>COUNTIF($B$4:B104,$B121)</f>
        <v>1</v>
      </c>
      <c r="H121" s="124">
        <f>COUNTIFS($H$4:$H104,"No Conformidad",$B$4:$B104,$B121)</f>
        <v>1</v>
      </c>
      <c r="I121" s="49">
        <f>COUNTIFS($H$4:$H104,"Recomendación",$B$4:$B104,$B121)</f>
        <v>0</v>
      </c>
      <c r="J121" s="49">
        <f>COUNTIFS($I$4:$I104,"Si",$B$4:$B104,$B121)</f>
        <v>1</v>
      </c>
      <c r="K121" s="71">
        <f>COUNTIFS($I$4:$I104,"No",$B$4:$B104,$B121)</f>
        <v>0</v>
      </c>
      <c r="M121" s="130" t="s">
        <v>104</v>
      </c>
      <c r="N121" s="131">
        <f>COUNTIFS($N$4:$N104,"Abierta",$H$4:$H104,"Recomendación",$D$4:$D104,"Auditoria")</f>
        <v>1</v>
      </c>
      <c r="O121" s="78">
        <f>COUNTIFS($N$4:$N104,"Abierta",$H$4:$H104,"Recomendación",$D$4:$D104,"Especial")</f>
        <v>1</v>
      </c>
      <c r="P121" s="80">
        <f>COUNTIFS($N$4:$N104,"Abierta",$H$4:$H104,"Recomendación",$D$4:$D104,"Informes")</f>
        <v>0</v>
      </c>
    </row>
    <row r="122" spans="2:20" ht="15.75" thickBot="1" x14ac:dyDescent="0.3">
      <c r="B122" s="125" t="s">
        <v>25</v>
      </c>
      <c r="C122" s="42">
        <f>COUNTIFS($D$4:$D104,"Auditoria",$B$4:$B104,$B122)</f>
        <v>1</v>
      </c>
      <c r="D122" s="42">
        <f>COUNTIFS($D$4:$D104,"Especial",$B$4:$B104,$B122)</f>
        <v>0</v>
      </c>
      <c r="E122" s="42">
        <f>COUNTIFS($D$4:$D104,"Especial",$B$4:$B104,$B122)</f>
        <v>0</v>
      </c>
      <c r="F122" s="42">
        <f>COUNTIF($B$4:B104,$B122)</f>
        <v>1</v>
      </c>
      <c r="H122" s="124">
        <f>COUNTIFS($H$4:$H104,"No Conformidad",$B$4:$B104,$B122)</f>
        <v>1</v>
      </c>
      <c r="I122" s="49">
        <f>COUNTIFS($H$4:$H104,"Recomendación",$B$4:$B104,$B122)</f>
        <v>0</v>
      </c>
      <c r="J122" s="49">
        <f>COUNTIFS($I$4:$I104,"Si",$B$4:$B104,$B122)</f>
        <v>1</v>
      </c>
      <c r="K122" s="71">
        <f>COUNTIFS($I$4:$I104,"No",$B$4:$B104,$B122)</f>
        <v>0</v>
      </c>
      <c r="M122" s="106" t="s">
        <v>90</v>
      </c>
      <c r="N122" s="132">
        <f>SUM(N120:N121)</f>
        <v>3</v>
      </c>
      <c r="O122" s="84">
        <f t="shared" ref="O122:P122" si="5">SUM(O120:O121)</f>
        <v>1</v>
      </c>
      <c r="P122" s="85">
        <f t="shared" si="5"/>
        <v>0</v>
      </c>
    </row>
    <row r="123" spans="2:20" ht="15.75" thickBot="1" x14ac:dyDescent="0.3">
      <c r="B123" s="125" t="s">
        <v>65</v>
      </c>
      <c r="C123" s="42">
        <f>COUNTIFS($D$4:$D104,"Auditoria",$B$4:$B104,$B123)</f>
        <v>0</v>
      </c>
      <c r="D123" s="42">
        <f>COUNTIFS($D$4:$D104,"Especial",$B$4:$B104,$B123)</f>
        <v>0</v>
      </c>
      <c r="E123" s="42">
        <f>COUNTIFS($D$4:$D104,"Especial",$B$4:$B104,$B123)</f>
        <v>0</v>
      </c>
      <c r="F123" s="42">
        <f>COUNTIF($B$4:B104,$B123)</f>
        <v>0</v>
      </c>
      <c r="H123" s="124">
        <f>COUNTIFS($H$4:$H104,"No Conformidad",$B$4:$B104,$B123)</f>
        <v>0</v>
      </c>
      <c r="I123" s="49">
        <f>COUNTIFS($H$4:$H104,"Recomendación",$B$4:$B104,$B123)</f>
        <v>0</v>
      </c>
      <c r="J123" s="49">
        <f>COUNTIFS($I$4:$I104,"Si",$B$4:$B104,$B123)</f>
        <v>0</v>
      </c>
      <c r="K123" s="71">
        <f>COUNTIFS($I$4:$I104,"No",$B$4:$B104,$B123)</f>
        <v>0</v>
      </c>
      <c r="M123" s="106" t="s">
        <v>92</v>
      </c>
      <c r="N123" s="133">
        <f>SUM(N122:P122)</f>
        <v>4</v>
      </c>
    </row>
    <row r="124" spans="2:20" ht="30" x14ac:dyDescent="0.25">
      <c r="B124" s="123" t="s">
        <v>66</v>
      </c>
      <c r="C124" s="42">
        <f>COUNTIFS($D$4:$D104,"Auditoria",$B$4:$B104,$B124)</f>
        <v>0</v>
      </c>
      <c r="D124" s="42">
        <f>COUNTIFS($D$4:$D104,"Especial",$B$4:$B104,$B124)</f>
        <v>0</v>
      </c>
      <c r="E124" s="42">
        <f>COUNTIFS($D$4:$D104,"Especial",$B$4:$B104,$B124)</f>
        <v>0</v>
      </c>
      <c r="F124" s="42">
        <f>COUNTIF($B$4:B104,$B124)</f>
        <v>0</v>
      </c>
      <c r="H124" s="124">
        <f>COUNTIFS($H$4:$H104,"No Conformidad",$B$4:$B104,$B124)</f>
        <v>0</v>
      </c>
      <c r="I124" s="49">
        <f>COUNTIFS($H$4:$H104,"Recomendación",$B$4:$B104,$B124)</f>
        <v>0</v>
      </c>
      <c r="J124" s="49">
        <f>COUNTIFS($I$4:$I104,"Si",$B$4:$B104,$B124)</f>
        <v>0</v>
      </c>
      <c r="K124" s="71">
        <f>COUNTIFS($I$4:$I104,"No",$B$4:$B104,$B124)</f>
        <v>0</v>
      </c>
      <c r="L124" s="99"/>
    </row>
    <row r="125" spans="2:20" ht="15" x14ac:dyDescent="0.25">
      <c r="B125" s="125" t="s">
        <v>67</v>
      </c>
      <c r="C125" s="42">
        <f>COUNTIFS($D$4:$D104,"Auditoria",$B$4:$B104,$B125)</f>
        <v>0</v>
      </c>
      <c r="D125" s="42">
        <f>COUNTIFS($D$4:$D104,"Especial",$B$4:$B104,$B125)</f>
        <v>0</v>
      </c>
      <c r="E125" s="42">
        <f>COUNTIFS($D$4:$D104,"Especial",$B$4:$B104,$B125)</f>
        <v>0</v>
      </c>
      <c r="F125" s="42">
        <f>COUNTIF($B$4:B104,$B125)</f>
        <v>0</v>
      </c>
      <c r="H125" s="124">
        <f>COUNTIFS($H$4:$H104,"No Conformidad",$B$4:$B104,$B125)</f>
        <v>0</v>
      </c>
      <c r="I125" s="49">
        <f>COUNTIFS($H$4:$H104,"Recomendación",$B$4:$B104,$B125)</f>
        <v>0</v>
      </c>
      <c r="J125" s="49">
        <f>COUNTIFS($I$4:$I104,"Si",$B$4:$B104,$B125)</f>
        <v>0</v>
      </c>
      <c r="K125" s="71">
        <f>COUNTIFS($I$4:$I104,"No",$B$4:$B104,$B125)</f>
        <v>0</v>
      </c>
      <c r="L125" s="99"/>
    </row>
    <row r="126" spans="2:20" ht="15" x14ac:dyDescent="0.25">
      <c r="B126" s="125" t="s">
        <v>68</v>
      </c>
      <c r="C126" s="42">
        <f>COUNTIFS($D$4:$D104,"Auditoria",$B$4:$B104,$B126)</f>
        <v>0</v>
      </c>
      <c r="D126" s="42">
        <f>COUNTIFS($D$4:$D104,"Especial",$B$4:$B104,$B126)</f>
        <v>0</v>
      </c>
      <c r="E126" s="42">
        <f>COUNTIFS($D$4:$D104,"Especial",$B$4:$B104,$B126)</f>
        <v>0</v>
      </c>
      <c r="F126" s="42">
        <f>COUNTIF($B$4:B104,$B126)</f>
        <v>0</v>
      </c>
      <c r="H126" s="124">
        <f>COUNTIFS($H$4:$H104,"No Conformidad",$B$4:$B104,$B126)</f>
        <v>0</v>
      </c>
      <c r="I126" s="49">
        <f>COUNTIFS($H$4:$H104,"Recomendación",$B$4:$B104,$B126)</f>
        <v>0</v>
      </c>
      <c r="J126" s="49">
        <f>COUNTIFS($I$4:$I104,"Si",$B$4:$B104,$B126)</f>
        <v>0</v>
      </c>
      <c r="K126" s="71">
        <f>COUNTIFS($I$4:$I104,"No",$B$4:$B104,$B126)</f>
        <v>0</v>
      </c>
      <c r="L126" s="99"/>
    </row>
    <row r="127" spans="2:20" ht="15.75" thickBot="1" x14ac:dyDescent="0.3">
      <c r="B127" s="134" t="s">
        <v>69</v>
      </c>
      <c r="C127" s="42">
        <f>COUNTIFS($D$4:$D104,"Auditoria",$B$4:$B104,$B127)</f>
        <v>0</v>
      </c>
      <c r="D127" s="42">
        <f>COUNTIFS($D$4:$D104,"Especial",$B$4:$B104,$B127)</f>
        <v>0</v>
      </c>
      <c r="E127" s="42">
        <f>COUNTIFS($D$4:$D104,"Especial",$B$4:$B104,$B127)</f>
        <v>0</v>
      </c>
      <c r="F127" s="42">
        <f>COUNTIF($B$4:B104,$B127)</f>
        <v>0</v>
      </c>
      <c r="H127" s="131">
        <f>COUNTIFS($H$4:$H104,"No Conformidad",$B$4:$B104,$B127)</f>
        <v>0</v>
      </c>
      <c r="I127" s="78">
        <f>COUNTIFS($H$4:$H104,"Recomendación",$B$4:$B104,$B127)</f>
        <v>0</v>
      </c>
      <c r="J127" s="78">
        <f>COUNTIFS($I$4:$I104,"Si",$B$4:$B104,$B127)</f>
        <v>0</v>
      </c>
      <c r="K127" s="80">
        <f>COUNTIFS($I$4:$I104,"No",$B$4:$B104,$B127)</f>
        <v>0</v>
      </c>
      <c r="L127" s="99"/>
    </row>
    <row r="128" spans="2:20" ht="17.25" thickTop="1" thickBot="1" x14ac:dyDescent="0.3">
      <c r="B128" s="135" t="s">
        <v>90</v>
      </c>
      <c r="C128" s="117">
        <f>SUBTOTAL(9,C116:C127)</f>
        <v>5</v>
      </c>
      <c r="D128" s="118">
        <f t="shared" ref="D128:E128" si="6">SUBTOTAL(9,D116:D127)</f>
        <v>1</v>
      </c>
      <c r="E128" s="118">
        <f t="shared" si="6"/>
        <v>1</v>
      </c>
      <c r="F128" s="136">
        <f>SUM(F116:F127)</f>
        <v>7</v>
      </c>
      <c r="G128" s="135" t="s">
        <v>90</v>
      </c>
      <c r="H128" s="92">
        <f>SUM(H116:H127)</f>
        <v>4</v>
      </c>
      <c r="I128" s="93">
        <f t="shared" ref="I128:K128" si="7">SUM(I116:I127)</f>
        <v>3</v>
      </c>
      <c r="J128" s="93">
        <f t="shared" si="7"/>
        <v>5</v>
      </c>
      <c r="K128" s="94">
        <f t="shared" si="7"/>
        <v>2</v>
      </c>
      <c r="L128" s="99"/>
    </row>
    <row r="129" spans="2:12" ht="13.5" thickBot="1" x14ac:dyDescent="0.25">
      <c r="F129" s="137">
        <f>SUM(C128:E128)</f>
        <v>7</v>
      </c>
      <c r="H129" s="32"/>
      <c r="L129" s="99"/>
    </row>
    <row r="130" spans="2:12" ht="6.75" customHeight="1" thickBot="1" x14ac:dyDescent="0.25">
      <c r="F130" s="138"/>
      <c r="H130" s="32"/>
    </row>
    <row r="131" spans="2:12" ht="15" x14ac:dyDescent="0.2">
      <c r="B131" s="705" t="s">
        <v>0</v>
      </c>
      <c r="C131" s="707" t="s">
        <v>55</v>
      </c>
      <c r="D131" s="708"/>
      <c r="E131" s="708"/>
      <c r="F131" s="709"/>
      <c r="H131" s="707" t="s">
        <v>59</v>
      </c>
      <c r="I131" s="708"/>
      <c r="J131" s="708"/>
      <c r="K131" s="709"/>
    </row>
    <row r="132" spans="2:12" ht="16.5" thickBot="1" x14ac:dyDescent="0.25">
      <c r="B132" s="706"/>
      <c r="C132" s="139" t="s">
        <v>90</v>
      </c>
      <c r="D132" s="140" t="s">
        <v>82</v>
      </c>
      <c r="E132" s="141" t="s">
        <v>57</v>
      </c>
      <c r="F132" s="142" t="s">
        <v>105</v>
      </c>
      <c r="H132" s="139" t="s">
        <v>90</v>
      </c>
      <c r="I132" s="140" t="s">
        <v>82</v>
      </c>
      <c r="J132" s="141" t="s">
        <v>57</v>
      </c>
      <c r="K132" s="142" t="s">
        <v>106</v>
      </c>
    </row>
    <row r="133" spans="2:12" ht="15.75" thickTop="1" x14ac:dyDescent="0.25">
      <c r="B133" s="120" t="s">
        <v>53</v>
      </c>
      <c r="C133" s="121">
        <f>COUNTIFS($N$4:N104,"Abierta",$B$4:B104,$B133)</f>
        <v>1</v>
      </c>
      <c r="D133" s="42">
        <f>COUNTIFS($N$4:$N104,"Abierta",$H$4:$H104,"No Conformidad",$B$4:$B104,B133)</f>
        <v>1</v>
      </c>
      <c r="E133" s="42">
        <f>COUNTIFS($N$4:N104,"Abierta",$H$4:H104,"Recomendación",$B$4:B104,B133)</f>
        <v>0</v>
      </c>
      <c r="F133" s="143">
        <f>C133/$C$145</f>
        <v>0.25</v>
      </c>
      <c r="H133" s="121">
        <f>COUNTIFS($N$4:$N104,"Cerrada",$B$4:B$104,$B133)</f>
        <v>1</v>
      </c>
      <c r="I133" s="42">
        <f>COUNTIFS($N$4:$N104,"Cerrada",$H$4:$H104,"No Conformidad",$B$4:$B104,B133)</f>
        <v>0</v>
      </c>
      <c r="J133" s="42">
        <f>COUNTIFS($N$4:N104,"Cerrada",$H$4:H104,"Recomendación",$B$4:B104,B133)</f>
        <v>1</v>
      </c>
      <c r="K133" s="144">
        <f>H133/$H$145</f>
        <v>0.33333333333333331</v>
      </c>
    </row>
    <row r="134" spans="2:12" ht="45" x14ac:dyDescent="0.25">
      <c r="B134" s="123" t="s">
        <v>36</v>
      </c>
      <c r="C134" s="121">
        <f>COUNTIFS($N$4:N104,"Abierta",$B$4:B104,$B134)</f>
        <v>0</v>
      </c>
      <c r="D134" s="42">
        <f>COUNTIFS($N$4:N104,"Abierta",$H$4:H104,"No Conformidad",$B$4:B104,B134)</f>
        <v>0</v>
      </c>
      <c r="E134" s="42">
        <f>COUNTIFS($N$4:N104,"Abierta",$H$4:H104,"Recomendación",$B$4:B104,B134)</f>
        <v>0</v>
      </c>
      <c r="F134" s="143">
        <f t="shared" ref="F134:F144" si="8">C134/$C$145</f>
        <v>0</v>
      </c>
      <c r="H134" s="121">
        <f>COUNTIFS($N$4:$N104,"Cerrada",$B$4:$B104,$B134)</f>
        <v>0</v>
      </c>
      <c r="I134" s="42">
        <f>COUNTIFS($N$4:$N104,"Cerrada",$H$4:$H104,"No Conformidad",$B$4:$B104,B134)</f>
        <v>0</v>
      </c>
      <c r="J134" s="42">
        <f>COUNTIFS($N$4:$N104,"Cerrada",$H$4:$H104,"Recomendación",$B$4:$B104,B134)</f>
        <v>0</v>
      </c>
      <c r="K134" s="144">
        <f t="shared" ref="K134:K144" si="9">H134/$H$145</f>
        <v>0</v>
      </c>
    </row>
    <row r="135" spans="2:12" ht="15" x14ac:dyDescent="0.25">
      <c r="B135" s="125" t="s">
        <v>10</v>
      </c>
      <c r="C135" s="121">
        <f>COUNTIFS($N$4:N104,"Abierta",$B$4:B104,$B135)</f>
        <v>0</v>
      </c>
      <c r="D135" s="42">
        <f>COUNTIFS($N$4:N104,"Abierta",$H$4:H104,"No Conformidad",$B$4:B104,B135)</f>
        <v>0</v>
      </c>
      <c r="E135" s="42">
        <f>COUNTIFS($N$4:N104,"Abierta",$H$4:H104,"Recomendación",$B$4:B104,B135)</f>
        <v>0</v>
      </c>
      <c r="F135" s="143">
        <f t="shared" si="8"/>
        <v>0</v>
      </c>
      <c r="H135" s="121">
        <f>COUNTIFS($N$4:$N104,"Cerrada",$B$4:$B104,$B135)</f>
        <v>0</v>
      </c>
      <c r="I135" s="42">
        <f>COUNTIFS($N$4:$N104,"Cerrada",$H$4:$H104,"No Conformidad",$B$4:$B104,B135)</f>
        <v>0</v>
      </c>
      <c r="J135" s="42">
        <f>COUNTIFS($N$4:$N104,"Cerrada",$H$4:$H104,"Recomendación",$B$4:$B104,B135)</f>
        <v>0</v>
      </c>
      <c r="K135" s="144">
        <f t="shared" si="9"/>
        <v>0</v>
      </c>
    </row>
    <row r="136" spans="2:12" ht="15" x14ac:dyDescent="0.25">
      <c r="B136" s="125" t="s">
        <v>2</v>
      </c>
      <c r="C136" s="121">
        <f>COUNTIFS($N$4:N104,"Abierta",$B$4:B104,$B136)</f>
        <v>0</v>
      </c>
      <c r="D136" s="42">
        <f>COUNTIFS($N$4:N104,"Abierta",$H$4:H104,"No Conformidad",$B$4:B104,B136)</f>
        <v>0</v>
      </c>
      <c r="E136" s="42">
        <f>COUNTIFS($N$4:N104,"Abierta",$H$4:H104,"Recomendación",$B$4:B104,B136)</f>
        <v>0</v>
      </c>
      <c r="F136" s="143">
        <f t="shared" si="8"/>
        <v>0</v>
      </c>
      <c r="H136" s="121">
        <f>COUNTIFS($N$4:$N104,"Cerrada",$B$4:$B104,$B136)</f>
        <v>0</v>
      </c>
      <c r="I136" s="42">
        <f>COUNTIFS($N$4:$N104,"Cerrada",$H$4:$H104,"No Conformidad",$B$4:$B104,B136)</f>
        <v>0</v>
      </c>
      <c r="J136" s="42">
        <f>COUNTIFS($N$4:$N104,"Cerrada",$H$4:$H104,"Recomendación",$B$4:$B104,B136)</f>
        <v>0</v>
      </c>
      <c r="K136" s="144">
        <f t="shared" si="9"/>
        <v>0</v>
      </c>
    </row>
    <row r="137" spans="2:12" ht="15" x14ac:dyDescent="0.25">
      <c r="B137" s="125" t="s">
        <v>37</v>
      </c>
      <c r="C137" s="121">
        <f>COUNTIFS($N$4:N104,"Abierta",$B$4:B104,$B137)</f>
        <v>2</v>
      </c>
      <c r="D137" s="42">
        <f>COUNTIFS($N$4:N104,"Abierta",$H$4:H104,"No Conformidad",$B$4:B104,B137)</f>
        <v>0</v>
      </c>
      <c r="E137" s="42">
        <f>COUNTIFS($N$4:N104,"Abierta",$H$4:H104,"Recomendación",$B$4:B104,B137)</f>
        <v>2</v>
      </c>
      <c r="F137" s="143">
        <f t="shared" si="8"/>
        <v>0.5</v>
      </c>
      <c r="H137" s="121">
        <f>COUNTIFS($N$4:$N104,"Cerrada",$B$4:$B104,$B137)</f>
        <v>1</v>
      </c>
      <c r="I137" s="42">
        <f>COUNTIFS($N$4:$N104,"Cerrada",$H$4:$H104,"No Conformidad",$B$4:$B104,B137)</f>
        <v>1</v>
      </c>
      <c r="J137" s="42">
        <f>COUNTIFS($N$4:$N104,"Cerrada",$H$4:$H104,"Recomendación",$B$4:$B104,B137)</f>
        <v>0</v>
      </c>
      <c r="K137" s="144">
        <f t="shared" si="9"/>
        <v>0.33333333333333331</v>
      </c>
    </row>
    <row r="138" spans="2:12" ht="15" x14ac:dyDescent="0.25">
      <c r="B138" s="125" t="s">
        <v>38</v>
      </c>
      <c r="C138" s="121">
        <f>COUNTIFS($N$4:N104,"Abierta",$B$4:B104,$B138)</f>
        <v>0</v>
      </c>
      <c r="D138" s="42">
        <f>COUNTIFS($N$4:N104,"Abierta",$H$4:H104,"No Conformidad",$B$4:B104,B138)</f>
        <v>0</v>
      </c>
      <c r="E138" s="42">
        <f>COUNTIFS($N$4:N104,"Abierta",$H$4:H104,"Recomendación",$B$4:B104,B138)</f>
        <v>0</v>
      </c>
      <c r="F138" s="143">
        <f t="shared" si="8"/>
        <v>0</v>
      </c>
      <c r="H138" s="121">
        <f>COUNTIFS($N$4:$N104,"Cerrada",$B$4:$B104,$B138)</f>
        <v>1</v>
      </c>
      <c r="I138" s="42">
        <f>COUNTIFS($N$4:$N104,"Cerrada",$H$4:$H104,"No Conformidad",$B$4:$B104,B138)</f>
        <v>1</v>
      </c>
      <c r="J138" s="42">
        <f>COUNTIFS($N$4:$N104,"Cerrada",$H$4:$H104,"Recomendación",$B$4:$B104,B138)</f>
        <v>0</v>
      </c>
      <c r="K138" s="144">
        <f t="shared" si="9"/>
        <v>0.33333333333333331</v>
      </c>
    </row>
    <row r="139" spans="2:12" ht="15" x14ac:dyDescent="0.25">
      <c r="B139" s="125" t="s">
        <v>25</v>
      </c>
      <c r="C139" s="121">
        <f>COUNTIFS($N$4:N104,"Abierta",$B$4:B104,$B139)</f>
        <v>1</v>
      </c>
      <c r="D139" s="42">
        <f>COUNTIFS($N$4:N104,"Abierta",$H$4:H104,"No Conformidad",$B$4:B104,B139)</f>
        <v>1</v>
      </c>
      <c r="E139" s="42">
        <f>COUNTIFS($N$4:N104,"Abierta",$H$4:H104,"Recomendación",$B$4:B104,B139)</f>
        <v>0</v>
      </c>
      <c r="F139" s="143">
        <f t="shared" si="8"/>
        <v>0.25</v>
      </c>
      <c r="H139" s="121">
        <f>COUNTIFS($N$4:$N104,"Cerrada",$B$4:$B104,$B139)</f>
        <v>0</v>
      </c>
      <c r="I139" s="42">
        <f>COUNTIFS($N$4:$N104,"Cerrada",$H$4:$H104,"No Conformidad",$B$4:$B104,B139)</f>
        <v>0</v>
      </c>
      <c r="J139" s="42">
        <f>COUNTIFS($N$4:$N104,"Cerrada",$H$4:$H104,"Recomendación",$B$4:$B104,B139)</f>
        <v>0</v>
      </c>
      <c r="K139" s="144">
        <f t="shared" si="9"/>
        <v>0</v>
      </c>
    </row>
    <row r="140" spans="2:12" ht="15" x14ac:dyDescent="0.25">
      <c r="B140" s="125" t="s">
        <v>65</v>
      </c>
      <c r="C140" s="121">
        <f>COUNTIFS($N$4:N104,"Abierta",$B$4:B104,$B140)</f>
        <v>0</v>
      </c>
      <c r="D140" s="42">
        <f>COUNTIFS($N$4:N104,"Abierta",$H$4:H104,"No Conformidad",$B$4:B104,B140)</f>
        <v>0</v>
      </c>
      <c r="E140" s="42">
        <f>COUNTIFS($N$4:N104,"Abierta",$H$4:H104,"Recomendación",$B$4:B104,B140)</f>
        <v>0</v>
      </c>
      <c r="F140" s="143">
        <f t="shared" si="8"/>
        <v>0</v>
      </c>
      <c r="H140" s="121">
        <f>COUNTIFS($N$4:$N104,"Cerrada",$B$4:$B104,$B140)</f>
        <v>0</v>
      </c>
      <c r="I140" s="42">
        <f>COUNTIFS($N$4:$N104,"Cerrada",$H$4:$H104,"No Conformidad",$B$4:$B104,B140)</f>
        <v>0</v>
      </c>
      <c r="J140" s="42">
        <f>COUNTIFS($N$4:$N104,"Cerrada",$H$4:$H104,"Recomendación",$B$4:$B104,B140)</f>
        <v>0</v>
      </c>
      <c r="K140" s="144">
        <f t="shared" si="9"/>
        <v>0</v>
      </c>
    </row>
    <row r="141" spans="2:12" ht="30" x14ac:dyDescent="0.25">
      <c r="B141" s="123" t="s">
        <v>66</v>
      </c>
      <c r="C141" s="121">
        <f>COUNTIFS($N$4:N104,"Abierta",$B$4:B104,$B141)</f>
        <v>0</v>
      </c>
      <c r="D141" s="42">
        <f>COUNTIFS($N$4:N104,"Abierta",$H$4:H104,"No Conformidad",$B$4:B104,B141)</f>
        <v>0</v>
      </c>
      <c r="E141" s="42">
        <f>COUNTIFS($N$4:N104,"Abierta",$H$4:H104,"Recomendación",$B$4:B104,B141)</f>
        <v>0</v>
      </c>
      <c r="F141" s="143">
        <f t="shared" si="8"/>
        <v>0</v>
      </c>
      <c r="H141" s="121">
        <f>COUNTIFS($N$4:$N104,"Cerrada",$B$4:$B104,$B141)</f>
        <v>0</v>
      </c>
      <c r="I141" s="42">
        <f>COUNTIFS($N$4:$N104,"Cerrada",$H$4:$H104,"No Conformidad",$B$4:$B104,B141)</f>
        <v>0</v>
      </c>
      <c r="J141" s="42">
        <f>COUNTIFS($N$4:$N104,"Cerrada",$H$4:$H104,"Recomendación",$B$4:$B104,B141)</f>
        <v>0</v>
      </c>
      <c r="K141" s="144">
        <f t="shared" si="9"/>
        <v>0</v>
      </c>
    </row>
    <row r="142" spans="2:12" ht="15" x14ac:dyDescent="0.25">
      <c r="B142" s="125" t="s">
        <v>67</v>
      </c>
      <c r="C142" s="121">
        <f>COUNTIFS($N$4:N104,"Abierta",$B$4:B104,$B142)</f>
        <v>0</v>
      </c>
      <c r="D142" s="42">
        <f>COUNTIFS($N$4:N104,"Abierta",$H$4:H104,"No Conformidad",$B$4:B104,B142)</f>
        <v>0</v>
      </c>
      <c r="E142" s="42">
        <f>COUNTIFS($N$4:N104,"Abierta",$H$4:H104,"Recomendación",$B$4:B104,B142)</f>
        <v>0</v>
      </c>
      <c r="F142" s="143">
        <f t="shared" si="8"/>
        <v>0</v>
      </c>
      <c r="H142" s="121">
        <f>COUNTIFS($N$4:$N104,"Cerrada",$B$4:$B104,$B142)</f>
        <v>0</v>
      </c>
      <c r="I142" s="42">
        <f>COUNTIFS($N$4:$N104,"Cerrada",$H$4:$H104,"No Conformidad",$B$4:$B104,B142)</f>
        <v>0</v>
      </c>
      <c r="J142" s="42">
        <f>COUNTIFS($N$4:$N104,"Cerrada",$H$4:$H104,"Recomendación",$B$4:$B104,B142)</f>
        <v>0</v>
      </c>
      <c r="K142" s="144">
        <f t="shared" si="9"/>
        <v>0</v>
      </c>
    </row>
    <row r="143" spans="2:12" ht="15" x14ac:dyDescent="0.25">
      <c r="B143" s="125" t="s">
        <v>68</v>
      </c>
      <c r="C143" s="121">
        <f>COUNTIFS($N$4:N104,"Abierta",$B$4:B104,$B143)</f>
        <v>0</v>
      </c>
      <c r="D143" s="42">
        <f>COUNTIFS($N$4:N104,"Abierta",$H$4:H104,"No Conformidad",$B$4:B104,B143)</f>
        <v>0</v>
      </c>
      <c r="E143" s="42">
        <f>COUNTIFS($N$4:N104,"Abierta",$H$4:H104,"Recomendación",$B$4:B104,B143)</f>
        <v>0</v>
      </c>
      <c r="F143" s="143">
        <f t="shared" si="8"/>
        <v>0</v>
      </c>
      <c r="H143" s="121">
        <f>COUNTIFS($N$4:$N104,"Cerrada",$B$4:$B104,$B143)</f>
        <v>0</v>
      </c>
      <c r="I143" s="42">
        <f>COUNTIFS($N$4:$N104,"Cerrada",$H$4:$H104,"No Conformidad",$B$4:$B104,B143)</f>
        <v>0</v>
      </c>
      <c r="J143" s="42">
        <f>COUNTIFS($N$4:$N104,"Cerrada",$H$4:$H104,"Recomendación",$B$4:$B104,B143)</f>
        <v>0</v>
      </c>
      <c r="K143" s="144">
        <f t="shared" si="9"/>
        <v>0</v>
      </c>
    </row>
    <row r="144" spans="2:12" ht="15.75" thickBot="1" x14ac:dyDescent="0.3">
      <c r="B144" s="134" t="s">
        <v>69</v>
      </c>
      <c r="C144" s="121">
        <f>COUNTIFS($N$4:N104,"Abierta",$B$4:B104,$B144)</f>
        <v>0</v>
      </c>
      <c r="D144" s="42">
        <f>COUNTIFS($N$4:N104,"Abierta",$H$4:H104,"No Conformidad",$B$4:B104,B144)</f>
        <v>0</v>
      </c>
      <c r="E144" s="42">
        <f>COUNTIFS($N$4:N104,"Abierta",$H$4:H104,"Recomendación",$B$4:B104,B144)</f>
        <v>0</v>
      </c>
      <c r="F144" s="145">
        <f t="shared" si="8"/>
        <v>0</v>
      </c>
      <c r="H144" s="121">
        <f>COUNTIFS($N$4:$N104,"Cerrada",$B$4:$B104,$B144)</f>
        <v>0</v>
      </c>
      <c r="I144" s="42">
        <f>COUNTIFS($N$4:$N104,"Cerrada",$H$4:$H104,"No Conformidad",$B$4:$B104,B144)</f>
        <v>0</v>
      </c>
      <c r="J144" s="42">
        <f>COUNTIFS($N$4:$N104,"Cerrada",$H$4:$H104,"Recomendación",$B$4:$B104,B144)</f>
        <v>0</v>
      </c>
      <c r="K144" s="144">
        <f t="shared" si="9"/>
        <v>0</v>
      </c>
    </row>
    <row r="145" spans="2:11" ht="17.25" thickTop="1" thickBot="1" x14ac:dyDescent="0.3">
      <c r="B145" s="135" t="s">
        <v>90</v>
      </c>
      <c r="C145" s="146">
        <f>SUM(C133:C144)</f>
        <v>4</v>
      </c>
      <c r="D145" s="147">
        <f t="shared" ref="D145:E145" si="10">SUM(D133:D144)</f>
        <v>2</v>
      </c>
      <c r="E145" s="147">
        <f t="shared" si="10"/>
        <v>2</v>
      </c>
      <c r="F145" s="148">
        <f>SUM(F133:F144)</f>
        <v>1</v>
      </c>
      <c r="G145" s="135" t="s">
        <v>90</v>
      </c>
      <c r="H145" s="149">
        <f>SUM(H133:H144)</f>
        <v>3</v>
      </c>
      <c r="I145" s="149">
        <f t="shared" ref="I145:K145" si="11">SUM(I133:I144)</f>
        <v>2</v>
      </c>
      <c r="J145" s="149">
        <f t="shared" si="11"/>
        <v>1</v>
      </c>
      <c r="K145" s="150">
        <f t="shared" si="11"/>
        <v>1</v>
      </c>
    </row>
  </sheetData>
  <autoFilter ref="A3:R129"/>
  <mergeCells count="12">
    <mergeCell ref="B131:B132"/>
    <mergeCell ref="C131:F131"/>
    <mergeCell ref="H131:K131"/>
    <mergeCell ref="C106:J106"/>
    <mergeCell ref="M106:R106"/>
    <mergeCell ref="C107:D107"/>
    <mergeCell ref="E107:F107"/>
    <mergeCell ref="B114:B115"/>
    <mergeCell ref="C114:E114"/>
    <mergeCell ref="F114:F115"/>
    <mergeCell ref="H114:I114"/>
    <mergeCell ref="J114:K114"/>
  </mergeCells>
  <conditionalFormatting sqref="J6:J103 K4:K103 I3:I103">
    <cfRule type="cellIs" dxfId="422" priority="9" operator="equal">
      <formula>"Plan Mejoramiento"</formula>
    </cfRule>
    <cfRule type="cellIs" dxfId="421" priority="10" operator="equal">
      <formula>"Acción Preventiva"</formula>
    </cfRule>
    <cfRule type="cellIs" dxfId="420" priority="11" operator="equal">
      <formula>"Acción Correctiva"</formula>
    </cfRule>
  </conditionalFormatting>
  <conditionalFormatting sqref="G6:G100 H4:I103">
    <cfRule type="cellIs" dxfId="419" priority="7" operator="equal">
      <formula>"Recomendación"</formula>
    </cfRule>
    <cfRule type="cellIs" dxfId="418" priority="8" operator="equal">
      <formula>"No Conformidad"</formula>
    </cfRule>
  </conditionalFormatting>
  <conditionalFormatting sqref="M6:M100 N4:N103 M108:M109">
    <cfRule type="cellIs" dxfId="417" priority="5" operator="equal">
      <formula>"Cerrada"</formula>
    </cfRule>
    <cfRule type="cellIs" dxfId="416" priority="6" operator="equal">
      <formula>"Abierta"</formula>
    </cfRule>
  </conditionalFormatting>
  <conditionalFormatting sqref="J6:J100 K4:K103 I3:I103">
    <cfRule type="cellIs" dxfId="415" priority="4" operator="equal">
      <formula>"Corrección"</formula>
    </cfRule>
  </conditionalFormatting>
  <conditionalFormatting sqref="C115:E115 D4:E103 G110:G111 H107:I107 N112:O112 N119:O119 O107:P107">
    <cfRule type="cellIs" dxfId="414" priority="1" operator="equal">
      <formula>"Especial"</formula>
    </cfRule>
    <cfRule type="cellIs" dxfId="413" priority="2" operator="equal">
      <formula>"Informes"</formula>
    </cfRule>
    <cfRule type="cellIs" dxfId="412" priority="3" operator="equal">
      <formula>"Auditoria"</formula>
    </cfRule>
  </conditionalFormatting>
  <dataValidations count="8">
    <dataValidation type="list" allowBlank="1" showInputMessage="1" showErrorMessage="1" sqref="E4">
      <formula1>Auditores</formula1>
    </dataValidation>
    <dataValidation type="list" allowBlank="1" showInputMessage="1" showErrorMessage="1" sqref="D4">
      <formula1>"Auditoria,Especial,Informes"</formula1>
    </dataValidation>
    <dataValidation type="list" allowBlank="1" showInputMessage="1" showErrorMessage="1" sqref="I4:I103">
      <formula1>"No,Si"</formula1>
    </dataValidation>
    <dataValidation type="list" allowBlank="1" showInputMessage="1" showErrorMessage="1" sqref="B4:B103">
      <formula1>Proceso</formula1>
    </dataValidation>
    <dataValidation type="list" allowBlank="1" showInputMessage="1" showErrorMessage="1" sqref="N4:N103 M108:M109">
      <formula1>"Abierta,Cerrada"</formula1>
    </dataValidation>
    <dataValidation type="list" allowBlank="1" showInputMessage="1" showErrorMessage="1" sqref="K4:K103">
      <formula1>"Corrección,Acción Correctiva,Acción Preventiva, Plan Mejoramiento"</formula1>
    </dataValidation>
    <dataValidation type="list" allowBlank="1" showInputMessage="1" showErrorMessage="1" sqref="H4:H103">
      <formula1>"No Conformidad,Recomendación"</formula1>
    </dataValidation>
    <dataValidation type="list" allowBlank="1" showInputMessage="1" showErrorMessage="1" sqref="C115:E115 D5:E103 O107">
      <formula1>"Auditoria,Informes,Especial"</formula1>
    </dataValidation>
  </dataValidations>
  <pageMargins left="0.19685039370078741" right="0.39370078740157483" top="0.55118110236220474" bottom="0.47244094488188981" header="0.31496062992125984" footer="0.31496062992125984"/>
  <pageSetup scale="71" orientation="landscape" r:id="rId1"/>
  <headerFooter>
    <oddHeader>&amp;C&amp;"Arial Black,Normal"&amp;12SEGUIMIENTO ACCIONES PLAN DE MEJORAMIENTO DEL PROGRAMA DE AUDITORIA</oddHeader>
    <oddFooter>&amp;L&amp;A&amp;CHoja &amp;P de &amp;N</oddFooter>
  </headerFooter>
  <rowBreaks count="1" manualBreakCount="1">
    <brk id="10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1"/>
  <sheetViews>
    <sheetView zoomScale="90" zoomScaleNormal="90" workbookViewId="0">
      <selection activeCell="C12" sqref="C12"/>
    </sheetView>
  </sheetViews>
  <sheetFormatPr baseColWidth="10" defaultRowHeight="15" x14ac:dyDescent="0.25"/>
  <cols>
    <col min="1" max="1" width="33.140625" style="13" bestFit="1" customWidth="1"/>
    <col min="2" max="2" width="42.85546875" customWidth="1"/>
    <col min="3" max="3" width="11.5703125" bestFit="1" customWidth="1"/>
    <col min="4" max="4" width="28.7109375" customWidth="1"/>
    <col min="5" max="5" width="32.42578125" style="2" customWidth="1"/>
  </cols>
  <sheetData>
    <row r="1" spans="1:5" ht="25.5" x14ac:dyDescent="0.25">
      <c r="A1" s="5" t="s">
        <v>9</v>
      </c>
      <c r="B1" s="5" t="s">
        <v>13</v>
      </c>
      <c r="C1" s="6" t="s">
        <v>4</v>
      </c>
      <c r="D1" s="6" t="s">
        <v>17</v>
      </c>
      <c r="E1" s="6" t="s">
        <v>18</v>
      </c>
    </row>
    <row r="2" spans="1:5" x14ac:dyDescent="0.25">
      <c r="A2" s="11"/>
      <c r="B2" s="11"/>
      <c r="C2" s="10"/>
      <c r="D2" s="14"/>
      <c r="E2" s="17"/>
    </row>
    <row r="3" spans="1:5" x14ac:dyDescent="0.25">
      <c r="A3" s="11"/>
      <c r="B3" s="3"/>
      <c r="C3" s="7"/>
      <c r="D3" s="14"/>
      <c r="E3" s="17"/>
    </row>
    <row r="4" spans="1:5" x14ac:dyDescent="0.25">
      <c r="A4" s="11"/>
      <c r="B4" s="3"/>
      <c r="C4" s="10"/>
      <c r="D4" s="14"/>
      <c r="E4" s="17"/>
    </row>
    <row r="5" spans="1:5" x14ac:dyDescent="0.25">
      <c r="A5" s="11"/>
      <c r="B5" s="3"/>
      <c r="C5" s="10"/>
      <c r="D5" s="14"/>
      <c r="E5" s="17"/>
    </row>
    <row r="6" spans="1:5" x14ac:dyDescent="0.25">
      <c r="A6" s="11"/>
      <c r="B6" s="3"/>
      <c r="C6" s="7"/>
      <c r="D6" s="14"/>
      <c r="E6" s="17"/>
    </row>
    <row r="7" spans="1:5" x14ac:dyDescent="0.25">
      <c r="A7" s="11"/>
      <c r="B7" s="11"/>
      <c r="C7" s="7"/>
      <c r="D7" s="14"/>
      <c r="E7" s="17"/>
    </row>
    <row r="8" spans="1:5" x14ac:dyDescent="0.25">
      <c r="A8" s="11"/>
      <c r="B8" s="3"/>
      <c r="C8" s="10"/>
      <c r="D8" s="14"/>
      <c r="E8" s="17"/>
    </row>
    <row r="9" spans="1:5" x14ac:dyDescent="0.25">
      <c r="A9" s="11"/>
      <c r="B9" s="11"/>
      <c r="C9" s="7"/>
      <c r="D9" s="14"/>
      <c r="E9" s="17"/>
    </row>
    <row r="10" spans="1:5" x14ac:dyDescent="0.25">
      <c r="A10" s="11"/>
      <c r="B10" s="3"/>
      <c r="C10" s="7"/>
      <c r="D10" s="14"/>
      <c r="E10" s="17"/>
    </row>
    <row r="11" spans="1:5" x14ac:dyDescent="0.25">
      <c r="A11" s="8"/>
      <c r="B11" s="3"/>
      <c r="C11" s="7"/>
      <c r="D11" s="14"/>
      <c r="E11" s="17"/>
    </row>
    <row r="12" spans="1:5" x14ac:dyDescent="0.25">
      <c r="A12" s="8"/>
      <c r="B12" s="3"/>
      <c r="C12" s="7"/>
      <c r="D12" s="14"/>
      <c r="E12" s="17"/>
    </row>
    <row r="13" spans="1:5" x14ac:dyDescent="0.25">
      <c r="A13" s="8"/>
      <c r="B13" s="8"/>
      <c r="C13" s="9"/>
      <c r="D13" s="14"/>
      <c r="E13" s="17"/>
    </row>
    <row r="14" spans="1:5" x14ac:dyDescent="0.25">
      <c r="A14" s="8"/>
      <c r="B14" s="4"/>
      <c r="C14" s="10"/>
      <c r="D14" s="14"/>
      <c r="E14" s="17"/>
    </row>
    <row r="15" spans="1:5" x14ac:dyDescent="0.25">
      <c r="A15" s="11"/>
      <c r="B15" s="3"/>
      <c r="C15" s="7"/>
      <c r="D15" s="14"/>
      <c r="E15" s="17"/>
    </row>
    <row r="16" spans="1:5" x14ac:dyDescent="0.25">
      <c r="A16" s="11"/>
      <c r="B16" s="3"/>
      <c r="C16" s="7"/>
      <c r="D16" s="14"/>
      <c r="E16" s="17"/>
    </row>
    <row r="17" spans="1:5" x14ac:dyDescent="0.25">
      <c r="A17" s="11"/>
      <c r="B17" s="3"/>
      <c r="C17" s="7"/>
      <c r="D17" s="14"/>
      <c r="E17" s="17"/>
    </row>
    <row r="18" spans="1:5" x14ac:dyDescent="0.25">
      <c r="A18" s="11"/>
      <c r="B18" s="3"/>
      <c r="C18" s="7"/>
      <c r="D18" s="14"/>
      <c r="E18" s="17"/>
    </row>
    <row r="19" spans="1:5" x14ac:dyDescent="0.25">
      <c r="A19" s="11"/>
      <c r="B19" s="3"/>
      <c r="C19" s="7"/>
      <c r="D19" s="14"/>
      <c r="E19" s="17"/>
    </row>
    <row r="20" spans="1:5" x14ac:dyDescent="0.25">
      <c r="A20" s="11"/>
      <c r="B20" s="3"/>
      <c r="C20" s="7"/>
      <c r="D20" s="14"/>
      <c r="E20" s="17"/>
    </row>
    <row r="21" spans="1:5" x14ac:dyDescent="0.25">
      <c r="A21" s="11"/>
      <c r="B21" s="3"/>
      <c r="C21" s="12"/>
      <c r="D21" s="14"/>
      <c r="E21" s="17"/>
    </row>
    <row r="22" spans="1:5" x14ac:dyDescent="0.25">
      <c r="A22" s="11"/>
      <c r="B22" s="3"/>
      <c r="C22" s="7"/>
      <c r="D22" s="14"/>
      <c r="E22" s="17"/>
    </row>
    <row r="23" spans="1:5" x14ac:dyDescent="0.25">
      <c r="A23" s="11"/>
      <c r="B23" s="11"/>
      <c r="C23" s="10"/>
      <c r="D23" s="14"/>
      <c r="E23" s="17"/>
    </row>
    <row r="24" spans="1:5" x14ac:dyDescent="0.25">
      <c r="A24" s="11"/>
      <c r="B24" s="11"/>
      <c r="C24" s="10"/>
      <c r="D24" s="14"/>
      <c r="E24" s="17"/>
    </row>
    <row r="25" spans="1:5" x14ac:dyDescent="0.25">
      <c r="A25" s="11"/>
      <c r="B25" s="11"/>
      <c r="C25" s="10"/>
      <c r="D25" s="14"/>
      <c r="E25" s="17"/>
    </row>
    <row r="26" spans="1:5" s="1" customFormat="1" x14ac:dyDescent="0.25">
      <c r="A26" s="11"/>
      <c r="B26" s="11"/>
      <c r="C26" s="10"/>
      <c r="D26" s="14"/>
      <c r="E26" s="17"/>
    </row>
    <row r="27" spans="1:5" x14ac:dyDescent="0.25">
      <c r="A27" s="8"/>
      <c r="B27" s="3"/>
      <c r="C27" s="7"/>
      <c r="D27" s="14"/>
      <c r="E27" s="17"/>
    </row>
    <row r="28" spans="1:5" x14ac:dyDescent="0.25">
      <c r="A28" s="11"/>
      <c r="B28" s="3"/>
      <c r="C28" s="7"/>
      <c r="D28" s="14"/>
      <c r="E28" s="17"/>
    </row>
    <row r="29" spans="1:5" x14ac:dyDescent="0.25">
      <c r="A29" s="8"/>
      <c r="B29" s="3"/>
      <c r="C29" s="7"/>
      <c r="D29" s="14"/>
      <c r="E29" s="17"/>
    </row>
    <row r="30" spans="1:5" x14ac:dyDescent="0.25">
      <c r="A30" s="11"/>
      <c r="B30" s="3"/>
      <c r="C30" s="7"/>
      <c r="D30" s="14"/>
      <c r="E30" s="17"/>
    </row>
    <row r="31" spans="1:5" x14ac:dyDescent="0.25">
      <c r="A31" s="11"/>
      <c r="B31" s="3"/>
      <c r="C31" s="7"/>
      <c r="D31" s="14"/>
      <c r="E31" s="17"/>
    </row>
    <row r="32" spans="1:5" x14ac:dyDescent="0.25">
      <c r="A32" s="11"/>
      <c r="B32" s="3"/>
      <c r="C32" s="7"/>
      <c r="D32" s="14"/>
      <c r="E32" s="17"/>
    </row>
    <row r="33" spans="1:5" x14ac:dyDescent="0.25">
      <c r="A33" s="11"/>
      <c r="B33" s="3"/>
      <c r="C33" s="7"/>
      <c r="D33" s="14"/>
      <c r="E33" s="17"/>
    </row>
    <row r="34" spans="1:5" x14ac:dyDescent="0.25">
      <c r="A34" s="11"/>
      <c r="B34" s="3"/>
      <c r="C34" s="7"/>
      <c r="D34" s="14"/>
      <c r="E34" s="17"/>
    </row>
    <row r="35" spans="1:5" x14ac:dyDescent="0.25">
      <c r="A35" s="11"/>
      <c r="B35" s="3"/>
      <c r="C35" s="7"/>
      <c r="D35" s="14"/>
      <c r="E35" s="17"/>
    </row>
    <row r="36" spans="1:5" x14ac:dyDescent="0.25">
      <c r="A36" s="11"/>
      <c r="B36" s="3"/>
      <c r="C36" s="7"/>
      <c r="D36" s="14"/>
      <c r="E36" s="17"/>
    </row>
    <row r="37" spans="1:5" x14ac:dyDescent="0.25">
      <c r="A37" s="11"/>
      <c r="B37" s="3"/>
      <c r="C37" s="7"/>
      <c r="D37" s="157"/>
      <c r="E37" s="17"/>
    </row>
    <row r="38" spans="1:5" x14ac:dyDescent="0.25">
      <c r="A38" s="11"/>
      <c r="B38" s="3"/>
      <c r="C38" s="7"/>
      <c r="D38" s="157"/>
      <c r="E38" s="17"/>
    </row>
    <row r="39" spans="1:5" x14ac:dyDescent="0.25">
      <c r="A39" s="11"/>
      <c r="B39" s="3"/>
      <c r="C39" s="7"/>
      <c r="D39" s="157"/>
      <c r="E39" s="17"/>
    </row>
    <row r="40" spans="1:5" x14ac:dyDescent="0.25">
      <c r="A40" s="11"/>
      <c r="B40" s="3"/>
      <c r="C40" s="158"/>
      <c r="D40" s="157"/>
      <c r="E40" s="17"/>
    </row>
    <row r="41" spans="1:5" x14ac:dyDescent="0.25">
      <c r="A41" s="11"/>
      <c r="B41" s="3"/>
      <c r="C41" s="158"/>
      <c r="D41" s="157"/>
      <c r="E41" s="17"/>
    </row>
  </sheetData>
  <sortState ref="A2:D23">
    <sortCondition ref="A2:A23"/>
  </sortState>
  <pageMargins left="0.70866141732283472" right="0.70866141732283472" top="0.74803149606299213" bottom="0.5" header="0.31496062992125984" footer="0.31496062992125984"/>
  <pageSetup scale="73"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B25" sqref="B25:B26"/>
    </sheetView>
  </sheetViews>
  <sheetFormatPr baseColWidth="10" defaultRowHeight="14.25" x14ac:dyDescent="0.2"/>
  <cols>
    <col min="1" max="1" width="9.85546875" style="461" customWidth="1"/>
    <col min="2" max="2" width="11.42578125" style="461"/>
    <col min="3" max="3" width="50.42578125" style="461" customWidth="1"/>
    <col min="4" max="4" width="17.28515625" style="461" customWidth="1"/>
    <col min="5" max="16384" width="11.42578125" style="461"/>
  </cols>
  <sheetData>
    <row r="1" spans="1:4" ht="15.75" thickBot="1" x14ac:dyDescent="0.25">
      <c r="A1" s="466" t="s">
        <v>459</v>
      </c>
      <c r="B1" s="467" t="s">
        <v>457</v>
      </c>
      <c r="C1" s="467" t="s">
        <v>458</v>
      </c>
      <c r="D1" s="468" t="s">
        <v>107</v>
      </c>
    </row>
    <row r="2" spans="1:4" ht="29.25" thickTop="1" x14ac:dyDescent="0.2">
      <c r="A2" s="465">
        <v>1</v>
      </c>
      <c r="B2" s="473">
        <v>41701</v>
      </c>
      <c r="C2" s="470" t="s">
        <v>493</v>
      </c>
      <c r="D2" s="471" t="s">
        <v>494</v>
      </c>
    </row>
    <row r="3" spans="1:4" ht="57" x14ac:dyDescent="0.2">
      <c r="A3" s="463">
        <v>2</v>
      </c>
      <c r="B3" s="474">
        <v>42109</v>
      </c>
      <c r="C3" s="469" t="s">
        <v>490</v>
      </c>
      <c r="D3" s="472" t="s">
        <v>491</v>
      </c>
    </row>
    <row r="4" spans="1:4" ht="71.25" x14ac:dyDescent="0.2">
      <c r="A4" s="463">
        <v>3</v>
      </c>
      <c r="B4" s="474">
        <v>42285</v>
      </c>
      <c r="C4" s="464" t="s">
        <v>492</v>
      </c>
      <c r="D4" s="472" t="s">
        <v>489</v>
      </c>
    </row>
    <row r="5" spans="1:4" x14ac:dyDescent="0.2">
      <c r="B5" s="462"/>
    </row>
    <row r="6" spans="1:4" x14ac:dyDescent="0.2">
      <c r="B6" s="462"/>
    </row>
    <row r="7" spans="1:4" x14ac:dyDescent="0.2">
      <c r="B7" s="462"/>
    </row>
    <row r="8" spans="1:4" x14ac:dyDescent="0.2">
      <c r="B8" s="462"/>
    </row>
    <row r="9" spans="1:4" x14ac:dyDescent="0.2">
      <c r="B9" s="462"/>
    </row>
    <row r="10" spans="1:4" x14ac:dyDescent="0.2">
      <c r="B10" s="462"/>
    </row>
    <row r="11" spans="1:4" x14ac:dyDescent="0.2">
      <c r="B11" s="462"/>
    </row>
    <row r="12" spans="1:4" x14ac:dyDescent="0.2">
      <c r="B12" s="462"/>
    </row>
    <row r="13" spans="1:4" x14ac:dyDescent="0.2">
      <c r="B13" s="462"/>
    </row>
    <row r="14" spans="1:4" x14ac:dyDescent="0.2">
      <c r="B14" s="462"/>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tabColor theme="7" tint="0.39997558519241921"/>
  </sheetPr>
  <dimension ref="A1:AD354"/>
  <sheetViews>
    <sheetView tabSelected="1" view="pageBreakPreview" topLeftCell="D1" zoomScale="70" zoomScaleNormal="80" zoomScaleSheetLayoutView="70" workbookViewId="0">
      <pane ySplit="3" topLeftCell="A4" activePane="bottomLeft" state="frozen"/>
      <selection pane="bottomLeft" activeCell="R1" sqref="R1"/>
    </sheetView>
  </sheetViews>
  <sheetFormatPr baseColWidth="10" defaultColWidth="0" defaultRowHeight="12.75" x14ac:dyDescent="0.2"/>
  <cols>
    <col min="1" max="1" width="5.42578125" style="32" customWidth="1"/>
    <col min="2" max="2" width="13.28515625" style="31" customWidth="1"/>
    <col min="3" max="3" width="21.7109375" style="235" customWidth="1"/>
    <col min="4" max="4" width="10.5703125" style="55" customWidth="1"/>
    <col min="5" max="5" width="11.28515625" style="55" customWidth="1"/>
    <col min="6" max="6" width="14.140625" style="55" hidden="1" customWidth="1"/>
    <col min="7" max="7" width="12.7109375" style="55" hidden="1" customWidth="1"/>
    <col min="8" max="8" width="11.28515625" style="56" customWidth="1"/>
    <col min="9" max="9" width="51.5703125" style="31" customWidth="1"/>
    <col min="10" max="10" width="13.42578125" style="410" customWidth="1"/>
    <col min="11" max="11" width="11.42578125" style="57" customWidth="1"/>
    <col min="12" max="12" width="11.28515625" style="32" customWidth="1"/>
    <col min="13" max="13" width="12" style="32" customWidth="1"/>
    <col min="14" max="14" width="16" style="32" customWidth="1"/>
    <col min="15" max="15" width="19.7109375" style="32" customWidth="1"/>
    <col min="16" max="16" width="46.42578125" style="32" customWidth="1"/>
    <col min="17" max="17" width="12.5703125" style="32" customWidth="1"/>
    <col min="18" max="18" width="59.5703125" style="57" customWidth="1"/>
    <col min="19" max="19" width="9.7109375" style="32" customWidth="1"/>
    <col min="20" max="20" width="14" style="32" customWidth="1"/>
    <col min="21" max="21" width="26.7109375" style="31" customWidth="1"/>
    <col min="22" max="23" width="18.28515625" style="31" customWidth="1"/>
    <col min="24" max="24" width="25.85546875" style="31" customWidth="1"/>
    <col min="25" max="25" width="14.5703125" style="31" customWidth="1"/>
    <col min="26" max="29" width="11.42578125" style="31" customWidth="1"/>
    <col min="30" max="16384" width="11.42578125" style="31" hidden="1"/>
  </cols>
  <sheetData>
    <row r="1" spans="1:26" ht="39" thickBot="1" x14ac:dyDescent="0.25">
      <c r="A1" s="688"/>
      <c r="B1" s="25" t="s">
        <v>70</v>
      </c>
      <c r="C1" s="690">
        <v>2016</v>
      </c>
      <c r="D1" s="691" t="s">
        <v>377</v>
      </c>
      <c r="E1" s="691" t="s">
        <v>377</v>
      </c>
      <c r="F1" s="27"/>
      <c r="G1" s="27"/>
      <c r="H1" s="28"/>
      <c r="I1" s="29"/>
      <c r="J1" s="691" t="s">
        <v>377</v>
      </c>
      <c r="K1" s="691" t="s">
        <v>377</v>
      </c>
      <c r="L1" s="691" t="s">
        <v>377</v>
      </c>
      <c r="M1" s="30"/>
      <c r="N1" s="192" t="s">
        <v>376</v>
      </c>
      <c r="O1" s="693">
        <v>42628</v>
      </c>
      <c r="P1" s="31"/>
      <c r="Q1" s="31"/>
      <c r="R1" s="29"/>
      <c r="T1" s="31"/>
      <c r="Y1" s="691"/>
    </row>
    <row r="2" spans="1:26" ht="3.75" customHeight="1" thickBot="1" x14ac:dyDescent="0.25">
      <c r="B2" s="29"/>
      <c r="C2" s="232"/>
      <c r="D2" s="33"/>
      <c r="E2" s="33"/>
      <c r="F2" s="33"/>
      <c r="G2" s="33"/>
      <c r="H2" s="28"/>
      <c r="I2" s="29"/>
      <c r="J2" s="409"/>
      <c r="K2" s="330"/>
      <c r="L2" s="30"/>
      <c r="M2" s="30"/>
      <c r="N2" s="30"/>
      <c r="O2" s="30"/>
      <c r="P2" s="30"/>
      <c r="Q2" s="30"/>
      <c r="R2" s="29"/>
      <c r="T2" s="30"/>
      <c r="Y2" s="330"/>
    </row>
    <row r="3" spans="1:26" ht="90" thickBot="1" x14ac:dyDescent="0.25">
      <c r="A3" s="34" t="s">
        <v>72</v>
      </c>
      <c r="B3" s="35" t="s">
        <v>0</v>
      </c>
      <c r="C3" s="35" t="s">
        <v>1</v>
      </c>
      <c r="D3" s="39" t="s">
        <v>44</v>
      </c>
      <c r="E3" s="692" t="s">
        <v>218</v>
      </c>
      <c r="F3" s="36" t="s">
        <v>73</v>
      </c>
      <c r="G3" s="237" t="s">
        <v>220</v>
      </c>
      <c r="H3" s="37" t="s">
        <v>1166</v>
      </c>
      <c r="I3" s="293" t="s">
        <v>75</v>
      </c>
      <c r="J3" s="331" t="s">
        <v>47</v>
      </c>
      <c r="K3" s="332" t="s">
        <v>140</v>
      </c>
      <c r="L3" s="694" t="s">
        <v>76</v>
      </c>
      <c r="M3" s="39" t="s">
        <v>1167</v>
      </c>
      <c r="N3" s="39" t="s">
        <v>51</v>
      </c>
      <c r="O3" s="39" t="s">
        <v>107</v>
      </c>
      <c r="P3" s="39" t="s">
        <v>34</v>
      </c>
      <c r="Q3" s="39" t="s">
        <v>1168</v>
      </c>
      <c r="R3" s="39" t="s">
        <v>33</v>
      </c>
      <c r="S3" s="170" t="s">
        <v>139</v>
      </c>
      <c r="T3" s="39" t="s">
        <v>1169</v>
      </c>
      <c r="U3" s="39" t="s">
        <v>79</v>
      </c>
      <c r="V3" s="39" t="s">
        <v>80</v>
      </c>
      <c r="W3" s="695" t="s">
        <v>226</v>
      </c>
      <c r="X3" s="696" t="s">
        <v>81</v>
      </c>
      <c r="Y3" s="331"/>
      <c r="Z3" s="31" t="s">
        <v>113</v>
      </c>
    </row>
    <row r="4" spans="1:26" ht="96.75" hidden="1" customHeight="1" thickTop="1" x14ac:dyDescent="0.2">
      <c r="A4" s="42">
        <v>1</v>
      </c>
      <c r="B4" s="43" t="s">
        <v>37</v>
      </c>
      <c r="C4" s="154" t="s">
        <v>108</v>
      </c>
      <c r="D4" s="511" t="s">
        <v>45</v>
      </c>
      <c r="E4" s="509" t="s">
        <v>0</v>
      </c>
      <c r="F4" s="45" t="s">
        <v>62</v>
      </c>
      <c r="G4" s="45"/>
      <c r="H4" s="46">
        <v>41635</v>
      </c>
      <c r="I4" s="397" t="s">
        <v>112</v>
      </c>
      <c r="J4" s="504" t="s">
        <v>57</v>
      </c>
      <c r="K4" s="504" t="s">
        <v>141</v>
      </c>
      <c r="L4" s="512" t="s">
        <v>83</v>
      </c>
      <c r="M4" s="46">
        <v>41696</v>
      </c>
      <c r="N4" s="16" t="s">
        <v>109</v>
      </c>
      <c r="O4" s="16" t="s">
        <v>110</v>
      </c>
      <c r="P4" s="197" t="s">
        <v>111</v>
      </c>
      <c r="Q4" s="46">
        <v>42369</v>
      </c>
      <c r="R4" s="197" t="s">
        <v>505</v>
      </c>
      <c r="S4" s="42" t="s">
        <v>55</v>
      </c>
      <c r="T4" s="46"/>
      <c r="U4" s="42"/>
      <c r="V4" s="155">
        <f>DAYS360(H4,M4,0)+1</f>
        <v>60</v>
      </c>
      <c r="W4" s="518" t="str">
        <f t="shared" ref="W4:W18" si="0">IF(V4&gt;7,"Inoportuno",(IF(V4&lt;0,"No ha formulado PM","Oportuno")))</f>
        <v>Inoportuno</v>
      </c>
      <c r="X4" s="155">
        <f>DAYS360(Q4,T4,0)+1</f>
        <v>-41759</v>
      </c>
      <c r="Y4" s="515" t="s">
        <v>417</v>
      </c>
    </row>
    <row r="5" spans="1:26" ht="192.75" hidden="1" customHeight="1" thickTop="1" x14ac:dyDescent="0.2">
      <c r="A5" s="348">
        <f>+A4+1</f>
        <v>2</v>
      </c>
      <c r="B5" s="43" t="s">
        <v>53</v>
      </c>
      <c r="C5" s="233" t="s">
        <v>221</v>
      </c>
      <c r="D5" s="722" t="s">
        <v>45</v>
      </c>
      <c r="E5" s="722" t="s">
        <v>0</v>
      </c>
      <c r="F5" s="45" t="s">
        <v>62</v>
      </c>
      <c r="G5" s="45"/>
      <c r="H5" s="46">
        <v>41626</v>
      </c>
      <c r="I5" s="295" t="s">
        <v>24</v>
      </c>
      <c r="J5" s="777" t="s">
        <v>82</v>
      </c>
      <c r="K5" s="777" t="s">
        <v>141</v>
      </c>
      <c r="L5" s="778" t="s">
        <v>83</v>
      </c>
      <c r="M5" s="46">
        <v>41753</v>
      </c>
      <c r="N5" s="207" t="s">
        <v>54</v>
      </c>
      <c r="O5" s="207" t="s">
        <v>183</v>
      </c>
      <c r="P5" s="197" t="s">
        <v>202</v>
      </c>
      <c r="Q5" s="46">
        <v>41789</v>
      </c>
      <c r="R5" s="247" t="s">
        <v>680</v>
      </c>
      <c r="S5" s="208" t="s">
        <v>55</v>
      </c>
      <c r="T5" s="46"/>
      <c r="U5" s="42"/>
      <c r="V5" s="155">
        <f t="shared" ref="V5:V13" si="1">DAYS360(H5,M5,0)+1</f>
        <v>127</v>
      </c>
      <c r="W5" s="327" t="str">
        <f t="shared" si="0"/>
        <v>Inoportuno</v>
      </c>
      <c r="X5" s="155">
        <f t="shared" ref="X5:X13" si="2">DAYS360(Q5,T5,0)+1</f>
        <v>-41189</v>
      </c>
      <c r="Y5" s="780" t="s">
        <v>417</v>
      </c>
    </row>
    <row r="6" spans="1:26" ht="154.5" hidden="1" customHeight="1" x14ac:dyDescent="0.2">
      <c r="A6" s="499">
        <f t="shared" ref="A6:A69" si="3">+A5+1</f>
        <v>3</v>
      </c>
      <c r="B6" s="43" t="s">
        <v>53</v>
      </c>
      <c r="C6" s="233" t="s">
        <v>221</v>
      </c>
      <c r="D6" s="723"/>
      <c r="E6" s="723"/>
      <c r="F6" s="45" t="s">
        <v>62</v>
      </c>
      <c r="G6" s="45"/>
      <c r="H6" s="46">
        <v>41626</v>
      </c>
      <c r="I6" s="295" t="s">
        <v>24</v>
      </c>
      <c r="J6" s="777"/>
      <c r="K6" s="777"/>
      <c r="L6" s="782"/>
      <c r="M6" s="46">
        <v>41753</v>
      </c>
      <c r="N6" s="210" t="s">
        <v>54</v>
      </c>
      <c r="O6" s="210" t="s">
        <v>183</v>
      </c>
      <c r="P6" s="197" t="s">
        <v>203</v>
      </c>
      <c r="Q6" s="46">
        <v>42035</v>
      </c>
      <c r="R6" s="247" t="s">
        <v>681</v>
      </c>
      <c r="S6" s="211" t="s">
        <v>55</v>
      </c>
      <c r="T6" s="46"/>
      <c r="U6" s="211"/>
      <c r="V6" s="155">
        <f t="shared" si="1"/>
        <v>127</v>
      </c>
      <c r="W6" s="327" t="str">
        <f t="shared" si="0"/>
        <v>Inoportuno</v>
      </c>
      <c r="X6" s="155">
        <f t="shared" si="2"/>
        <v>-41429</v>
      </c>
      <c r="Y6" s="780" t="s">
        <v>417</v>
      </c>
    </row>
    <row r="7" spans="1:26" ht="160.5" hidden="1" customHeight="1" x14ac:dyDescent="0.2">
      <c r="A7" s="499">
        <f t="shared" si="3"/>
        <v>4</v>
      </c>
      <c r="B7" s="43" t="s">
        <v>53</v>
      </c>
      <c r="C7" s="233" t="s">
        <v>221</v>
      </c>
      <c r="D7" s="724"/>
      <c r="E7" s="724"/>
      <c r="F7" s="45" t="s">
        <v>62</v>
      </c>
      <c r="G7" s="45"/>
      <c r="H7" s="46">
        <v>41626</v>
      </c>
      <c r="I7" s="295" t="s">
        <v>24</v>
      </c>
      <c r="J7" s="777"/>
      <c r="K7" s="777"/>
      <c r="L7" s="779"/>
      <c r="M7" s="46">
        <v>41753</v>
      </c>
      <c r="N7" s="207" t="s">
        <v>54</v>
      </c>
      <c r="O7" s="207" t="s">
        <v>183</v>
      </c>
      <c r="P7" s="197" t="s">
        <v>184</v>
      </c>
      <c r="Q7" s="46">
        <v>42035</v>
      </c>
      <c r="R7" s="247" t="s">
        <v>681</v>
      </c>
      <c r="S7" s="208" t="s">
        <v>55</v>
      </c>
      <c r="T7" s="46"/>
      <c r="U7" s="208"/>
      <c r="V7" s="155">
        <f t="shared" si="1"/>
        <v>127</v>
      </c>
      <c r="W7" s="327" t="str">
        <f t="shared" si="0"/>
        <v>Inoportuno</v>
      </c>
      <c r="X7" s="155">
        <f t="shared" si="2"/>
        <v>-41429</v>
      </c>
      <c r="Y7" s="780" t="s">
        <v>417</v>
      </c>
    </row>
    <row r="8" spans="1:26" ht="143.25" hidden="1" customHeight="1" x14ac:dyDescent="0.2">
      <c r="A8" s="499">
        <f t="shared" si="3"/>
        <v>5</v>
      </c>
      <c r="B8" s="43" t="s">
        <v>37</v>
      </c>
      <c r="C8" s="154" t="s">
        <v>116</v>
      </c>
      <c r="D8" s="501" t="s">
        <v>45</v>
      </c>
      <c r="E8" s="510" t="s">
        <v>0</v>
      </c>
      <c r="F8" s="45" t="s">
        <v>62</v>
      </c>
      <c r="G8" s="45"/>
      <c r="H8" s="46">
        <v>41638</v>
      </c>
      <c r="I8" s="296" t="s">
        <v>26</v>
      </c>
      <c r="J8" s="507" t="s">
        <v>82</v>
      </c>
      <c r="K8" s="507" t="s">
        <v>141</v>
      </c>
      <c r="L8" s="168" t="s">
        <v>83</v>
      </c>
      <c r="M8" s="46">
        <v>41970</v>
      </c>
      <c r="N8" s="269" t="s">
        <v>54</v>
      </c>
      <c r="O8" s="269" t="s">
        <v>115</v>
      </c>
      <c r="P8" s="270" t="s">
        <v>299</v>
      </c>
      <c r="Q8" s="46">
        <v>42734</v>
      </c>
      <c r="R8" s="154" t="s">
        <v>507</v>
      </c>
      <c r="S8" s="250" t="s">
        <v>55</v>
      </c>
      <c r="T8" s="46"/>
      <c r="U8" s="268"/>
      <c r="V8" s="155">
        <f t="shared" ref="V8" si="4">DAYS360(H8,M8,0)+1</f>
        <v>328</v>
      </c>
      <c r="W8" s="505"/>
      <c r="X8" s="506"/>
      <c r="Y8" s="514" t="s">
        <v>417</v>
      </c>
    </row>
    <row r="9" spans="1:26" ht="135" hidden="1" customHeight="1" x14ac:dyDescent="0.2">
      <c r="A9" s="499">
        <f t="shared" si="3"/>
        <v>6</v>
      </c>
      <c r="B9" s="43" t="s">
        <v>2</v>
      </c>
      <c r="C9" s="154" t="s">
        <v>48</v>
      </c>
      <c r="D9" s="179" t="s">
        <v>46</v>
      </c>
      <c r="E9" s="15" t="s">
        <v>0</v>
      </c>
      <c r="F9" s="45" t="s">
        <v>62</v>
      </c>
      <c r="G9" s="45"/>
      <c r="H9" s="46">
        <v>41292</v>
      </c>
      <c r="I9" s="297" t="s">
        <v>49</v>
      </c>
      <c r="J9" s="401" t="s">
        <v>57</v>
      </c>
      <c r="K9" s="169" t="s">
        <v>141</v>
      </c>
      <c r="L9" s="168" t="s">
        <v>83</v>
      </c>
      <c r="M9" s="46">
        <v>41677</v>
      </c>
      <c r="N9" s="183" t="s">
        <v>54</v>
      </c>
      <c r="O9" s="183" t="s">
        <v>156</v>
      </c>
      <c r="P9" s="197" t="s">
        <v>157</v>
      </c>
      <c r="Q9" s="46">
        <v>41820</v>
      </c>
      <c r="R9" s="493" t="s">
        <v>542</v>
      </c>
      <c r="S9" s="182" t="s">
        <v>55</v>
      </c>
      <c r="T9" s="46"/>
      <c r="U9" s="178"/>
      <c r="V9" s="155">
        <f t="shared" si="1"/>
        <v>380</v>
      </c>
      <c r="W9" s="327" t="str">
        <f t="shared" si="0"/>
        <v>Inoportuno</v>
      </c>
      <c r="X9" s="155">
        <f t="shared" si="2"/>
        <v>-41219</v>
      </c>
      <c r="Y9" s="366" t="s">
        <v>417</v>
      </c>
    </row>
    <row r="10" spans="1:26" ht="107.25" hidden="1" customHeight="1" x14ac:dyDescent="0.2">
      <c r="A10" s="499">
        <f t="shared" si="3"/>
        <v>7</v>
      </c>
      <c r="B10" s="43" t="s">
        <v>2</v>
      </c>
      <c r="C10" s="44" t="s">
        <v>271</v>
      </c>
      <c r="D10" s="183" t="s">
        <v>45</v>
      </c>
      <c r="E10" s="15" t="s">
        <v>0</v>
      </c>
      <c r="F10" s="45" t="s">
        <v>62</v>
      </c>
      <c r="G10" s="45"/>
      <c r="H10" s="46">
        <v>41309</v>
      </c>
      <c r="I10" s="297" t="s">
        <v>11</v>
      </c>
      <c r="J10" s="401" t="s">
        <v>82</v>
      </c>
      <c r="K10" s="169" t="s">
        <v>141</v>
      </c>
      <c r="L10" s="168" t="s">
        <v>83</v>
      </c>
      <c r="M10" s="46">
        <v>41410</v>
      </c>
      <c r="N10" s="179" t="s">
        <v>54</v>
      </c>
      <c r="O10" s="179" t="s">
        <v>149</v>
      </c>
      <c r="P10" s="197" t="s">
        <v>682</v>
      </c>
      <c r="Q10" s="46">
        <v>41440</v>
      </c>
      <c r="R10" s="494" t="s">
        <v>543</v>
      </c>
      <c r="S10" s="178" t="s">
        <v>55</v>
      </c>
      <c r="T10" s="46"/>
      <c r="U10" s="178"/>
      <c r="V10" s="155">
        <f t="shared" si="1"/>
        <v>103</v>
      </c>
      <c r="W10" s="327" t="str">
        <f t="shared" si="0"/>
        <v>Inoportuno</v>
      </c>
      <c r="X10" s="155">
        <f t="shared" si="2"/>
        <v>-40844</v>
      </c>
      <c r="Y10" s="366" t="s">
        <v>417</v>
      </c>
    </row>
    <row r="11" spans="1:26" ht="288.75" hidden="1" customHeight="1" x14ac:dyDescent="0.2">
      <c r="A11" s="499">
        <f t="shared" si="3"/>
        <v>8</v>
      </c>
      <c r="B11" s="43" t="s">
        <v>65</v>
      </c>
      <c r="C11" s="154" t="s">
        <v>16</v>
      </c>
      <c r="D11" s="500" t="s">
        <v>45</v>
      </c>
      <c r="E11" s="500" t="s">
        <v>0</v>
      </c>
      <c r="F11" s="45" t="s">
        <v>62</v>
      </c>
      <c r="G11" s="45"/>
      <c r="H11" s="46">
        <v>41453</v>
      </c>
      <c r="I11" s="297" t="s">
        <v>15</v>
      </c>
      <c r="J11" s="507" t="s">
        <v>82</v>
      </c>
      <c r="K11" s="507" t="s">
        <v>141</v>
      </c>
      <c r="L11" s="513" t="s">
        <v>83</v>
      </c>
      <c r="M11" s="46">
        <v>41456</v>
      </c>
      <c r="N11" s="166" t="s">
        <v>109</v>
      </c>
      <c r="O11" s="195" t="s">
        <v>165</v>
      </c>
      <c r="P11" s="535" t="s">
        <v>170</v>
      </c>
      <c r="Q11" s="357">
        <v>42369</v>
      </c>
      <c r="R11" s="497" t="s">
        <v>569</v>
      </c>
      <c r="S11" s="160" t="s">
        <v>55</v>
      </c>
      <c r="T11" s="46"/>
      <c r="U11" s="42"/>
      <c r="V11" s="155">
        <f t="shared" si="1"/>
        <v>4</v>
      </c>
      <c r="W11" s="519" t="str">
        <f t="shared" si="0"/>
        <v>Oportuno</v>
      </c>
      <c r="X11" s="517">
        <f t="shared" si="2"/>
        <v>-41759</v>
      </c>
      <c r="Y11" s="514" t="s">
        <v>417</v>
      </c>
    </row>
    <row r="12" spans="1:26" ht="46.5" hidden="1" customHeight="1" x14ac:dyDescent="0.2">
      <c r="A12" s="499">
        <f t="shared" si="3"/>
        <v>9</v>
      </c>
      <c r="B12" s="43" t="s">
        <v>66</v>
      </c>
      <c r="C12" s="154" t="s">
        <v>272</v>
      </c>
      <c r="D12" s="16" t="s">
        <v>45</v>
      </c>
      <c r="E12" s="15" t="s">
        <v>0</v>
      </c>
      <c r="F12" s="45" t="s">
        <v>62</v>
      </c>
      <c r="G12" s="45"/>
      <c r="H12" s="46">
        <v>41610</v>
      </c>
      <c r="I12" s="294" t="s">
        <v>41</v>
      </c>
      <c r="J12" s="401" t="s">
        <v>82</v>
      </c>
      <c r="K12" s="169" t="s">
        <v>141</v>
      </c>
      <c r="L12" s="168" t="s">
        <v>83</v>
      </c>
      <c r="M12" s="46">
        <v>41726</v>
      </c>
      <c r="N12" s="193" t="s">
        <v>54</v>
      </c>
      <c r="O12" s="193" t="s">
        <v>303</v>
      </c>
      <c r="P12" s="535" t="s">
        <v>159</v>
      </c>
      <c r="Q12" s="46">
        <v>42004</v>
      </c>
      <c r="R12" s="497" t="s">
        <v>506</v>
      </c>
      <c r="S12" s="194" t="s">
        <v>55</v>
      </c>
      <c r="T12" s="46"/>
      <c r="U12" s="248"/>
      <c r="V12" s="155">
        <f t="shared" si="1"/>
        <v>117</v>
      </c>
      <c r="W12" s="327" t="str">
        <f t="shared" si="0"/>
        <v>Inoportuno</v>
      </c>
      <c r="X12" s="155">
        <f t="shared" si="2"/>
        <v>-41399</v>
      </c>
      <c r="Y12" s="366" t="s">
        <v>417</v>
      </c>
    </row>
    <row r="13" spans="1:26" ht="186.75" hidden="1" customHeight="1" x14ac:dyDescent="0.2">
      <c r="A13" s="499">
        <f t="shared" si="3"/>
        <v>10</v>
      </c>
      <c r="B13" s="43" t="s">
        <v>66</v>
      </c>
      <c r="C13" s="154" t="s">
        <v>273</v>
      </c>
      <c r="D13" s="210" t="s">
        <v>45</v>
      </c>
      <c r="E13" s="15" t="s">
        <v>0</v>
      </c>
      <c r="F13" s="45" t="s">
        <v>62</v>
      </c>
      <c r="G13" s="45"/>
      <c r="H13" s="46">
        <v>41610</v>
      </c>
      <c r="I13" s="298" t="s">
        <v>274</v>
      </c>
      <c r="J13" s="401" t="s">
        <v>57</v>
      </c>
      <c r="K13" s="169" t="s">
        <v>141</v>
      </c>
      <c r="L13" s="168" t="s">
        <v>83</v>
      </c>
      <c r="M13" s="46">
        <v>41726</v>
      </c>
      <c r="N13" s="195" t="s">
        <v>54</v>
      </c>
      <c r="O13" s="195" t="s">
        <v>160</v>
      </c>
      <c r="P13" s="535" t="s">
        <v>172</v>
      </c>
      <c r="Q13" s="46">
        <v>42369</v>
      </c>
      <c r="R13" s="197" t="s">
        <v>683</v>
      </c>
      <c r="S13" s="196" t="s">
        <v>55</v>
      </c>
      <c r="T13" s="46"/>
      <c r="U13" s="42"/>
      <c r="V13" s="155">
        <f t="shared" si="1"/>
        <v>117</v>
      </c>
      <c r="W13" s="327" t="str">
        <f t="shared" si="0"/>
        <v>Inoportuno</v>
      </c>
      <c r="X13" s="155">
        <f t="shared" si="2"/>
        <v>-41759</v>
      </c>
      <c r="Y13" s="366" t="s">
        <v>417</v>
      </c>
    </row>
    <row r="14" spans="1:26" ht="44.25" hidden="1" customHeight="1" x14ac:dyDescent="0.2">
      <c r="A14" s="499">
        <f t="shared" si="3"/>
        <v>11</v>
      </c>
      <c r="B14" s="43" t="s">
        <v>66</v>
      </c>
      <c r="C14" s="154" t="s">
        <v>272</v>
      </c>
      <c r="D14" s="16" t="s">
        <v>45</v>
      </c>
      <c r="E14" s="15" t="s">
        <v>0</v>
      </c>
      <c r="F14" s="45" t="s">
        <v>62</v>
      </c>
      <c r="G14" s="45"/>
      <c r="H14" s="46">
        <v>41610</v>
      </c>
      <c r="I14" s="297" t="s">
        <v>42</v>
      </c>
      <c r="J14" s="401" t="s">
        <v>57</v>
      </c>
      <c r="K14" s="169" t="s">
        <v>141</v>
      </c>
      <c r="L14" s="168" t="s">
        <v>83</v>
      </c>
      <c r="M14" s="46">
        <v>41726</v>
      </c>
      <c r="N14" s="195" t="s">
        <v>109</v>
      </c>
      <c r="O14" s="195" t="s">
        <v>161</v>
      </c>
      <c r="P14" s="535" t="s">
        <v>162</v>
      </c>
      <c r="Q14" s="46">
        <v>42005</v>
      </c>
      <c r="R14" s="197"/>
      <c r="S14" s="196" t="s">
        <v>55</v>
      </c>
      <c r="T14" s="46"/>
      <c r="U14" s="42"/>
      <c r="V14" s="155">
        <f t="shared" ref="V14:V31" si="5">DAYS360(H14,M14,0)+1</f>
        <v>117</v>
      </c>
      <c r="W14" s="327" t="str">
        <f t="shared" si="0"/>
        <v>Inoportuno</v>
      </c>
      <c r="X14" s="155">
        <f t="shared" ref="X14:X35" si="6">DAYS360(Q14,T14,0)+1</f>
        <v>-41400</v>
      </c>
      <c r="Y14" s="366" t="s">
        <v>417</v>
      </c>
    </row>
    <row r="15" spans="1:26" ht="190.5" hidden="1" customHeight="1" x14ac:dyDescent="0.2">
      <c r="A15" s="499">
        <f t="shared" si="3"/>
        <v>12</v>
      </c>
      <c r="B15" s="43" t="s">
        <v>66</v>
      </c>
      <c r="C15" s="154" t="s">
        <v>275</v>
      </c>
      <c r="D15" s="16" t="s">
        <v>45</v>
      </c>
      <c r="E15" s="15" t="s">
        <v>0</v>
      </c>
      <c r="F15" s="45" t="s">
        <v>62</v>
      </c>
      <c r="G15" s="45"/>
      <c r="H15" s="46">
        <v>41621</v>
      </c>
      <c r="I15" s="297" t="s">
        <v>43</v>
      </c>
      <c r="J15" s="401" t="s">
        <v>82</v>
      </c>
      <c r="K15" s="169" t="s">
        <v>141</v>
      </c>
      <c r="L15" s="168" t="s">
        <v>83</v>
      </c>
      <c r="M15" s="46">
        <v>41711</v>
      </c>
      <c r="N15" s="185" t="s">
        <v>109</v>
      </c>
      <c r="O15" s="185" t="s">
        <v>276</v>
      </c>
      <c r="P15" s="535" t="s">
        <v>684</v>
      </c>
      <c r="Q15" s="46">
        <v>42399</v>
      </c>
      <c r="R15" s="197" t="s">
        <v>685</v>
      </c>
      <c r="S15" s="184" t="s">
        <v>55</v>
      </c>
      <c r="T15" s="46"/>
      <c r="U15" s="42"/>
      <c r="V15" s="155">
        <f t="shared" si="5"/>
        <v>91</v>
      </c>
      <c r="W15" s="327" t="str">
        <f t="shared" si="0"/>
        <v>Inoportuno</v>
      </c>
      <c r="X15" s="155">
        <f t="shared" si="6"/>
        <v>-41789</v>
      </c>
      <c r="Y15" s="366" t="s">
        <v>417</v>
      </c>
    </row>
    <row r="16" spans="1:26" ht="166.5" hidden="1" thickTop="1" x14ac:dyDescent="0.2">
      <c r="A16" s="499">
        <f t="shared" si="3"/>
        <v>13</v>
      </c>
      <c r="B16" s="43" t="s">
        <v>53</v>
      </c>
      <c r="C16" s="233" t="s">
        <v>117</v>
      </c>
      <c r="D16" s="722" t="s">
        <v>45</v>
      </c>
      <c r="E16" s="722" t="s">
        <v>225</v>
      </c>
      <c r="F16" s="45" t="s">
        <v>63</v>
      </c>
      <c r="G16" s="45"/>
      <c r="H16" s="46">
        <v>41689</v>
      </c>
      <c r="I16" s="294" t="s">
        <v>185</v>
      </c>
      <c r="J16" s="777" t="s">
        <v>82</v>
      </c>
      <c r="K16" s="777" t="s">
        <v>141</v>
      </c>
      <c r="L16" s="778" t="s">
        <v>83</v>
      </c>
      <c r="M16" s="46">
        <v>41753</v>
      </c>
      <c r="N16" s="207" t="s">
        <v>54</v>
      </c>
      <c r="O16" s="212" t="s">
        <v>192</v>
      </c>
      <c r="P16" s="535" t="s">
        <v>186</v>
      </c>
      <c r="Q16" s="46">
        <v>42063</v>
      </c>
      <c r="R16" s="197" t="s">
        <v>313</v>
      </c>
      <c r="S16" s="208" t="s">
        <v>55</v>
      </c>
      <c r="T16" s="46"/>
      <c r="U16" s="42"/>
      <c r="V16" s="155">
        <f t="shared" si="5"/>
        <v>66</v>
      </c>
      <c r="W16" s="327" t="str">
        <f t="shared" si="0"/>
        <v>Inoportuno</v>
      </c>
      <c r="X16" s="155">
        <f t="shared" si="6"/>
        <v>-41459</v>
      </c>
      <c r="Y16" s="780" t="s">
        <v>417</v>
      </c>
    </row>
    <row r="17" spans="1:25" ht="141" hidden="1" thickTop="1" x14ac:dyDescent="0.2">
      <c r="A17" s="499">
        <f t="shared" si="3"/>
        <v>14</v>
      </c>
      <c r="B17" s="43" t="s">
        <v>53</v>
      </c>
      <c r="C17" s="233" t="s">
        <v>117</v>
      </c>
      <c r="D17" s="723"/>
      <c r="E17" s="723"/>
      <c r="F17" s="45" t="s">
        <v>63</v>
      </c>
      <c r="G17" s="45"/>
      <c r="H17" s="46">
        <v>41689</v>
      </c>
      <c r="I17" s="294" t="s">
        <v>185</v>
      </c>
      <c r="J17" s="777"/>
      <c r="K17" s="777"/>
      <c r="L17" s="782"/>
      <c r="M17" s="46">
        <v>41753</v>
      </c>
      <c r="N17" s="207" t="s">
        <v>54</v>
      </c>
      <c r="O17" s="212" t="s">
        <v>192</v>
      </c>
      <c r="P17" s="535" t="s">
        <v>187</v>
      </c>
      <c r="Q17" s="46">
        <v>42094</v>
      </c>
      <c r="R17" s="197" t="s">
        <v>314</v>
      </c>
      <c r="S17" s="208" t="s">
        <v>55</v>
      </c>
      <c r="T17" s="46"/>
      <c r="U17" s="208"/>
      <c r="V17" s="155">
        <f t="shared" si="5"/>
        <v>66</v>
      </c>
      <c r="W17" s="327" t="str">
        <f t="shared" si="0"/>
        <v>Inoportuno</v>
      </c>
      <c r="X17" s="155">
        <f t="shared" si="6"/>
        <v>-41489</v>
      </c>
      <c r="Y17" s="780" t="s">
        <v>417</v>
      </c>
    </row>
    <row r="18" spans="1:25" ht="128.25" hidden="1" thickTop="1" x14ac:dyDescent="0.2">
      <c r="A18" s="499">
        <f t="shared" si="3"/>
        <v>15</v>
      </c>
      <c r="B18" s="43" t="s">
        <v>53</v>
      </c>
      <c r="C18" s="233" t="s">
        <v>117</v>
      </c>
      <c r="D18" s="723"/>
      <c r="E18" s="723"/>
      <c r="F18" s="45" t="s">
        <v>63</v>
      </c>
      <c r="G18" s="45"/>
      <c r="H18" s="46">
        <v>41689</v>
      </c>
      <c r="I18" s="294" t="s">
        <v>185</v>
      </c>
      <c r="J18" s="777"/>
      <c r="K18" s="777"/>
      <c r="L18" s="782"/>
      <c r="M18" s="46">
        <v>41753</v>
      </c>
      <c r="N18" s="207" t="s">
        <v>54</v>
      </c>
      <c r="O18" s="212" t="s">
        <v>192</v>
      </c>
      <c r="P18" s="535" t="s">
        <v>188</v>
      </c>
      <c r="Q18" s="46">
        <v>41820</v>
      </c>
      <c r="R18" s="197" t="s">
        <v>315</v>
      </c>
      <c r="S18" s="208" t="s">
        <v>55</v>
      </c>
      <c r="T18" s="46"/>
      <c r="U18" s="208"/>
      <c r="V18" s="155">
        <f t="shared" si="5"/>
        <v>66</v>
      </c>
      <c r="W18" s="327" t="str">
        <f t="shared" si="0"/>
        <v>Inoportuno</v>
      </c>
      <c r="X18" s="155">
        <f t="shared" si="6"/>
        <v>-41219</v>
      </c>
      <c r="Y18" s="780" t="s">
        <v>417</v>
      </c>
    </row>
    <row r="19" spans="1:25" ht="70.5" hidden="1" customHeight="1" x14ac:dyDescent="0.2">
      <c r="A19" s="499">
        <f t="shared" si="3"/>
        <v>16</v>
      </c>
      <c r="B19" s="43" t="s">
        <v>53</v>
      </c>
      <c r="C19" s="233" t="s">
        <v>117</v>
      </c>
      <c r="D19" s="723"/>
      <c r="E19" s="723"/>
      <c r="F19" s="45" t="s">
        <v>63</v>
      </c>
      <c r="G19" s="45"/>
      <c r="H19" s="46">
        <v>41689</v>
      </c>
      <c r="I19" s="294" t="s">
        <v>185</v>
      </c>
      <c r="J19" s="777"/>
      <c r="K19" s="777"/>
      <c r="L19" s="782"/>
      <c r="M19" s="46">
        <v>41753</v>
      </c>
      <c r="N19" s="207" t="s">
        <v>54</v>
      </c>
      <c r="O19" s="212" t="s">
        <v>192</v>
      </c>
      <c r="P19" s="535" t="s">
        <v>189</v>
      </c>
      <c r="Q19" s="46">
        <v>41820</v>
      </c>
      <c r="R19" s="197" t="s">
        <v>316</v>
      </c>
      <c r="S19" s="208" t="s">
        <v>55</v>
      </c>
      <c r="T19" s="46"/>
      <c r="U19" s="208"/>
      <c r="V19" s="155">
        <f t="shared" si="5"/>
        <v>66</v>
      </c>
      <c r="W19" s="327" t="str">
        <f t="shared" ref="W19:W63" si="7">IF(V19&gt;7,"Inoportuno",(IF(V19&lt;0,"No ha formulado PM","Oportuno")))</f>
        <v>Inoportuno</v>
      </c>
      <c r="X19" s="155">
        <f t="shared" si="6"/>
        <v>-41219</v>
      </c>
      <c r="Y19" s="780" t="s">
        <v>417</v>
      </c>
    </row>
    <row r="20" spans="1:25" ht="83.25" hidden="1" customHeight="1" x14ac:dyDescent="0.2">
      <c r="A20" s="499">
        <f t="shared" si="3"/>
        <v>17</v>
      </c>
      <c r="B20" s="43" t="s">
        <v>53</v>
      </c>
      <c r="C20" s="233" t="s">
        <v>117</v>
      </c>
      <c r="D20" s="723"/>
      <c r="E20" s="723"/>
      <c r="F20" s="45" t="s">
        <v>63</v>
      </c>
      <c r="G20" s="45"/>
      <c r="H20" s="46">
        <v>41689</v>
      </c>
      <c r="I20" s="294" t="s">
        <v>185</v>
      </c>
      <c r="J20" s="777"/>
      <c r="K20" s="777"/>
      <c r="L20" s="782"/>
      <c r="M20" s="46">
        <v>41753</v>
      </c>
      <c r="N20" s="207" t="s">
        <v>54</v>
      </c>
      <c r="O20" s="212" t="s">
        <v>192</v>
      </c>
      <c r="P20" s="535" t="s">
        <v>190</v>
      </c>
      <c r="Q20" s="46">
        <v>41820</v>
      </c>
      <c r="R20" s="197" t="s">
        <v>317</v>
      </c>
      <c r="S20" s="208" t="s">
        <v>55</v>
      </c>
      <c r="T20" s="46"/>
      <c r="U20" s="208"/>
      <c r="V20" s="155">
        <f t="shared" si="5"/>
        <v>66</v>
      </c>
      <c r="W20" s="327" t="str">
        <f t="shared" si="7"/>
        <v>Inoportuno</v>
      </c>
      <c r="X20" s="155">
        <f t="shared" si="6"/>
        <v>-41219</v>
      </c>
      <c r="Y20" s="780" t="s">
        <v>417</v>
      </c>
    </row>
    <row r="21" spans="1:25" ht="98.25" hidden="1" customHeight="1" x14ac:dyDescent="0.2">
      <c r="A21" s="499">
        <f t="shared" si="3"/>
        <v>18</v>
      </c>
      <c r="B21" s="43" t="s">
        <v>53</v>
      </c>
      <c r="C21" s="233" t="s">
        <v>117</v>
      </c>
      <c r="D21" s="724"/>
      <c r="E21" s="724"/>
      <c r="F21" s="45" t="s">
        <v>63</v>
      </c>
      <c r="G21" s="45"/>
      <c r="H21" s="46">
        <v>41689</v>
      </c>
      <c r="I21" s="294" t="s">
        <v>185</v>
      </c>
      <c r="J21" s="777"/>
      <c r="K21" s="777"/>
      <c r="L21" s="779"/>
      <c r="M21" s="46">
        <v>41753</v>
      </c>
      <c r="N21" s="207" t="s">
        <v>54</v>
      </c>
      <c r="O21" s="212" t="s">
        <v>192</v>
      </c>
      <c r="P21" s="535" t="s">
        <v>191</v>
      </c>
      <c r="Q21" s="46">
        <v>41820</v>
      </c>
      <c r="R21" s="197" t="s">
        <v>318</v>
      </c>
      <c r="S21" s="208" t="s">
        <v>55</v>
      </c>
      <c r="T21" s="46"/>
      <c r="U21" s="208"/>
      <c r="V21" s="155">
        <f t="shared" si="5"/>
        <v>66</v>
      </c>
      <c r="W21" s="327" t="str">
        <f t="shared" si="7"/>
        <v>Inoportuno</v>
      </c>
      <c r="X21" s="155">
        <f t="shared" si="6"/>
        <v>-41219</v>
      </c>
      <c r="Y21" s="780" t="s">
        <v>417</v>
      </c>
    </row>
    <row r="22" spans="1:25" ht="85.5" hidden="1" customHeight="1" x14ac:dyDescent="0.2">
      <c r="A22" s="499">
        <f t="shared" si="3"/>
        <v>19</v>
      </c>
      <c r="B22" s="43" t="s">
        <v>53</v>
      </c>
      <c r="C22" s="233" t="s">
        <v>39</v>
      </c>
      <c r="D22" s="16" t="s">
        <v>45</v>
      </c>
      <c r="E22" s="15" t="s">
        <v>225</v>
      </c>
      <c r="F22" s="45" t="s">
        <v>63</v>
      </c>
      <c r="G22" s="45"/>
      <c r="H22" s="46">
        <v>41634</v>
      </c>
      <c r="I22" s="298" t="s">
        <v>40</v>
      </c>
      <c r="J22" s="401" t="s">
        <v>82</v>
      </c>
      <c r="K22" s="169" t="s">
        <v>141</v>
      </c>
      <c r="L22" s="168" t="s">
        <v>83</v>
      </c>
      <c r="M22" s="46">
        <v>41753</v>
      </c>
      <c r="N22" s="210" t="s">
        <v>109</v>
      </c>
      <c r="O22" s="207" t="s">
        <v>194</v>
      </c>
      <c r="P22" s="535" t="s">
        <v>193</v>
      </c>
      <c r="Q22" s="46">
        <v>41789</v>
      </c>
      <c r="R22" s="197" t="s">
        <v>302</v>
      </c>
      <c r="S22" s="208" t="s">
        <v>55</v>
      </c>
      <c r="T22" s="46"/>
      <c r="U22" s="42"/>
      <c r="V22" s="155">
        <f t="shared" si="5"/>
        <v>119</v>
      </c>
      <c r="W22" s="327" t="str">
        <f t="shared" si="7"/>
        <v>Inoportuno</v>
      </c>
      <c r="X22" s="155">
        <f t="shared" si="6"/>
        <v>-41189</v>
      </c>
      <c r="Y22" s="366" t="s">
        <v>417</v>
      </c>
    </row>
    <row r="23" spans="1:25" ht="105" hidden="1" customHeight="1" x14ac:dyDescent="0.2">
      <c r="A23" s="499">
        <f t="shared" si="3"/>
        <v>20</v>
      </c>
      <c r="B23" s="43" t="s">
        <v>53</v>
      </c>
      <c r="C23" s="233" t="s">
        <v>39</v>
      </c>
      <c r="D23" s="207" t="s">
        <v>45</v>
      </c>
      <c r="E23" s="15" t="s">
        <v>225</v>
      </c>
      <c r="F23" s="45" t="s">
        <v>63</v>
      </c>
      <c r="G23" s="45"/>
      <c r="H23" s="46">
        <v>41634</v>
      </c>
      <c r="I23" s="298" t="s">
        <v>40</v>
      </c>
      <c r="J23" s="401" t="s">
        <v>82</v>
      </c>
      <c r="K23" s="169" t="s">
        <v>141</v>
      </c>
      <c r="L23" s="168" t="s">
        <v>83</v>
      </c>
      <c r="M23" s="46">
        <v>41753</v>
      </c>
      <c r="N23" s="207" t="s">
        <v>54</v>
      </c>
      <c r="O23" s="207" t="s">
        <v>194</v>
      </c>
      <c r="P23" s="535" t="s">
        <v>320</v>
      </c>
      <c r="Q23" s="46">
        <v>42004</v>
      </c>
      <c r="R23" s="197" t="s">
        <v>319</v>
      </c>
      <c r="S23" s="208" t="s">
        <v>55</v>
      </c>
      <c r="T23" s="46"/>
      <c r="U23" s="208"/>
      <c r="V23" s="155">
        <f t="shared" si="5"/>
        <v>119</v>
      </c>
      <c r="W23" s="327" t="str">
        <f t="shared" si="7"/>
        <v>Inoportuno</v>
      </c>
      <c r="X23" s="155">
        <f t="shared" si="6"/>
        <v>-41399</v>
      </c>
      <c r="Y23" s="366" t="s">
        <v>417</v>
      </c>
    </row>
    <row r="24" spans="1:25" ht="243" hidden="1" thickTop="1" x14ac:dyDescent="0.2">
      <c r="A24" s="499">
        <f t="shared" si="3"/>
        <v>21</v>
      </c>
      <c r="B24" s="43" t="s">
        <v>53</v>
      </c>
      <c r="C24" s="233" t="s">
        <v>118</v>
      </c>
      <c r="D24" s="501" t="s">
        <v>45</v>
      </c>
      <c r="E24" s="510" t="s">
        <v>225</v>
      </c>
      <c r="F24" s="45" t="s">
        <v>63</v>
      </c>
      <c r="G24" s="45"/>
      <c r="H24" s="46">
        <v>41506</v>
      </c>
      <c r="I24" s="295" t="s">
        <v>277</v>
      </c>
      <c r="J24" s="507" t="s">
        <v>82</v>
      </c>
      <c r="K24" s="507" t="s">
        <v>141</v>
      </c>
      <c r="L24" s="168" t="s">
        <v>83</v>
      </c>
      <c r="M24" s="46">
        <v>41513</v>
      </c>
      <c r="N24" s="16" t="s">
        <v>54</v>
      </c>
      <c r="O24" s="16" t="s">
        <v>122</v>
      </c>
      <c r="P24" s="535" t="s">
        <v>195</v>
      </c>
      <c r="Q24" s="46">
        <v>42035</v>
      </c>
      <c r="R24" s="197" t="s">
        <v>686</v>
      </c>
      <c r="S24" s="159" t="s">
        <v>55</v>
      </c>
      <c r="T24" s="46"/>
      <c r="U24" s="159"/>
      <c r="V24" s="155">
        <f t="shared" si="5"/>
        <v>8</v>
      </c>
      <c r="W24" s="327" t="str">
        <f t="shared" si="7"/>
        <v>Inoportuno</v>
      </c>
      <c r="X24" s="155">
        <f t="shared" si="6"/>
        <v>-41429</v>
      </c>
      <c r="Y24" s="514" t="s">
        <v>417</v>
      </c>
    </row>
    <row r="25" spans="1:25" ht="219.75" hidden="1" customHeight="1" x14ac:dyDescent="0.2">
      <c r="A25" s="499">
        <f t="shared" si="3"/>
        <v>22</v>
      </c>
      <c r="B25" s="43" t="s">
        <v>53</v>
      </c>
      <c r="C25" s="233" t="s">
        <v>278</v>
      </c>
      <c r="D25" s="501" t="s">
        <v>50</v>
      </c>
      <c r="E25" s="510" t="s">
        <v>225</v>
      </c>
      <c r="F25" s="45" t="s">
        <v>63</v>
      </c>
      <c r="G25" s="45"/>
      <c r="H25" s="46">
        <v>41313</v>
      </c>
      <c r="I25" s="295" t="s">
        <v>14</v>
      </c>
      <c r="J25" s="507" t="s">
        <v>82</v>
      </c>
      <c r="K25" s="507" t="s">
        <v>141</v>
      </c>
      <c r="L25" s="168" t="s">
        <v>83</v>
      </c>
      <c r="M25" s="46">
        <v>41324</v>
      </c>
      <c r="N25" s="16" t="s">
        <v>54</v>
      </c>
      <c r="O25" s="16" t="s">
        <v>120</v>
      </c>
      <c r="P25" s="535" t="s">
        <v>121</v>
      </c>
      <c r="Q25" s="46">
        <v>42369</v>
      </c>
      <c r="R25" s="281" t="s">
        <v>687</v>
      </c>
      <c r="S25" s="159" t="s">
        <v>55</v>
      </c>
      <c r="T25" s="46"/>
      <c r="U25" s="159"/>
      <c r="V25" s="155">
        <f t="shared" si="5"/>
        <v>12</v>
      </c>
      <c r="W25" s="327" t="str">
        <f t="shared" si="7"/>
        <v>Inoportuno</v>
      </c>
      <c r="X25" s="155">
        <f t="shared" si="6"/>
        <v>-41759</v>
      </c>
      <c r="Y25" s="514" t="s">
        <v>417</v>
      </c>
    </row>
    <row r="26" spans="1:25" ht="261.75" hidden="1" customHeight="1" x14ac:dyDescent="0.2">
      <c r="A26" s="499">
        <f t="shared" si="3"/>
        <v>23</v>
      </c>
      <c r="B26" s="43" t="s">
        <v>53</v>
      </c>
      <c r="C26" s="233" t="s">
        <v>7</v>
      </c>
      <c r="D26" s="16" t="s">
        <v>45</v>
      </c>
      <c r="E26" s="15" t="s">
        <v>225</v>
      </c>
      <c r="F26" s="45" t="s">
        <v>63</v>
      </c>
      <c r="G26" s="45"/>
      <c r="H26" s="46">
        <v>41534</v>
      </c>
      <c r="I26" s="298" t="s">
        <v>19</v>
      </c>
      <c r="J26" s="229" t="s">
        <v>82</v>
      </c>
      <c r="K26" s="169" t="s">
        <v>141</v>
      </c>
      <c r="L26" s="168" t="s">
        <v>83</v>
      </c>
      <c r="M26" s="46">
        <v>41541</v>
      </c>
      <c r="N26" s="16" t="s">
        <v>54</v>
      </c>
      <c r="O26" s="16" t="s">
        <v>126</v>
      </c>
      <c r="P26" s="535" t="s">
        <v>125</v>
      </c>
      <c r="Q26" s="46">
        <v>42094</v>
      </c>
      <c r="R26" s="197" t="s">
        <v>352</v>
      </c>
      <c r="S26" s="159" t="s">
        <v>55</v>
      </c>
      <c r="T26" s="46"/>
      <c r="U26" s="42"/>
      <c r="V26" s="155">
        <f t="shared" si="5"/>
        <v>8</v>
      </c>
      <c r="W26" s="327" t="str">
        <f t="shared" si="7"/>
        <v>Inoportuno</v>
      </c>
      <c r="X26" s="155">
        <f t="shared" si="6"/>
        <v>-41489</v>
      </c>
      <c r="Y26" s="367" t="s">
        <v>417</v>
      </c>
    </row>
    <row r="27" spans="1:25" ht="264.75" hidden="1" customHeight="1" x14ac:dyDescent="0.2">
      <c r="A27" s="499">
        <f t="shared" si="3"/>
        <v>24</v>
      </c>
      <c r="B27" s="43" t="s">
        <v>53</v>
      </c>
      <c r="C27" s="233" t="s">
        <v>7</v>
      </c>
      <c r="D27" s="226" t="s">
        <v>45</v>
      </c>
      <c r="E27" s="226" t="s">
        <v>225</v>
      </c>
      <c r="F27" s="502" t="s">
        <v>63</v>
      </c>
      <c r="G27" s="502"/>
      <c r="H27" s="228">
        <v>41534</v>
      </c>
      <c r="I27" s="520" t="s">
        <v>119</v>
      </c>
      <c r="J27" s="229" t="s">
        <v>82</v>
      </c>
      <c r="K27" s="229" t="s">
        <v>141</v>
      </c>
      <c r="L27" s="394" t="s">
        <v>83</v>
      </c>
      <c r="M27" s="46">
        <v>41541</v>
      </c>
      <c r="N27" s="16" t="s">
        <v>54</v>
      </c>
      <c r="O27" s="16" t="s">
        <v>124</v>
      </c>
      <c r="P27" s="535" t="s">
        <v>127</v>
      </c>
      <c r="Q27" s="46">
        <v>42094</v>
      </c>
      <c r="R27" s="197" t="s">
        <v>688</v>
      </c>
      <c r="S27" s="159" t="s">
        <v>55</v>
      </c>
      <c r="T27" s="46"/>
      <c r="U27" s="159"/>
      <c r="V27" s="155">
        <f t="shared" si="5"/>
        <v>8</v>
      </c>
      <c r="W27" s="327" t="str">
        <f t="shared" si="7"/>
        <v>Inoportuno</v>
      </c>
      <c r="X27" s="155">
        <f t="shared" si="6"/>
        <v>-41489</v>
      </c>
      <c r="Y27" s="515" t="s">
        <v>417</v>
      </c>
    </row>
    <row r="28" spans="1:25" ht="153.75" hidden="1" thickTop="1" x14ac:dyDescent="0.2">
      <c r="A28" s="499">
        <f t="shared" si="3"/>
        <v>25</v>
      </c>
      <c r="B28" s="43" t="s">
        <v>53</v>
      </c>
      <c r="C28" s="233" t="s">
        <v>7</v>
      </c>
      <c r="D28" s="16" t="s">
        <v>45</v>
      </c>
      <c r="E28" s="15" t="s">
        <v>225</v>
      </c>
      <c r="F28" s="45" t="s">
        <v>63</v>
      </c>
      <c r="G28" s="45"/>
      <c r="H28" s="46">
        <v>41534</v>
      </c>
      <c r="I28" s="298" t="s">
        <v>20</v>
      </c>
      <c r="J28" s="401" t="s">
        <v>82</v>
      </c>
      <c r="K28" s="169" t="s">
        <v>141</v>
      </c>
      <c r="L28" s="168" t="s">
        <v>83</v>
      </c>
      <c r="M28" s="46">
        <v>41541</v>
      </c>
      <c r="N28" s="16" t="s">
        <v>109</v>
      </c>
      <c r="O28" s="16" t="s">
        <v>123</v>
      </c>
      <c r="P28" s="535" t="s">
        <v>128</v>
      </c>
      <c r="Q28" s="46">
        <v>42369</v>
      </c>
      <c r="R28" s="197" t="s">
        <v>353</v>
      </c>
      <c r="S28" s="159" t="s">
        <v>55</v>
      </c>
      <c r="T28" s="46"/>
      <c r="U28" s="42"/>
      <c r="V28" s="155">
        <f t="shared" si="5"/>
        <v>8</v>
      </c>
      <c r="W28" s="327" t="str">
        <f t="shared" si="7"/>
        <v>Inoportuno</v>
      </c>
      <c r="X28" s="155">
        <f t="shared" si="6"/>
        <v>-41759</v>
      </c>
      <c r="Y28" s="366" t="s">
        <v>417</v>
      </c>
    </row>
    <row r="29" spans="1:25" ht="134.25" hidden="1" customHeight="1" x14ac:dyDescent="0.2">
      <c r="A29" s="499">
        <f t="shared" si="3"/>
        <v>26</v>
      </c>
      <c r="B29" s="43" t="s">
        <v>53</v>
      </c>
      <c r="C29" s="233" t="s">
        <v>7</v>
      </c>
      <c r="D29" s="16" t="s">
        <v>45</v>
      </c>
      <c r="E29" s="15" t="s">
        <v>225</v>
      </c>
      <c r="F29" s="45" t="s">
        <v>63</v>
      </c>
      <c r="G29" s="45"/>
      <c r="H29" s="46">
        <v>41534</v>
      </c>
      <c r="I29" s="298" t="s">
        <v>21</v>
      </c>
      <c r="J29" s="401" t="s">
        <v>82</v>
      </c>
      <c r="K29" s="169" t="s">
        <v>141</v>
      </c>
      <c r="L29" s="168" t="s">
        <v>83</v>
      </c>
      <c r="M29" s="46">
        <v>41541</v>
      </c>
      <c r="N29" s="16" t="s">
        <v>109</v>
      </c>
      <c r="O29" s="16" t="s">
        <v>130</v>
      </c>
      <c r="P29" s="535" t="s">
        <v>129</v>
      </c>
      <c r="Q29" s="46">
        <v>42185</v>
      </c>
      <c r="R29" s="197" t="s">
        <v>689</v>
      </c>
      <c r="S29" s="159" t="s">
        <v>55</v>
      </c>
      <c r="T29" s="46"/>
      <c r="U29" s="42"/>
      <c r="V29" s="155">
        <f t="shared" si="5"/>
        <v>8</v>
      </c>
      <c r="W29" s="327" t="str">
        <f t="shared" si="7"/>
        <v>Inoportuno</v>
      </c>
      <c r="X29" s="155">
        <f t="shared" si="6"/>
        <v>-41579</v>
      </c>
      <c r="Y29" s="366" t="s">
        <v>417</v>
      </c>
    </row>
    <row r="30" spans="1:25" ht="251.25" hidden="1" customHeight="1" x14ac:dyDescent="0.2">
      <c r="A30" s="499">
        <f t="shared" si="3"/>
        <v>27</v>
      </c>
      <c r="B30" s="43" t="s">
        <v>53</v>
      </c>
      <c r="C30" s="233" t="s">
        <v>7</v>
      </c>
      <c r="D30" s="16" t="s">
        <v>45</v>
      </c>
      <c r="E30" s="15" t="s">
        <v>225</v>
      </c>
      <c r="F30" s="45" t="s">
        <v>63</v>
      </c>
      <c r="G30" s="45"/>
      <c r="H30" s="46">
        <v>41534</v>
      </c>
      <c r="I30" s="298" t="s">
        <v>22</v>
      </c>
      <c r="J30" s="401" t="s">
        <v>82</v>
      </c>
      <c r="K30" s="169" t="s">
        <v>141</v>
      </c>
      <c r="L30" s="168" t="s">
        <v>83</v>
      </c>
      <c r="M30" s="46">
        <v>41541</v>
      </c>
      <c r="N30" s="16" t="s">
        <v>54</v>
      </c>
      <c r="O30" s="16" t="s">
        <v>132</v>
      </c>
      <c r="P30" s="535" t="s">
        <v>131</v>
      </c>
      <c r="Q30" s="46">
        <v>42094</v>
      </c>
      <c r="R30" s="197" t="s">
        <v>690</v>
      </c>
      <c r="S30" s="159" t="s">
        <v>55</v>
      </c>
      <c r="T30" s="46"/>
      <c r="U30" s="42"/>
      <c r="V30" s="155">
        <f t="shared" si="5"/>
        <v>8</v>
      </c>
      <c r="W30" s="327" t="str">
        <f t="shared" si="7"/>
        <v>Inoportuno</v>
      </c>
      <c r="X30" s="155">
        <f t="shared" si="6"/>
        <v>-41489</v>
      </c>
      <c r="Y30" s="366" t="s">
        <v>417</v>
      </c>
    </row>
    <row r="31" spans="1:25" ht="178.5" hidden="1" customHeight="1" x14ac:dyDescent="0.2">
      <c r="A31" s="499">
        <f t="shared" si="3"/>
        <v>28</v>
      </c>
      <c r="B31" s="43" t="s">
        <v>53</v>
      </c>
      <c r="C31" s="233" t="s">
        <v>7</v>
      </c>
      <c r="D31" s="16" t="s">
        <v>45</v>
      </c>
      <c r="E31" s="15" t="s">
        <v>225</v>
      </c>
      <c r="F31" s="45" t="s">
        <v>63</v>
      </c>
      <c r="G31" s="45"/>
      <c r="H31" s="46">
        <v>41534</v>
      </c>
      <c r="I31" s="298" t="s">
        <v>23</v>
      </c>
      <c r="J31" s="401" t="s">
        <v>82</v>
      </c>
      <c r="K31" s="169" t="s">
        <v>141</v>
      </c>
      <c r="L31" s="168" t="s">
        <v>83</v>
      </c>
      <c r="M31" s="46">
        <v>41541</v>
      </c>
      <c r="N31" s="16" t="s">
        <v>109</v>
      </c>
      <c r="O31" s="16" t="s">
        <v>279</v>
      </c>
      <c r="P31" s="535" t="s">
        <v>133</v>
      </c>
      <c r="Q31" s="46">
        <v>42185</v>
      </c>
      <c r="R31" s="197" t="s">
        <v>691</v>
      </c>
      <c r="S31" s="159" t="s">
        <v>55</v>
      </c>
      <c r="T31" s="46"/>
      <c r="U31" s="42"/>
      <c r="V31" s="155">
        <f t="shared" si="5"/>
        <v>8</v>
      </c>
      <c r="W31" s="327" t="str">
        <f t="shared" si="7"/>
        <v>Inoportuno</v>
      </c>
      <c r="X31" s="155">
        <f t="shared" si="6"/>
        <v>-41579</v>
      </c>
      <c r="Y31" s="366" t="s">
        <v>417</v>
      </c>
    </row>
    <row r="32" spans="1:25" ht="267.75" customHeight="1" thickTop="1" x14ac:dyDescent="0.2">
      <c r="A32" s="685">
        <f t="shared" si="3"/>
        <v>29</v>
      </c>
      <c r="B32" s="43" t="s">
        <v>25</v>
      </c>
      <c r="C32" s="684" t="s">
        <v>208</v>
      </c>
      <c r="D32" s="722" t="s">
        <v>45</v>
      </c>
      <c r="E32" s="722" t="s">
        <v>0</v>
      </c>
      <c r="F32" s="45" t="s">
        <v>63</v>
      </c>
      <c r="G32" s="45"/>
      <c r="H32" s="697">
        <v>41596</v>
      </c>
      <c r="I32" s="299" t="s">
        <v>857</v>
      </c>
      <c r="J32" s="722" t="s">
        <v>82</v>
      </c>
      <c r="K32" s="722" t="s">
        <v>142</v>
      </c>
      <c r="L32" s="725" t="s">
        <v>83</v>
      </c>
      <c r="M32" s="697">
        <v>42130</v>
      </c>
      <c r="N32" s="684" t="s">
        <v>54</v>
      </c>
      <c r="O32" s="18" t="s">
        <v>397</v>
      </c>
      <c r="P32" s="393" t="s">
        <v>405</v>
      </c>
      <c r="Q32" s="698">
        <v>42185</v>
      </c>
      <c r="R32" s="197" t="s">
        <v>1176</v>
      </c>
      <c r="S32" s="685" t="s">
        <v>59</v>
      </c>
      <c r="T32" s="697">
        <v>42546</v>
      </c>
      <c r="U32" s="783" t="s">
        <v>1164</v>
      </c>
      <c r="V32" s="155">
        <f t="shared" ref="V32:V34" si="8">DAYS360(H32,M32,0)+1</f>
        <v>529</v>
      </c>
      <c r="W32" s="687" t="str">
        <f t="shared" ref="W32:W34" si="9">IF(V32&gt;7,"Inoportuno",(IF(V32&lt;0,"No ha formulado PM","Oportuno")))</f>
        <v>Inoportuno</v>
      </c>
      <c r="X32" s="155">
        <f t="shared" ref="X32:X34" si="10">DAYS360(Q32,T32,0)+1</f>
        <v>356</v>
      </c>
      <c r="Y32" s="781" t="s">
        <v>417</v>
      </c>
    </row>
    <row r="33" spans="1:25" ht="255" customHeight="1" x14ac:dyDescent="0.2">
      <c r="A33" s="685">
        <f t="shared" si="3"/>
        <v>30</v>
      </c>
      <c r="B33" s="43" t="s">
        <v>25</v>
      </c>
      <c r="C33" s="684" t="s">
        <v>208</v>
      </c>
      <c r="D33" s="723"/>
      <c r="E33" s="723"/>
      <c r="F33" s="45" t="s">
        <v>63</v>
      </c>
      <c r="G33" s="45"/>
      <c r="H33" s="697">
        <v>41596</v>
      </c>
      <c r="I33" s="299" t="s">
        <v>857</v>
      </c>
      <c r="J33" s="723"/>
      <c r="K33" s="723"/>
      <c r="L33" s="726"/>
      <c r="M33" s="697">
        <v>42130</v>
      </c>
      <c r="N33" s="684" t="s">
        <v>54</v>
      </c>
      <c r="O33" s="18" t="s">
        <v>1156</v>
      </c>
      <c r="P33" s="393" t="s">
        <v>1155</v>
      </c>
      <c r="Q33" s="698">
        <v>42185</v>
      </c>
      <c r="R33" s="197" t="s">
        <v>1177</v>
      </c>
      <c r="S33" s="685" t="s">
        <v>59</v>
      </c>
      <c r="T33" s="697">
        <v>42546</v>
      </c>
      <c r="U33" s="738"/>
      <c r="V33" s="155">
        <f>DAYS360(H33,M33,0)+1</f>
        <v>529</v>
      </c>
      <c r="W33" s="687" t="str">
        <f>IF(V33&gt;7,"Inoportuno",(IF(V33&lt;0,"No ha formulado PM","Oportuno")))</f>
        <v>Inoportuno</v>
      </c>
      <c r="X33" s="155">
        <f>DAYS360(Q33,T33,0)+1</f>
        <v>356</v>
      </c>
      <c r="Y33" s="781" t="s">
        <v>417</v>
      </c>
    </row>
    <row r="34" spans="1:25" ht="229.5" x14ac:dyDescent="0.2">
      <c r="A34" s="685">
        <f t="shared" si="3"/>
        <v>31</v>
      </c>
      <c r="B34" s="43" t="s">
        <v>25</v>
      </c>
      <c r="C34" s="684" t="s">
        <v>208</v>
      </c>
      <c r="D34" s="723"/>
      <c r="E34" s="723"/>
      <c r="F34" s="45" t="s">
        <v>63</v>
      </c>
      <c r="G34" s="45"/>
      <c r="H34" s="697">
        <v>41596</v>
      </c>
      <c r="I34" s="299" t="s">
        <v>857</v>
      </c>
      <c r="J34" s="723"/>
      <c r="K34" s="723"/>
      <c r="L34" s="726"/>
      <c r="M34" s="697">
        <v>42130</v>
      </c>
      <c r="N34" s="684" t="s">
        <v>54</v>
      </c>
      <c r="O34" s="18" t="s">
        <v>692</v>
      </c>
      <c r="P34" s="393" t="s">
        <v>850</v>
      </c>
      <c r="Q34" s="698">
        <v>42185</v>
      </c>
      <c r="R34" s="197" t="s">
        <v>1178</v>
      </c>
      <c r="S34" s="685" t="s">
        <v>59</v>
      </c>
      <c r="T34" s="697">
        <v>42546</v>
      </c>
      <c r="U34" s="738"/>
      <c r="V34" s="155">
        <f t="shared" si="8"/>
        <v>529</v>
      </c>
      <c r="W34" s="687" t="str">
        <f t="shared" si="9"/>
        <v>Inoportuno</v>
      </c>
      <c r="X34" s="155">
        <f t="shared" si="10"/>
        <v>356</v>
      </c>
      <c r="Y34" s="781" t="s">
        <v>417</v>
      </c>
    </row>
    <row r="35" spans="1:25" ht="318" customHeight="1" x14ac:dyDescent="0.2">
      <c r="A35" s="685">
        <f t="shared" si="3"/>
        <v>32</v>
      </c>
      <c r="B35" s="43" t="s">
        <v>25</v>
      </c>
      <c r="C35" s="684" t="s">
        <v>208</v>
      </c>
      <c r="D35" s="724"/>
      <c r="E35" s="724"/>
      <c r="F35" s="45" t="s">
        <v>63</v>
      </c>
      <c r="G35" s="45"/>
      <c r="H35" s="697">
        <v>41596</v>
      </c>
      <c r="I35" s="299" t="s">
        <v>855</v>
      </c>
      <c r="J35" s="724"/>
      <c r="K35" s="724"/>
      <c r="L35" s="727"/>
      <c r="M35" s="697">
        <v>42130</v>
      </c>
      <c r="N35" s="684" t="s">
        <v>54</v>
      </c>
      <c r="O35" s="18" t="s">
        <v>400</v>
      </c>
      <c r="P35" s="543" t="s">
        <v>1160</v>
      </c>
      <c r="Q35" s="698">
        <v>42185</v>
      </c>
      <c r="R35" s="197" t="s">
        <v>1189</v>
      </c>
      <c r="S35" s="685" t="s">
        <v>59</v>
      </c>
      <c r="T35" s="697">
        <v>42546</v>
      </c>
      <c r="U35" s="739"/>
      <c r="V35" s="155">
        <f t="shared" ref="V35:V60" si="11">DAYS360(H35,M35,0)+1</f>
        <v>529</v>
      </c>
      <c r="W35" s="687" t="str">
        <f t="shared" si="7"/>
        <v>Inoportuno</v>
      </c>
      <c r="X35" s="155">
        <f t="shared" si="6"/>
        <v>356</v>
      </c>
      <c r="Y35" s="781" t="s">
        <v>417</v>
      </c>
    </row>
    <row r="36" spans="1:25" ht="382.5" hidden="1" x14ac:dyDescent="0.2">
      <c r="A36" s="499">
        <f t="shared" si="3"/>
        <v>33</v>
      </c>
      <c r="B36" s="326" t="s">
        <v>68</v>
      </c>
      <c r="C36" s="154" t="s">
        <v>150</v>
      </c>
      <c r="D36" s="221" t="s">
        <v>45</v>
      </c>
      <c r="E36" s="15" t="s">
        <v>0</v>
      </c>
      <c r="F36" s="45" t="s">
        <v>114</v>
      </c>
      <c r="G36" s="45"/>
      <c r="H36" s="177">
        <v>41135</v>
      </c>
      <c r="I36" s="300" t="s">
        <v>8</v>
      </c>
      <c r="J36" s="229" t="s">
        <v>82</v>
      </c>
      <c r="K36" s="169" t="s">
        <v>141</v>
      </c>
      <c r="L36" s="168" t="s">
        <v>83</v>
      </c>
      <c r="M36" s="280">
        <v>41165</v>
      </c>
      <c r="N36" s="180" t="s">
        <v>109</v>
      </c>
      <c r="O36" s="180" t="s">
        <v>151</v>
      </c>
      <c r="P36" s="535" t="s">
        <v>280</v>
      </c>
      <c r="Q36" s="321">
        <v>41455</v>
      </c>
      <c r="R36" s="197" t="s">
        <v>281</v>
      </c>
      <c r="S36" s="322" t="s">
        <v>55</v>
      </c>
      <c r="T36" s="321"/>
      <c r="U36" s="322"/>
      <c r="V36" s="155">
        <f t="shared" si="11"/>
        <v>30</v>
      </c>
      <c r="W36" s="327" t="str">
        <f t="shared" si="7"/>
        <v>Inoportuno</v>
      </c>
      <c r="X36" s="155">
        <f t="shared" ref="X36:X60" si="12">DAYS360(Q36,T36,0)+1</f>
        <v>-40859</v>
      </c>
      <c r="Y36" s="367" t="s">
        <v>417</v>
      </c>
    </row>
    <row r="37" spans="1:25" ht="127.5" hidden="1" customHeight="1" x14ac:dyDescent="0.2">
      <c r="A37" s="499">
        <f t="shared" si="3"/>
        <v>34</v>
      </c>
      <c r="B37" s="43" t="s">
        <v>68</v>
      </c>
      <c r="C37" s="154" t="s">
        <v>235</v>
      </c>
      <c r="D37" s="221" t="s">
        <v>45</v>
      </c>
      <c r="E37" s="15" t="s">
        <v>0</v>
      </c>
      <c r="F37" s="45" t="s">
        <v>62</v>
      </c>
      <c r="G37" s="45"/>
      <c r="H37" s="46">
        <v>41425</v>
      </c>
      <c r="I37" s="294" t="s">
        <v>143</v>
      </c>
      <c r="J37" s="229" t="s">
        <v>82</v>
      </c>
      <c r="K37" s="169" t="s">
        <v>141</v>
      </c>
      <c r="L37" s="168" t="s">
        <v>83</v>
      </c>
      <c r="M37" s="46">
        <v>41457</v>
      </c>
      <c r="N37" s="176" t="s">
        <v>109</v>
      </c>
      <c r="O37" s="176" t="s">
        <v>144</v>
      </c>
      <c r="P37" s="535" t="s">
        <v>369</v>
      </c>
      <c r="Q37" s="321">
        <v>42369</v>
      </c>
      <c r="R37" s="197" t="s">
        <v>693</v>
      </c>
      <c r="S37" s="322" t="s">
        <v>55</v>
      </c>
      <c r="T37" s="321"/>
      <c r="U37" s="322"/>
      <c r="V37" s="155">
        <f t="shared" si="11"/>
        <v>33</v>
      </c>
      <c r="W37" s="327" t="str">
        <f t="shared" si="7"/>
        <v>Inoportuno</v>
      </c>
      <c r="X37" s="155">
        <f t="shared" si="12"/>
        <v>-41759</v>
      </c>
      <c r="Y37" s="367" t="s">
        <v>417</v>
      </c>
    </row>
    <row r="38" spans="1:25" ht="127.5" hidden="1" customHeight="1" x14ac:dyDescent="0.2">
      <c r="A38" s="499">
        <f t="shared" si="3"/>
        <v>35</v>
      </c>
      <c r="B38" s="43" t="s">
        <v>68</v>
      </c>
      <c r="C38" s="154" t="s">
        <v>235</v>
      </c>
      <c r="D38" s="221" t="s">
        <v>45</v>
      </c>
      <c r="E38" s="15" t="s">
        <v>0</v>
      </c>
      <c r="F38" s="45" t="s">
        <v>62</v>
      </c>
      <c r="G38" s="45"/>
      <c r="H38" s="46">
        <v>41425</v>
      </c>
      <c r="I38" s="294" t="s">
        <v>236</v>
      </c>
      <c r="J38" s="229" t="s">
        <v>82</v>
      </c>
      <c r="K38" s="169" t="s">
        <v>141</v>
      </c>
      <c r="L38" s="168" t="s">
        <v>83</v>
      </c>
      <c r="M38" s="46">
        <v>41457</v>
      </c>
      <c r="N38" s="176" t="s">
        <v>54</v>
      </c>
      <c r="O38" s="176" t="s">
        <v>145</v>
      </c>
      <c r="P38" s="535" t="s">
        <v>237</v>
      </c>
      <c r="Q38" s="321">
        <v>41639</v>
      </c>
      <c r="R38" s="197" t="s">
        <v>694</v>
      </c>
      <c r="S38" s="322" t="s">
        <v>55</v>
      </c>
      <c r="T38" s="321"/>
      <c r="U38" s="322"/>
      <c r="V38" s="155">
        <f t="shared" si="11"/>
        <v>33</v>
      </c>
      <c r="W38" s="327" t="str">
        <f t="shared" si="7"/>
        <v>Inoportuno</v>
      </c>
      <c r="X38" s="155">
        <f t="shared" si="12"/>
        <v>-41039</v>
      </c>
      <c r="Y38" s="367" t="s">
        <v>417</v>
      </c>
    </row>
    <row r="39" spans="1:25" ht="216.75" hidden="1" customHeight="1" x14ac:dyDescent="0.2">
      <c r="A39" s="499">
        <f t="shared" si="3"/>
        <v>36</v>
      </c>
      <c r="B39" s="326" t="s">
        <v>68</v>
      </c>
      <c r="C39" s="154" t="s">
        <v>235</v>
      </c>
      <c r="D39" s="221" t="s">
        <v>45</v>
      </c>
      <c r="E39" s="15" t="s">
        <v>0</v>
      </c>
      <c r="F39" s="45" t="s">
        <v>62</v>
      </c>
      <c r="G39" s="45"/>
      <c r="H39" s="46">
        <v>41425</v>
      </c>
      <c r="I39" s="294" t="s">
        <v>238</v>
      </c>
      <c r="J39" s="229" t="s">
        <v>82</v>
      </c>
      <c r="K39" s="169" t="s">
        <v>141</v>
      </c>
      <c r="L39" s="168" t="s">
        <v>83</v>
      </c>
      <c r="M39" s="46">
        <v>41457</v>
      </c>
      <c r="N39" s="176" t="s">
        <v>54</v>
      </c>
      <c r="O39" s="154" t="s">
        <v>144</v>
      </c>
      <c r="P39" s="535" t="s">
        <v>234</v>
      </c>
      <c r="Q39" s="321">
        <v>41639</v>
      </c>
      <c r="R39" s="197" t="s">
        <v>695</v>
      </c>
      <c r="S39" s="322" t="s">
        <v>55</v>
      </c>
      <c r="T39" s="321"/>
      <c r="U39" s="320" t="s">
        <v>370</v>
      </c>
      <c r="V39" s="155">
        <f t="shared" si="11"/>
        <v>33</v>
      </c>
      <c r="W39" s="327" t="str">
        <f t="shared" si="7"/>
        <v>Inoportuno</v>
      </c>
      <c r="X39" s="155">
        <f t="shared" si="12"/>
        <v>-41039</v>
      </c>
      <c r="Y39" s="367" t="s">
        <v>417</v>
      </c>
    </row>
    <row r="40" spans="1:25" ht="127.5" hidden="1" customHeight="1" x14ac:dyDescent="0.2">
      <c r="A40" s="499">
        <f t="shared" si="3"/>
        <v>37</v>
      </c>
      <c r="B40" s="326" t="s">
        <v>68</v>
      </c>
      <c r="C40" s="154" t="s">
        <v>235</v>
      </c>
      <c r="D40" s="221" t="s">
        <v>45</v>
      </c>
      <c r="E40" s="15" t="s">
        <v>0</v>
      </c>
      <c r="F40" s="45" t="s">
        <v>62</v>
      </c>
      <c r="G40" s="45"/>
      <c r="H40" s="46">
        <v>41425</v>
      </c>
      <c r="I40" s="294" t="s">
        <v>12</v>
      </c>
      <c r="J40" s="229" t="s">
        <v>82</v>
      </c>
      <c r="K40" s="169" t="s">
        <v>141</v>
      </c>
      <c r="L40" s="168" t="s">
        <v>83</v>
      </c>
      <c r="M40" s="46">
        <v>41457</v>
      </c>
      <c r="N40" s="176" t="s">
        <v>109</v>
      </c>
      <c r="O40" s="154" t="s">
        <v>144</v>
      </c>
      <c r="P40" s="535" t="s">
        <v>146</v>
      </c>
      <c r="Q40" s="321">
        <v>41517</v>
      </c>
      <c r="R40" s="197" t="s">
        <v>371</v>
      </c>
      <c r="S40" s="322" t="s">
        <v>55</v>
      </c>
      <c r="T40" s="321"/>
      <c r="U40" s="322"/>
      <c r="V40" s="155">
        <f t="shared" si="11"/>
        <v>33</v>
      </c>
      <c r="W40" s="327" t="str">
        <f t="shared" si="7"/>
        <v>Inoportuno</v>
      </c>
      <c r="X40" s="155">
        <f t="shared" si="12"/>
        <v>-40919</v>
      </c>
      <c r="Y40" s="367" t="s">
        <v>417</v>
      </c>
    </row>
    <row r="41" spans="1:25" ht="161.25" hidden="1" customHeight="1" x14ac:dyDescent="0.2">
      <c r="A41" s="499">
        <f t="shared" si="3"/>
        <v>38</v>
      </c>
      <c r="B41" s="43" t="s">
        <v>68</v>
      </c>
      <c r="C41" s="154" t="s">
        <v>235</v>
      </c>
      <c r="D41" s="221" t="s">
        <v>45</v>
      </c>
      <c r="E41" s="15" t="s">
        <v>0</v>
      </c>
      <c r="F41" s="45" t="s">
        <v>62</v>
      </c>
      <c r="G41" s="45"/>
      <c r="H41" s="46">
        <v>41425</v>
      </c>
      <c r="I41" s="294" t="s">
        <v>239</v>
      </c>
      <c r="J41" s="229" t="s">
        <v>82</v>
      </c>
      <c r="K41" s="169" t="s">
        <v>141</v>
      </c>
      <c r="L41" s="168" t="s">
        <v>83</v>
      </c>
      <c r="M41" s="46">
        <v>41457</v>
      </c>
      <c r="N41" s="176" t="s">
        <v>54</v>
      </c>
      <c r="O41" s="154" t="s">
        <v>144</v>
      </c>
      <c r="P41" s="535" t="s">
        <v>240</v>
      </c>
      <c r="Q41" s="321">
        <v>41639</v>
      </c>
      <c r="R41" s="197" t="s">
        <v>372</v>
      </c>
      <c r="S41" s="322" t="s">
        <v>55</v>
      </c>
      <c r="T41" s="321"/>
      <c r="U41" s="322"/>
      <c r="V41" s="155">
        <f t="shared" si="11"/>
        <v>33</v>
      </c>
      <c r="W41" s="327" t="str">
        <f t="shared" si="7"/>
        <v>Inoportuno</v>
      </c>
      <c r="X41" s="155">
        <f t="shared" si="12"/>
        <v>-41039</v>
      </c>
      <c r="Y41" s="367" t="s">
        <v>417</v>
      </c>
    </row>
    <row r="42" spans="1:25" ht="127.5" hidden="1" customHeight="1" x14ac:dyDescent="0.2">
      <c r="A42" s="499">
        <f t="shared" si="3"/>
        <v>39</v>
      </c>
      <c r="B42" s="222" t="s">
        <v>68</v>
      </c>
      <c r="C42" s="223" t="s">
        <v>235</v>
      </c>
      <c r="D42" s="221" t="s">
        <v>45</v>
      </c>
      <c r="E42" s="15" t="s">
        <v>0</v>
      </c>
      <c r="F42" s="224" t="s">
        <v>62</v>
      </c>
      <c r="G42" s="45"/>
      <c r="H42" s="225">
        <v>41425</v>
      </c>
      <c r="I42" s="301" t="s">
        <v>241</v>
      </c>
      <c r="J42" s="229" t="s">
        <v>82</v>
      </c>
      <c r="K42" s="169" t="s">
        <v>141</v>
      </c>
      <c r="L42" s="307" t="s">
        <v>83</v>
      </c>
      <c r="M42" s="46">
        <v>41457</v>
      </c>
      <c r="N42" s="176" t="s">
        <v>54</v>
      </c>
      <c r="O42" s="154" t="s">
        <v>147</v>
      </c>
      <c r="P42" s="535" t="s">
        <v>242</v>
      </c>
      <c r="Q42" s="321">
        <v>41639</v>
      </c>
      <c r="R42" s="197" t="s">
        <v>696</v>
      </c>
      <c r="S42" s="322" t="s">
        <v>55</v>
      </c>
      <c r="T42" s="321"/>
      <c r="U42" s="322"/>
      <c r="V42" s="155">
        <f t="shared" si="11"/>
        <v>33</v>
      </c>
      <c r="W42" s="327" t="str">
        <f t="shared" si="7"/>
        <v>Inoportuno</v>
      </c>
      <c r="X42" s="155">
        <f t="shared" si="12"/>
        <v>-41039</v>
      </c>
      <c r="Y42" s="367" t="s">
        <v>417</v>
      </c>
    </row>
    <row r="43" spans="1:25" ht="89.25" hidden="1" customHeight="1" x14ac:dyDescent="0.2">
      <c r="A43" s="499">
        <f t="shared" si="3"/>
        <v>40</v>
      </c>
      <c r="B43" s="219" t="s">
        <v>416</v>
      </c>
      <c r="C43" s="181" t="s">
        <v>31</v>
      </c>
      <c r="D43" s="221" t="s">
        <v>45</v>
      </c>
      <c r="E43" s="15" t="s">
        <v>0</v>
      </c>
      <c r="F43" s="227" t="s">
        <v>114</v>
      </c>
      <c r="G43" s="45"/>
      <c r="H43" s="228">
        <v>41638</v>
      </c>
      <c r="I43" s="297" t="s">
        <v>27</v>
      </c>
      <c r="J43" s="229" t="s">
        <v>82</v>
      </c>
      <c r="K43" s="251"/>
      <c r="L43" s="307" t="s">
        <v>84</v>
      </c>
      <c r="M43" s="46"/>
      <c r="N43" s="176"/>
      <c r="O43" s="154"/>
      <c r="P43" s="535"/>
      <c r="Q43" s="321"/>
      <c r="R43" s="197"/>
      <c r="S43" s="322"/>
      <c r="T43" s="321"/>
      <c r="U43" s="322"/>
      <c r="V43" s="155">
        <f t="shared" si="11"/>
        <v>-41039</v>
      </c>
      <c r="W43" s="327" t="str">
        <f t="shared" si="7"/>
        <v>No ha formulado PM</v>
      </c>
      <c r="X43" s="155">
        <f t="shared" si="12"/>
        <v>1</v>
      </c>
      <c r="Y43" s="367" t="s">
        <v>417</v>
      </c>
    </row>
    <row r="44" spans="1:25" ht="89.25" hidden="1" customHeight="1" x14ac:dyDescent="0.2">
      <c r="A44" s="499">
        <f t="shared" si="3"/>
        <v>41</v>
      </c>
      <c r="B44" s="219" t="s">
        <v>416</v>
      </c>
      <c r="C44" s="181" t="s">
        <v>31</v>
      </c>
      <c r="D44" s="221" t="s">
        <v>45</v>
      </c>
      <c r="E44" s="15" t="s">
        <v>0</v>
      </c>
      <c r="F44" s="227" t="s">
        <v>114</v>
      </c>
      <c r="G44" s="45"/>
      <c r="H44" s="228">
        <v>41638</v>
      </c>
      <c r="I44" s="297" t="s">
        <v>29</v>
      </c>
      <c r="J44" s="229" t="s">
        <v>82</v>
      </c>
      <c r="K44" s="251"/>
      <c r="L44" s="307" t="s">
        <v>84</v>
      </c>
      <c r="M44" s="46"/>
      <c r="N44" s="176"/>
      <c r="O44" s="154"/>
      <c r="P44" s="535"/>
      <c r="Q44" s="321"/>
      <c r="R44" s="197"/>
      <c r="S44" s="322"/>
      <c r="T44" s="321"/>
      <c r="U44" s="322"/>
      <c r="V44" s="155">
        <f t="shared" si="11"/>
        <v>-41039</v>
      </c>
      <c r="W44" s="327" t="str">
        <f t="shared" si="7"/>
        <v>No ha formulado PM</v>
      </c>
      <c r="X44" s="155">
        <f t="shared" si="12"/>
        <v>1</v>
      </c>
      <c r="Y44" s="367" t="s">
        <v>417</v>
      </c>
    </row>
    <row r="45" spans="1:25" ht="127.5" hidden="1" customHeight="1" x14ac:dyDescent="0.2">
      <c r="A45" s="499">
        <f t="shared" si="3"/>
        <v>42</v>
      </c>
      <c r="B45" s="219" t="s">
        <v>416</v>
      </c>
      <c r="C45" s="181" t="s">
        <v>31</v>
      </c>
      <c r="D45" s="221" t="s">
        <v>45</v>
      </c>
      <c r="E45" s="15" t="s">
        <v>0</v>
      </c>
      <c r="F45" s="227" t="s">
        <v>114</v>
      </c>
      <c r="G45" s="45"/>
      <c r="H45" s="228">
        <v>41638</v>
      </c>
      <c r="I45" s="297" t="s">
        <v>30</v>
      </c>
      <c r="J45" s="229" t="s">
        <v>82</v>
      </c>
      <c r="K45" s="251"/>
      <c r="L45" s="307" t="s">
        <v>84</v>
      </c>
      <c r="M45" s="46"/>
      <c r="N45" s="176"/>
      <c r="O45" s="154"/>
      <c r="P45" s="535"/>
      <c r="Q45" s="321"/>
      <c r="R45" s="197"/>
      <c r="S45" s="322"/>
      <c r="T45" s="321"/>
      <c r="U45" s="322"/>
      <c r="V45" s="155">
        <f t="shared" si="11"/>
        <v>-41039</v>
      </c>
      <c r="W45" s="327" t="str">
        <f t="shared" si="7"/>
        <v>No ha formulado PM</v>
      </c>
      <c r="X45" s="155">
        <f t="shared" si="12"/>
        <v>1</v>
      </c>
      <c r="Y45" s="367" t="s">
        <v>417</v>
      </c>
    </row>
    <row r="46" spans="1:25" ht="89.25" hidden="1" customHeight="1" x14ac:dyDescent="0.2">
      <c r="A46" s="499">
        <f t="shared" si="3"/>
        <v>43</v>
      </c>
      <c r="B46" s="219" t="s">
        <v>416</v>
      </c>
      <c r="C46" s="181" t="s">
        <v>31</v>
      </c>
      <c r="D46" s="221" t="s">
        <v>45</v>
      </c>
      <c r="E46" s="15" t="s">
        <v>0</v>
      </c>
      <c r="F46" s="227" t="s">
        <v>114</v>
      </c>
      <c r="G46" s="45"/>
      <c r="H46" s="228">
        <v>41638</v>
      </c>
      <c r="I46" s="297" t="s">
        <v>28</v>
      </c>
      <c r="J46" s="229" t="s">
        <v>82</v>
      </c>
      <c r="K46" s="251"/>
      <c r="L46" s="307" t="s">
        <v>84</v>
      </c>
      <c r="M46" s="46"/>
      <c r="N46" s="176"/>
      <c r="O46" s="154"/>
      <c r="P46" s="535"/>
      <c r="Q46" s="321"/>
      <c r="R46" s="197"/>
      <c r="S46" s="322"/>
      <c r="T46" s="321"/>
      <c r="U46" s="322"/>
      <c r="V46" s="155">
        <f t="shared" si="11"/>
        <v>-41039</v>
      </c>
      <c r="W46" s="327" t="str">
        <f t="shared" si="7"/>
        <v>No ha formulado PM</v>
      </c>
      <c r="X46" s="155">
        <f t="shared" si="12"/>
        <v>1</v>
      </c>
      <c r="Y46" s="367" t="s">
        <v>417</v>
      </c>
    </row>
    <row r="47" spans="1:25" ht="351" hidden="1" customHeight="1" x14ac:dyDescent="0.2">
      <c r="A47" s="499">
        <f t="shared" si="3"/>
        <v>44</v>
      </c>
      <c r="B47" s="219" t="s">
        <v>416</v>
      </c>
      <c r="C47" s="226" t="s">
        <v>148</v>
      </c>
      <c r="D47" s="226" t="s">
        <v>45</v>
      </c>
      <c r="E47" s="15" t="s">
        <v>0</v>
      </c>
      <c r="F47" s="227" t="s">
        <v>114</v>
      </c>
      <c r="G47" s="45"/>
      <c r="H47" s="228">
        <v>41243</v>
      </c>
      <c r="I47" s="302" t="s">
        <v>5</v>
      </c>
      <c r="J47" s="229" t="s">
        <v>82</v>
      </c>
      <c r="K47" s="229" t="s">
        <v>142</v>
      </c>
      <c r="L47" s="168" t="s">
        <v>83</v>
      </c>
      <c r="M47" s="46">
        <v>41318</v>
      </c>
      <c r="N47" s="180" t="s">
        <v>109</v>
      </c>
      <c r="O47" s="154" t="s">
        <v>152</v>
      </c>
      <c r="P47" s="535" t="s">
        <v>153</v>
      </c>
      <c r="Q47" s="321">
        <v>41455</v>
      </c>
      <c r="R47" s="281" t="s">
        <v>642</v>
      </c>
      <c r="S47" s="322" t="s">
        <v>59</v>
      </c>
      <c r="T47" s="321">
        <v>42381</v>
      </c>
      <c r="U47" s="320" t="s">
        <v>697</v>
      </c>
      <c r="V47" s="155">
        <f t="shared" si="11"/>
        <v>74</v>
      </c>
      <c r="W47" s="327" t="str">
        <f t="shared" si="7"/>
        <v>Inoportuno</v>
      </c>
      <c r="X47" s="155">
        <f t="shared" si="12"/>
        <v>913</v>
      </c>
      <c r="Y47" s="367" t="s">
        <v>417</v>
      </c>
    </row>
    <row r="48" spans="1:25" ht="217.5" hidden="1" customHeight="1" x14ac:dyDescent="0.2">
      <c r="A48" s="499">
        <f t="shared" si="3"/>
        <v>45</v>
      </c>
      <c r="B48" s="219" t="s">
        <v>416</v>
      </c>
      <c r="C48" s="181" t="s">
        <v>148</v>
      </c>
      <c r="D48" s="226" t="s">
        <v>45</v>
      </c>
      <c r="E48" s="15" t="s">
        <v>0</v>
      </c>
      <c r="F48" s="227" t="s">
        <v>114</v>
      </c>
      <c r="G48" s="45"/>
      <c r="H48" s="228">
        <v>41243</v>
      </c>
      <c r="I48" s="302" t="s">
        <v>6</v>
      </c>
      <c r="J48" s="229" t="s">
        <v>82</v>
      </c>
      <c r="K48" s="229" t="s">
        <v>142</v>
      </c>
      <c r="L48" s="168" t="s">
        <v>83</v>
      </c>
      <c r="M48" s="46">
        <v>41318</v>
      </c>
      <c r="N48" s="180" t="s">
        <v>109</v>
      </c>
      <c r="O48" s="154" t="s">
        <v>152</v>
      </c>
      <c r="P48" s="535" t="s">
        <v>243</v>
      </c>
      <c r="Q48" s="321">
        <v>41455</v>
      </c>
      <c r="R48" s="281" t="s">
        <v>698</v>
      </c>
      <c r="S48" s="322" t="s">
        <v>59</v>
      </c>
      <c r="T48" s="321">
        <v>42381</v>
      </c>
      <c r="U48" s="320" t="s">
        <v>699</v>
      </c>
      <c r="V48" s="155">
        <f t="shared" si="11"/>
        <v>74</v>
      </c>
      <c r="W48" s="327" t="str">
        <f t="shared" si="7"/>
        <v>Inoportuno</v>
      </c>
      <c r="X48" s="155">
        <f t="shared" si="12"/>
        <v>913</v>
      </c>
      <c r="Y48" s="367" t="s">
        <v>417</v>
      </c>
    </row>
    <row r="49" spans="1:25" ht="192.75" hidden="1" customHeight="1" x14ac:dyDescent="0.2">
      <c r="A49" s="499">
        <f t="shared" si="3"/>
        <v>46</v>
      </c>
      <c r="B49" s="219" t="s">
        <v>416</v>
      </c>
      <c r="C49" s="181" t="s">
        <v>148</v>
      </c>
      <c r="D49" s="226" t="s">
        <v>45</v>
      </c>
      <c r="E49" s="15" t="s">
        <v>0</v>
      </c>
      <c r="F49" s="227" t="s">
        <v>114</v>
      </c>
      <c r="G49" s="45"/>
      <c r="H49" s="228">
        <v>41243</v>
      </c>
      <c r="I49" s="302" t="s">
        <v>155</v>
      </c>
      <c r="J49" s="229" t="s">
        <v>82</v>
      </c>
      <c r="K49" s="229" t="s">
        <v>141</v>
      </c>
      <c r="L49" s="168" t="s">
        <v>83</v>
      </c>
      <c r="M49" s="46">
        <v>41318</v>
      </c>
      <c r="N49" s="180" t="s">
        <v>109</v>
      </c>
      <c r="O49" s="154" t="s">
        <v>152</v>
      </c>
      <c r="P49" s="535" t="s">
        <v>154</v>
      </c>
      <c r="Q49" s="321">
        <v>41455</v>
      </c>
      <c r="R49" s="281" t="s">
        <v>643</v>
      </c>
      <c r="S49" s="322" t="s">
        <v>55</v>
      </c>
      <c r="T49" s="321"/>
      <c r="U49" s="322"/>
      <c r="V49" s="155">
        <f t="shared" si="11"/>
        <v>74</v>
      </c>
      <c r="W49" s="327" t="str">
        <f t="shared" si="7"/>
        <v>Inoportuno</v>
      </c>
      <c r="X49" s="155">
        <f t="shared" si="12"/>
        <v>-40859</v>
      </c>
      <c r="Y49" s="367" t="s">
        <v>417</v>
      </c>
    </row>
    <row r="50" spans="1:25" ht="140.25" hidden="1" customHeight="1" x14ac:dyDescent="0.2">
      <c r="A50" s="499">
        <f t="shared" si="3"/>
        <v>47</v>
      </c>
      <c r="B50" s="219" t="s">
        <v>66</v>
      </c>
      <c r="C50" s="181" t="s">
        <v>244</v>
      </c>
      <c r="D50" s="226" t="s">
        <v>50</v>
      </c>
      <c r="E50" s="15" t="s">
        <v>225</v>
      </c>
      <c r="F50" s="227" t="s">
        <v>62</v>
      </c>
      <c r="G50" s="45"/>
      <c r="H50" s="228">
        <v>41697</v>
      </c>
      <c r="I50" s="302" t="s">
        <v>163</v>
      </c>
      <c r="J50" s="229" t="s">
        <v>82</v>
      </c>
      <c r="K50" s="229" t="s">
        <v>141</v>
      </c>
      <c r="L50" s="168" t="s">
        <v>83</v>
      </c>
      <c r="M50" s="46">
        <v>41726</v>
      </c>
      <c r="N50" s="195" t="s">
        <v>54</v>
      </c>
      <c r="O50" s="154" t="s">
        <v>164</v>
      </c>
      <c r="P50" s="535" t="s">
        <v>245</v>
      </c>
      <c r="Q50" s="46">
        <v>42004</v>
      </c>
      <c r="R50" s="197" t="s">
        <v>700</v>
      </c>
      <c r="S50" s="196" t="s">
        <v>55</v>
      </c>
      <c r="T50" s="46"/>
      <c r="U50" s="42"/>
      <c r="V50" s="155">
        <f t="shared" si="11"/>
        <v>32</v>
      </c>
      <c r="W50" s="327" t="str">
        <f t="shared" si="7"/>
        <v>Inoportuno</v>
      </c>
      <c r="X50" s="155">
        <f t="shared" si="12"/>
        <v>-41399</v>
      </c>
      <c r="Y50" s="367" t="s">
        <v>417</v>
      </c>
    </row>
    <row r="51" spans="1:25" ht="258.75" hidden="1" customHeight="1" x14ac:dyDescent="0.2">
      <c r="A51" s="499">
        <f t="shared" si="3"/>
        <v>48</v>
      </c>
      <c r="B51" s="219" t="s">
        <v>53</v>
      </c>
      <c r="C51" s="234" t="s">
        <v>171</v>
      </c>
      <c r="D51" s="722" t="s">
        <v>50</v>
      </c>
      <c r="E51" s="722" t="s">
        <v>225</v>
      </c>
      <c r="F51" s="227" t="s">
        <v>63</v>
      </c>
      <c r="G51" s="45"/>
      <c r="H51" s="228">
        <v>41684</v>
      </c>
      <c r="I51" s="298" t="s">
        <v>196</v>
      </c>
      <c r="J51" s="777" t="s">
        <v>82</v>
      </c>
      <c r="K51" s="777" t="s">
        <v>141</v>
      </c>
      <c r="L51" s="778" t="s">
        <v>83</v>
      </c>
      <c r="M51" s="46">
        <v>41753</v>
      </c>
      <c r="N51" s="207" t="s">
        <v>54</v>
      </c>
      <c r="O51" s="154" t="s">
        <v>122</v>
      </c>
      <c r="P51" s="535" t="s">
        <v>198</v>
      </c>
      <c r="Q51" s="46">
        <v>42063</v>
      </c>
      <c r="R51" s="197" t="s">
        <v>310</v>
      </c>
      <c r="S51" s="208" t="s">
        <v>55</v>
      </c>
      <c r="T51" s="46"/>
      <c r="U51" s="208"/>
      <c r="V51" s="155">
        <f t="shared" si="11"/>
        <v>71</v>
      </c>
      <c r="W51" s="327" t="str">
        <f t="shared" si="7"/>
        <v>Inoportuno</v>
      </c>
      <c r="X51" s="155">
        <f t="shared" si="12"/>
        <v>-41459</v>
      </c>
      <c r="Y51" s="780" t="s">
        <v>417</v>
      </c>
    </row>
    <row r="52" spans="1:25" ht="45" hidden="1" customHeight="1" x14ac:dyDescent="0.2">
      <c r="A52" s="499">
        <f t="shared" si="3"/>
        <v>49</v>
      </c>
      <c r="B52" s="219" t="s">
        <v>53</v>
      </c>
      <c r="C52" s="234" t="s">
        <v>171</v>
      </c>
      <c r="D52" s="723"/>
      <c r="E52" s="723"/>
      <c r="F52" s="227" t="s">
        <v>63</v>
      </c>
      <c r="G52" s="45"/>
      <c r="H52" s="228">
        <v>41684</v>
      </c>
      <c r="I52" s="298" t="s">
        <v>197</v>
      </c>
      <c r="J52" s="777"/>
      <c r="K52" s="777"/>
      <c r="L52" s="782"/>
      <c r="M52" s="46">
        <v>41753</v>
      </c>
      <c r="N52" s="207" t="s">
        <v>54</v>
      </c>
      <c r="O52" s="154" t="s">
        <v>122</v>
      </c>
      <c r="P52" s="535" t="s">
        <v>246</v>
      </c>
      <c r="Q52" s="46">
        <v>42063</v>
      </c>
      <c r="R52" s="197" t="s">
        <v>311</v>
      </c>
      <c r="S52" s="208" t="s">
        <v>55</v>
      </c>
      <c r="T52" s="46"/>
      <c r="U52" s="208"/>
      <c r="V52" s="155">
        <f t="shared" si="11"/>
        <v>71</v>
      </c>
      <c r="W52" s="327" t="str">
        <f t="shared" si="7"/>
        <v>Inoportuno</v>
      </c>
      <c r="X52" s="155">
        <f t="shared" si="12"/>
        <v>-41459</v>
      </c>
      <c r="Y52" s="780" t="s">
        <v>417</v>
      </c>
    </row>
    <row r="53" spans="1:25" ht="189.75" hidden="1" customHeight="1" x14ac:dyDescent="0.2">
      <c r="A53" s="499">
        <f t="shared" si="3"/>
        <v>50</v>
      </c>
      <c r="B53" s="219" t="s">
        <v>53</v>
      </c>
      <c r="C53" s="234" t="s">
        <v>171</v>
      </c>
      <c r="D53" s="723"/>
      <c r="E53" s="723"/>
      <c r="F53" s="227" t="s">
        <v>63</v>
      </c>
      <c r="G53" s="45"/>
      <c r="H53" s="228">
        <v>41684</v>
      </c>
      <c r="I53" s="298" t="s">
        <v>197</v>
      </c>
      <c r="J53" s="777"/>
      <c r="K53" s="777"/>
      <c r="L53" s="782"/>
      <c r="M53" s="46">
        <v>41753</v>
      </c>
      <c r="N53" s="207" t="s">
        <v>54</v>
      </c>
      <c r="O53" s="154" t="s">
        <v>122</v>
      </c>
      <c r="P53" s="535" t="s">
        <v>199</v>
      </c>
      <c r="Q53" s="46">
        <v>41805</v>
      </c>
      <c r="R53" s="197" t="s">
        <v>701</v>
      </c>
      <c r="S53" s="208" t="s">
        <v>55</v>
      </c>
      <c r="T53" s="46"/>
      <c r="U53" s="208"/>
      <c r="V53" s="155">
        <f t="shared" si="11"/>
        <v>71</v>
      </c>
      <c r="W53" s="327" t="str">
        <f t="shared" si="7"/>
        <v>Inoportuno</v>
      </c>
      <c r="X53" s="155">
        <f t="shared" si="12"/>
        <v>-41204</v>
      </c>
      <c r="Y53" s="780" t="s">
        <v>417</v>
      </c>
    </row>
    <row r="54" spans="1:25" ht="85.5" hidden="1" customHeight="1" x14ac:dyDescent="0.2">
      <c r="A54" s="499">
        <f t="shared" si="3"/>
        <v>51</v>
      </c>
      <c r="B54" s="219" t="s">
        <v>53</v>
      </c>
      <c r="C54" s="234" t="s">
        <v>171</v>
      </c>
      <c r="D54" s="724"/>
      <c r="E54" s="724"/>
      <c r="F54" s="227" t="s">
        <v>63</v>
      </c>
      <c r="G54" s="45"/>
      <c r="H54" s="228">
        <v>41684</v>
      </c>
      <c r="I54" s="298" t="s">
        <v>197</v>
      </c>
      <c r="J54" s="777"/>
      <c r="K54" s="777"/>
      <c r="L54" s="779"/>
      <c r="M54" s="46">
        <v>41753</v>
      </c>
      <c r="N54" s="207" t="s">
        <v>54</v>
      </c>
      <c r="O54" s="154" t="s">
        <v>122</v>
      </c>
      <c r="P54" s="535" t="s">
        <v>200</v>
      </c>
      <c r="Q54" s="46">
        <v>41789</v>
      </c>
      <c r="R54" s="197" t="s">
        <v>312</v>
      </c>
      <c r="S54" s="208" t="s">
        <v>55</v>
      </c>
      <c r="T54" s="46"/>
      <c r="U54" s="208"/>
      <c r="V54" s="155">
        <f t="shared" si="11"/>
        <v>71</v>
      </c>
      <c r="W54" s="327" t="str">
        <f t="shared" si="7"/>
        <v>Inoportuno</v>
      </c>
      <c r="X54" s="155">
        <f t="shared" si="12"/>
        <v>-41189</v>
      </c>
      <c r="Y54" s="780" t="s">
        <v>417</v>
      </c>
    </row>
    <row r="55" spans="1:25" ht="193.5" hidden="1" customHeight="1" x14ac:dyDescent="0.2">
      <c r="A55" s="499">
        <f t="shared" si="3"/>
        <v>52</v>
      </c>
      <c r="B55" s="219" t="s">
        <v>69</v>
      </c>
      <c r="C55" s="226" t="s">
        <v>173</v>
      </c>
      <c r="D55" s="722" t="s">
        <v>50</v>
      </c>
      <c r="E55" s="722" t="s">
        <v>225</v>
      </c>
      <c r="F55" s="560" t="s">
        <v>63</v>
      </c>
      <c r="G55" s="559"/>
      <c r="H55" s="228">
        <v>41704</v>
      </c>
      <c r="I55" s="568" t="s">
        <v>180</v>
      </c>
      <c r="J55" s="777" t="s">
        <v>82</v>
      </c>
      <c r="K55" s="777" t="s">
        <v>141</v>
      </c>
      <c r="L55" s="778" t="s">
        <v>83</v>
      </c>
      <c r="M55" s="46">
        <v>41737</v>
      </c>
      <c r="N55" s="202" t="s">
        <v>109</v>
      </c>
      <c r="O55" s="154" t="s">
        <v>63</v>
      </c>
      <c r="P55" s="535" t="s">
        <v>247</v>
      </c>
      <c r="Q55" s="46">
        <v>42078</v>
      </c>
      <c r="R55" s="197" t="s">
        <v>300</v>
      </c>
      <c r="S55" s="203" t="s">
        <v>55</v>
      </c>
      <c r="T55" s="46"/>
      <c r="U55" s="156"/>
      <c r="V55" s="155">
        <f t="shared" si="11"/>
        <v>33</v>
      </c>
      <c r="W55" s="327" t="str">
        <f t="shared" si="7"/>
        <v>Inoportuno</v>
      </c>
      <c r="X55" s="155">
        <f t="shared" si="12"/>
        <v>-41474</v>
      </c>
      <c r="Y55" s="780" t="s">
        <v>417</v>
      </c>
    </row>
    <row r="56" spans="1:25" ht="222" hidden="1" customHeight="1" x14ac:dyDescent="0.2">
      <c r="A56" s="499">
        <f t="shared" si="3"/>
        <v>53</v>
      </c>
      <c r="B56" s="219" t="s">
        <v>69</v>
      </c>
      <c r="C56" s="226" t="s">
        <v>173</v>
      </c>
      <c r="D56" s="723"/>
      <c r="E56" s="723"/>
      <c r="F56" s="560" t="s">
        <v>63</v>
      </c>
      <c r="G56" s="559"/>
      <c r="H56" s="228">
        <v>41704</v>
      </c>
      <c r="I56" s="568" t="s">
        <v>180</v>
      </c>
      <c r="J56" s="777"/>
      <c r="K56" s="777"/>
      <c r="L56" s="782"/>
      <c r="M56" s="46">
        <v>41737</v>
      </c>
      <c r="N56" s="202" t="s">
        <v>54</v>
      </c>
      <c r="O56" s="154" t="s">
        <v>63</v>
      </c>
      <c r="P56" s="535" t="s">
        <v>181</v>
      </c>
      <c r="Q56" s="46">
        <v>42078</v>
      </c>
      <c r="R56" s="197" t="s">
        <v>301</v>
      </c>
      <c r="S56" s="203" t="s">
        <v>55</v>
      </c>
      <c r="T56" s="46"/>
      <c r="U56" s="203"/>
      <c r="V56" s="155">
        <f t="shared" si="11"/>
        <v>33</v>
      </c>
      <c r="W56" s="327" t="str">
        <f t="shared" si="7"/>
        <v>Inoportuno</v>
      </c>
      <c r="X56" s="155">
        <f t="shared" si="12"/>
        <v>-41474</v>
      </c>
      <c r="Y56" s="780" t="s">
        <v>417</v>
      </c>
    </row>
    <row r="57" spans="1:25" ht="165" hidden="1" customHeight="1" x14ac:dyDescent="0.2">
      <c r="A57" s="499">
        <f t="shared" si="3"/>
        <v>54</v>
      </c>
      <c r="B57" s="219" t="s">
        <v>67</v>
      </c>
      <c r="C57" s="181" t="s">
        <v>248</v>
      </c>
      <c r="D57" s="722" t="s">
        <v>50</v>
      </c>
      <c r="E57" s="722" t="s">
        <v>225</v>
      </c>
      <c r="F57" s="227" t="s">
        <v>63</v>
      </c>
      <c r="G57" s="45"/>
      <c r="H57" s="228">
        <v>41714</v>
      </c>
      <c r="I57" s="302" t="s">
        <v>166</v>
      </c>
      <c r="J57" s="734" t="s">
        <v>82</v>
      </c>
      <c r="K57" s="734" t="s">
        <v>141</v>
      </c>
      <c r="L57" s="725" t="s">
        <v>83</v>
      </c>
      <c r="M57" s="46">
        <v>41726</v>
      </c>
      <c r="N57" s="195" t="s">
        <v>54</v>
      </c>
      <c r="O57" s="154" t="s">
        <v>164</v>
      </c>
      <c r="P57" s="535" t="s">
        <v>167</v>
      </c>
      <c r="Q57" s="46">
        <v>42004</v>
      </c>
      <c r="R57" s="197" t="s">
        <v>702</v>
      </c>
      <c r="S57" s="196" t="s">
        <v>55</v>
      </c>
      <c r="T57" s="46"/>
      <c r="U57" s="196"/>
      <c r="V57" s="155">
        <f t="shared" si="11"/>
        <v>13</v>
      </c>
      <c r="W57" s="327" t="str">
        <f t="shared" si="7"/>
        <v>Inoportuno</v>
      </c>
      <c r="X57" s="155">
        <f t="shared" si="12"/>
        <v>-41399</v>
      </c>
      <c r="Y57" s="780" t="s">
        <v>417</v>
      </c>
    </row>
    <row r="58" spans="1:25" ht="166.5" hidden="1" customHeight="1" x14ac:dyDescent="0.2">
      <c r="A58" s="499">
        <f t="shared" si="3"/>
        <v>55</v>
      </c>
      <c r="B58" s="219" t="s">
        <v>67</v>
      </c>
      <c r="C58" s="181" t="s">
        <v>248</v>
      </c>
      <c r="D58" s="723"/>
      <c r="E58" s="723"/>
      <c r="F58" s="227" t="s">
        <v>63</v>
      </c>
      <c r="G58" s="45"/>
      <c r="H58" s="228">
        <v>41714</v>
      </c>
      <c r="I58" s="302" t="s">
        <v>166</v>
      </c>
      <c r="J58" s="735"/>
      <c r="K58" s="735"/>
      <c r="L58" s="726"/>
      <c r="M58" s="46">
        <v>41726</v>
      </c>
      <c r="N58" s="195" t="s">
        <v>54</v>
      </c>
      <c r="O58" s="154" t="s">
        <v>164</v>
      </c>
      <c r="P58" s="535" t="s">
        <v>168</v>
      </c>
      <c r="Q58" s="46">
        <v>42004</v>
      </c>
      <c r="R58" s="197" t="s">
        <v>703</v>
      </c>
      <c r="S58" s="196" t="s">
        <v>55</v>
      </c>
      <c r="T58" s="46"/>
      <c r="U58" s="196"/>
      <c r="V58" s="155">
        <f t="shared" si="11"/>
        <v>13</v>
      </c>
      <c r="W58" s="327" t="str">
        <f t="shared" si="7"/>
        <v>Inoportuno</v>
      </c>
      <c r="X58" s="155">
        <f t="shared" si="12"/>
        <v>-41399</v>
      </c>
      <c r="Y58" s="780" t="s">
        <v>417</v>
      </c>
    </row>
    <row r="59" spans="1:25" ht="89.25" hidden="1" customHeight="1" x14ac:dyDescent="0.2">
      <c r="A59" s="499">
        <f t="shared" si="3"/>
        <v>56</v>
      </c>
      <c r="B59" s="219" t="s">
        <v>67</v>
      </c>
      <c r="C59" s="181" t="s">
        <v>248</v>
      </c>
      <c r="D59" s="723"/>
      <c r="E59" s="723"/>
      <c r="F59" s="227" t="s">
        <v>63</v>
      </c>
      <c r="G59" s="45"/>
      <c r="H59" s="228">
        <v>41714</v>
      </c>
      <c r="I59" s="302" t="s">
        <v>166</v>
      </c>
      <c r="J59" s="735"/>
      <c r="K59" s="735"/>
      <c r="L59" s="726"/>
      <c r="M59" s="46">
        <v>41726</v>
      </c>
      <c r="N59" s="195" t="s">
        <v>54</v>
      </c>
      <c r="O59" s="154" t="s">
        <v>164</v>
      </c>
      <c r="P59" s="535" t="s">
        <v>169</v>
      </c>
      <c r="Q59" s="46">
        <v>42004</v>
      </c>
      <c r="R59" s="197" t="s">
        <v>568</v>
      </c>
      <c r="S59" s="196" t="s">
        <v>55</v>
      </c>
      <c r="T59" s="46"/>
      <c r="U59" s="196"/>
      <c r="V59" s="155">
        <f t="shared" si="11"/>
        <v>13</v>
      </c>
      <c r="W59" s="327" t="str">
        <f t="shared" si="7"/>
        <v>Inoportuno</v>
      </c>
      <c r="X59" s="155">
        <f t="shared" si="12"/>
        <v>-41399</v>
      </c>
      <c r="Y59" s="780" t="s">
        <v>417</v>
      </c>
    </row>
    <row r="60" spans="1:25" ht="63.75" hidden="1" customHeight="1" x14ac:dyDescent="0.2">
      <c r="A60" s="499">
        <f t="shared" si="3"/>
        <v>57</v>
      </c>
      <c r="B60" s="219" t="s">
        <v>67</v>
      </c>
      <c r="C60" s="181" t="s">
        <v>248</v>
      </c>
      <c r="D60" s="724"/>
      <c r="E60" s="724"/>
      <c r="F60" s="227" t="s">
        <v>63</v>
      </c>
      <c r="G60" s="45"/>
      <c r="H60" s="228">
        <v>41714</v>
      </c>
      <c r="I60" s="302" t="s">
        <v>166</v>
      </c>
      <c r="J60" s="736"/>
      <c r="K60" s="736"/>
      <c r="L60" s="727"/>
      <c r="M60" s="46">
        <v>41726</v>
      </c>
      <c r="N60" s="195" t="s">
        <v>54</v>
      </c>
      <c r="O60" s="154" t="s">
        <v>164</v>
      </c>
      <c r="P60" s="535" t="s">
        <v>249</v>
      </c>
      <c r="Q60" s="46">
        <v>42004</v>
      </c>
      <c r="R60" s="197"/>
      <c r="S60" s="196" t="s">
        <v>55</v>
      </c>
      <c r="T60" s="46"/>
      <c r="U60" s="156"/>
      <c r="V60" s="155">
        <f t="shared" si="11"/>
        <v>13</v>
      </c>
      <c r="W60" s="327" t="str">
        <f t="shared" si="7"/>
        <v>Inoportuno</v>
      </c>
      <c r="X60" s="155">
        <f t="shared" si="12"/>
        <v>-41399</v>
      </c>
      <c r="Y60" s="780" t="s">
        <v>417</v>
      </c>
    </row>
    <row r="61" spans="1:25" ht="151.5" hidden="1" customHeight="1" x14ac:dyDescent="0.2">
      <c r="A61" s="499">
        <f t="shared" si="3"/>
        <v>58</v>
      </c>
      <c r="B61" s="219" t="s">
        <v>416</v>
      </c>
      <c r="C61" s="249" t="s">
        <v>201</v>
      </c>
      <c r="D61" s="722" t="s">
        <v>201</v>
      </c>
      <c r="E61" s="722" t="s">
        <v>0</v>
      </c>
      <c r="F61" s="45" t="s">
        <v>114</v>
      </c>
      <c r="G61" s="45"/>
      <c r="H61" s="264">
        <v>41901</v>
      </c>
      <c r="I61" s="303" t="s">
        <v>256</v>
      </c>
      <c r="J61" s="777" t="s">
        <v>82</v>
      </c>
      <c r="K61" s="777" t="s">
        <v>141</v>
      </c>
      <c r="L61" s="778" t="s">
        <v>83</v>
      </c>
      <c r="M61" s="46">
        <v>41933</v>
      </c>
      <c r="N61" s="261" t="s">
        <v>109</v>
      </c>
      <c r="O61" s="154" t="s">
        <v>282</v>
      </c>
      <c r="P61" s="535" t="s">
        <v>283</v>
      </c>
      <c r="Q61" s="321">
        <v>41971</v>
      </c>
      <c r="R61" s="197" t="s">
        <v>644</v>
      </c>
      <c r="S61" s="322" t="s">
        <v>59</v>
      </c>
      <c r="T61" s="321">
        <v>42381</v>
      </c>
      <c r="U61" s="320" t="s">
        <v>645</v>
      </c>
      <c r="V61" s="155">
        <f>DAYS360(H61,M61,0)+1</f>
        <v>33</v>
      </c>
      <c r="W61" s="327" t="str">
        <f t="shared" si="7"/>
        <v>Inoportuno</v>
      </c>
      <c r="X61" s="155">
        <f>DAYS360(Q61,T61,0)+1</f>
        <v>405</v>
      </c>
      <c r="Y61" s="780" t="s">
        <v>417</v>
      </c>
    </row>
    <row r="62" spans="1:25" ht="117.75" hidden="1" customHeight="1" x14ac:dyDescent="0.2">
      <c r="A62" s="499">
        <f t="shared" si="3"/>
        <v>59</v>
      </c>
      <c r="B62" s="219" t="s">
        <v>416</v>
      </c>
      <c r="C62" s="249" t="s">
        <v>201</v>
      </c>
      <c r="D62" s="723"/>
      <c r="E62" s="723"/>
      <c r="F62" s="45" t="s">
        <v>114</v>
      </c>
      <c r="G62" s="45"/>
      <c r="H62" s="264">
        <v>41901</v>
      </c>
      <c r="I62" s="303" t="s">
        <v>256</v>
      </c>
      <c r="J62" s="777"/>
      <c r="K62" s="777"/>
      <c r="L62" s="782"/>
      <c r="M62" s="46">
        <v>41933</v>
      </c>
      <c r="N62" s="261" t="s">
        <v>54</v>
      </c>
      <c r="O62" s="154" t="s">
        <v>282</v>
      </c>
      <c r="P62" s="535" t="s">
        <v>284</v>
      </c>
      <c r="Q62" s="321">
        <v>42216</v>
      </c>
      <c r="R62" s="197" t="s">
        <v>646</v>
      </c>
      <c r="S62" s="322" t="s">
        <v>59</v>
      </c>
      <c r="T62" s="321">
        <v>42381</v>
      </c>
      <c r="U62" s="320" t="s">
        <v>647</v>
      </c>
      <c r="V62" s="155">
        <f t="shared" ref="V62:V66" si="13">DAYS360(H62,M62,0)+1</f>
        <v>33</v>
      </c>
      <c r="W62" s="327" t="str">
        <f t="shared" si="7"/>
        <v>Inoportuno</v>
      </c>
      <c r="X62" s="155">
        <f t="shared" ref="X62:X65" si="14">DAYS360(Q62,T62,0)+1</f>
        <v>163</v>
      </c>
      <c r="Y62" s="780" t="s">
        <v>417</v>
      </c>
    </row>
    <row r="63" spans="1:25" ht="84.75" hidden="1" customHeight="1" x14ac:dyDescent="0.2">
      <c r="A63" s="499">
        <f t="shared" si="3"/>
        <v>60</v>
      </c>
      <c r="B63" s="219" t="s">
        <v>416</v>
      </c>
      <c r="C63" s="249" t="s">
        <v>201</v>
      </c>
      <c r="D63" s="723"/>
      <c r="E63" s="723"/>
      <c r="F63" s="45" t="s">
        <v>114</v>
      </c>
      <c r="G63" s="45"/>
      <c r="H63" s="264">
        <v>41901</v>
      </c>
      <c r="I63" s="303" t="s">
        <v>256</v>
      </c>
      <c r="J63" s="777"/>
      <c r="K63" s="777"/>
      <c r="L63" s="782"/>
      <c r="M63" s="46">
        <v>41933</v>
      </c>
      <c r="N63" s="261" t="s">
        <v>109</v>
      </c>
      <c r="O63" s="323" t="s">
        <v>258</v>
      </c>
      <c r="P63" s="535" t="s">
        <v>257</v>
      </c>
      <c r="Q63" s="321">
        <v>42004</v>
      </c>
      <c r="R63" s="197" t="s">
        <v>648</v>
      </c>
      <c r="S63" s="322" t="s">
        <v>59</v>
      </c>
      <c r="T63" s="321">
        <v>42381</v>
      </c>
      <c r="U63" s="320" t="s">
        <v>647</v>
      </c>
      <c r="V63" s="155">
        <f t="shared" si="13"/>
        <v>33</v>
      </c>
      <c r="W63" s="327" t="str">
        <f t="shared" si="7"/>
        <v>Inoportuno</v>
      </c>
      <c r="X63" s="155">
        <f t="shared" si="14"/>
        <v>373</v>
      </c>
      <c r="Y63" s="780" t="s">
        <v>417</v>
      </c>
    </row>
    <row r="64" spans="1:25" ht="144.75" hidden="1" customHeight="1" x14ac:dyDescent="0.2">
      <c r="A64" s="499">
        <f t="shared" si="3"/>
        <v>61</v>
      </c>
      <c r="B64" s="219" t="s">
        <v>416</v>
      </c>
      <c r="C64" s="249" t="s">
        <v>201</v>
      </c>
      <c r="D64" s="723"/>
      <c r="E64" s="723"/>
      <c r="F64" s="45" t="s">
        <v>114</v>
      </c>
      <c r="G64" s="45"/>
      <c r="H64" s="264">
        <v>41901</v>
      </c>
      <c r="I64" s="303" t="s">
        <v>256</v>
      </c>
      <c r="J64" s="777"/>
      <c r="K64" s="777"/>
      <c r="L64" s="782"/>
      <c r="M64" s="46">
        <v>41933</v>
      </c>
      <c r="N64" s="261" t="s">
        <v>109</v>
      </c>
      <c r="O64" s="323" t="s">
        <v>258</v>
      </c>
      <c r="P64" s="535" t="s">
        <v>375</v>
      </c>
      <c r="Q64" s="321">
        <v>42004</v>
      </c>
      <c r="R64" s="197" t="s">
        <v>649</v>
      </c>
      <c r="S64" s="322" t="s">
        <v>55</v>
      </c>
      <c r="T64" s="321"/>
      <c r="U64" s="320"/>
      <c r="V64" s="155">
        <f t="shared" si="13"/>
        <v>33</v>
      </c>
      <c r="W64" s="327" t="str">
        <f t="shared" ref="W64:W94" si="15">IF(V64&gt;7,"Inoportuno",(IF(V64&lt;0,"No ha formulado PM","Oportuno")))</f>
        <v>Inoportuno</v>
      </c>
      <c r="X64" s="155">
        <f t="shared" si="14"/>
        <v>-41399</v>
      </c>
      <c r="Y64" s="780" t="s">
        <v>417</v>
      </c>
    </row>
    <row r="65" spans="1:25" ht="84.75" hidden="1" customHeight="1" x14ac:dyDescent="0.2">
      <c r="A65" s="499">
        <f t="shared" si="3"/>
        <v>62</v>
      </c>
      <c r="B65" s="219" t="s">
        <v>416</v>
      </c>
      <c r="C65" s="249" t="s">
        <v>201</v>
      </c>
      <c r="D65" s="724"/>
      <c r="E65" s="724"/>
      <c r="F65" s="45" t="s">
        <v>114</v>
      </c>
      <c r="G65" s="45"/>
      <c r="H65" s="264">
        <v>41901</v>
      </c>
      <c r="I65" s="303" t="s">
        <v>256</v>
      </c>
      <c r="J65" s="777"/>
      <c r="K65" s="777"/>
      <c r="L65" s="779"/>
      <c r="M65" s="46">
        <v>41933</v>
      </c>
      <c r="N65" s="261" t="s">
        <v>54</v>
      </c>
      <c r="O65" s="323" t="s">
        <v>258</v>
      </c>
      <c r="P65" s="535" t="s">
        <v>285</v>
      </c>
      <c r="Q65" s="321">
        <v>42004</v>
      </c>
      <c r="R65" s="197" t="s">
        <v>704</v>
      </c>
      <c r="S65" s="322" t="s">
        <v>55</v>
      </c>
      <c r="T65" s="321"/>
      <c r="U65" s="320" t="s">
        <v>705</v>
      </c>
      <c r="V65" s="155">
        <f t="shared" si="13"/>
        <v>33</v>
      </c>
      <c r="W65" s="327" t="str">
        <f t="shared" si="15"/>
        <v>Inoportuno</v>
      </c>
      <c r="X65" s="155">
        <f t="shared" si="14"/>
        <v>-41399</v>
      </c>
      <c r="Y65" s="780" t="s">
        <v>417</v>
      </c>
    </row>
    <row r="66" spans="1:25" ht="229.5" hidden="1" x14ac:dyDescent="0.2">
      <c r="A66" s="499">
        <f t="shared" si="3"/>
        <v>63</v>
      </c>
      <c r="B66" s="43" t="s">
        <v>10</v>
      </c>
      <c r="C66" s="154" t="s">
        <v>207</v>
      </c>
      <c r="D66" s="221" t="s">
        <v>45</v>
      </c>
      <c r="E66" s="221" t="s">
        <v>0</v>
      </c>
      <c r="F66" s="45" t="s">
        <v>63</v>
      </c>
      <c r="G66" s="45"/>
      <c r="H66" s="46">
        <v>41778</v>
      </c>
      <c r="I66" s="294" t="s">
        <v>286</v>
      </c>
      <c r="J66" s="495" t="s">
        <v>82</v>
      </c>
      <c r="K66" s="495" t="s">
        <v>141</v>
      </c>
      <c r="L66" s="496" t="s">
        <v>83</v>
      </c>
      <c r="M66" s="46">
        <v>41816</v>
      </c>
      <c r="N66" s="217" t="s">
        <v>54</v>
      </c>
      <c r="O66" s="154" t="s">
        <v>287</v>
      </c>
      <c r="P66" s="535" t="s">
        <v>288</v>
      </c>
      <c r="Q66" s="46">
        <v>41881</v>
      </c>
      <c r="R66" s="197" t="s">
        <v>504</v>
      </c>
      <c r="S66" s="218" t="s">
        <v>55</v>
      </c>
      <c r="T66" s="46"/>
      <c r="U66" s="42"/>
      <c r="V66" s="155">
        <f t="shared" si="13"/>
        <v>38</v>
      </c>
      <c r="W66" s="327" t="str">
        <f t="shared" si="15"/>
        <v>Inoportuno</v>
      </c>
      <c r="X66" s="155">
        <f t="shared" ref="X66" si="16">DAYS360(Q66,T66,0)+1</f>
        <v>-41279</v>
      </c>
      <c r="Y66" s="514" t="s">
        <v>417</v>
      </c>
    </row>
    <row r="67" spans="1:25" ht="409.5" hidden="1" customHeight="1" x14ac:dyDescent="0.2">
      <c r="A67" s="499">
        <f t="shared" si="3"/>
        <v>64</v>
      </c>
      <c r="B67" s="43" t="s">
        <v>53</v>
      </c>
      <c r="C67" s="233" t="s">
        <v>209</v>
      </c>
      <c r="D67" s="230" t="s">
        <v>50</v>
      </c>
      <c r="E67" s="15" t="s">
        <v>225</v>
      </c>
      <c r="F67" s="45" t="s">
        <v>63</v>
      </c>
      <c r="G67" s="45"/>
      <c r="H67" s="46">
        <v>41848</v>
      </c>
      <c r="I67" s="294" t="s">
        <v>289</v>
      </c>
      <c r="J67" s="401" t="s">
        <v>82</v>
      </c>
      <c r="K67" s="169" t="s">
        <v>141</v>
      </c>
      <c r="L67" s="168" t="s">
        <v>83</v>
      </c>
      <c r="M67" s="46">
        <v>41964</v>
      </c>
      <c r="N67" s="16" t="s">
        <v>109</v>
      </c>
      <c r="O67" s="154" t="s">
        <v>446</v>
      </c>
      <c r="P67" s="535" t="s">
        <v>259</v>
      </c>
      <c r="Q67" s="46">
        <v>41942</v>
      </c>
      <c r="R67" s="197" t="s">
        <v>706</v>
      </c>
      <c r="S67" s="42" t="s">
        <v>55</v>
      </c>
      <c r="T67" s="46"/>
      <c r="U67" s="42"/>
      <c r="V67" s="155">
        <f t="shared" ref="V67:V84" si="17">DAYS360(H67,M67,0)+1</f>
        <v>114</v>
      </c>
      <c r="W67" s="327" t="str">
        <f t="shared" si="15"/>
        <v>Inoportuno</v>
      </c>
      <c r="X67" s="155">
        <f t="shared" ref="X67:X84" si="18">DAYS360(Q67,T67,0)+1</f>
        <v>-41339</v>
      </c>
      <c r="Y67" s="366" t="s">
        <v>417</v>
      </c>
    </row>
    <row r="68" spans="1:25" ht="84" hidden="1" customHeight="1" x14ac:dyDescent="0.2">
      <c r="A68" s="499">
        <f t="shared" si="3"/>
        <v>65</v>
      </c>
      <c r="B68" s="43" t="s">
        <v>53</v>
      </c>
      <c r="C68" s="233" t="s">
        <v>209</v>
      </c>
      <c r="D68" s="230" t="s">
        <v>50</v>
      </c>
      <c r="E68" s="15" t="s">
        <v>225</v>
      </c>
      <c r="F68" s="45" t="s">
        <v>63</v>
      </c>
      <c r="G68" s="45"/>
      <c r="H68" s="46">
        <v>41848</v>
      </c>
      <c r="I68" s="294" t="s">
        <v>210</v>
      </c>
      <c r="J68" s="401" t="s">
        <v>82</v>
      </c>
      <c r="K68" s="286" t="s">
        <v>141</v>
      </c>
      <c r="L68" s="168" t="s">
        <v>83</v>
      </c>
      <c r="M68" s="46">
        <v>41964</v>
      </c>
      <c r="N68" s="16" t="s">
        <v>109</v>
      </c>
      <c r="O68" s="154" t="s">
        <v>447</v>
      </c>
      <c r="P68" s="535" t="s">
        <v>260</v>
      </c>
      <c r="Q68" s="46">
        <v>41912</v>
      </c>
      <c r="R68" s="197" t="s">
        <v>707</v>
      </c>
      <c r="S68" s="42" t="s">
        <v>55</v>
      </c>
      <c r="T68" s="46"/>
      <c r="U68" s="42"/>
      <c r="V68" s="155">
        <f t="shared" si="17"/>
        <v>114</v>
      </c>
      <c r="W68" s="327" t="str">
        <f t="shared" si="15"/>
        <v>Inoportuno</v>
      </c>
      <c r="X68" s="155">
        <f t="shared" si="18"/>
        <v>-41309</v>
      </c>
      <c r="Y68" s="366" t="s">
        <v>417</v>
      </c>
    </row>
    <row r="69" spans="1:25" ht="215.25" hidden="1" customHeight="1" x14ac:dyDescent="0.2">
      <c r="A69" s="499">
        <f t="shared" si="3"/>
        <v>66</v>
      </c>
      <c r="B69" s="43" t="s">
        <v>53</v>
      </c>
      <c r="C69" s="233" t="s">
        <v>209</v>
      </c>
      <c r="D69" s="722" t="s">
        <v>50</v>
      </c>
      <c r="E69" s="722" t="s">
        <v>225</v>
      </c>
      <c r="F69" s="45" t="s">
        <v>63</v>
      </c>
      <c r="G69" s="45"/>
      <c r="H69" s="46">
        <v>41848</v>
      </c>
      <c r="I69" s="294" t="s">
        <v>211</v>
      </c>
      <c r="J69" s="777" t="s">
        <v>82</v>
      </c>
      <c r="K69" s="777" t="s">
        <v>141</v>
      </c>
      <c r="L69" s="778" t="s">
        <v>83</v>
      </c>
      <c r="M69" s="46">
        <v>41964</v>
      </c>
      <c r="N69" s="16" t="s">
        <v>109</v>
      </c>
      <c r="O69" s="267" t="s">
        <v>261</v>
      </c>
      <c r="P69" s="535" t="s">
        <v>262</v>
      </c>
      <c r="Q69" s="46">
        <v>42063</v>
      </c>
      <c r="R69" s="197"/>
      <c r="S69" s="42" t="s">
        <v>55</v>
      </c>
      <c r="T69" s="46"/>
      <c r="U69" s="42"/>
      <c r="V69" s="155">
        <f t="shared" si="17"/>
        <v>114</v>
      </c>
      <c r="W69" s="327" t="str">
        <f t="shared" si="15"/>
        <v>Inoportuno</v>
      </c>
      <c r="X69" s="155">
        <f t="shared" si="18"/>
        <v>-41459</v>
      </c>
      <c r="Y69" s="780" t="s">
        <v>417</v>
      </c>
    </row>
    <row r="70" spans="1:25" ht="215.25" hidden="1" customHeight="1" x14ac:dyDescent="0.2">
      <c r="A70" s="499">
        <f t="shared" ref="A70:A133" si="19">+A69+1</f>
        <v>67</v>
      </c>
      <c r="B70" s="43" t="s">
        <v>53</v>
      </c>
      <c r="C70" s="233" t="s">
        <v>209</v>
      </c>
      <c r="D70" s="724"/>
      <c r="E70" s="724"/>
      <c r="F70" s="45" t="s">
        <v>63</v>
      </c>
      <c r="G70" s="45"/>
      <c r="H70" s="46">
        <v>41848</v>
      </c>
      <c r="I70" s="294" t="s">
        <v>211</v>
      </c>
      <c r="J70" s="777"/>
      <c r="K70" s="777"/>
      <c r="L70" s="779"/>
      <c r="M70" s="46">
        <v>41964</v>
      </c>
      <c r="N70" s="263" t="s">
        <v>54</v>
      </c>
      <c r="O70" s="267" t="s">
        <v>261</v>
      </c>
      <c r="P70" s="535" t="s">
        <v>290</v>
      </c>
      <c r="Q70" s="46">
        <v>42063</v>
      </c>
      <c r="R70" s="197"/>
      <c r="S70" s="262" t="s">
        <v>55</v>
      </c>
      <c r="T70" s="46"/>
      <c r="U70" s="262"/>
      <c r="V70" s="155">
        <f t="shared" si="17"/>
        <v>114</v>
      </c>
      <c r="W70" s="327" t="str">
        <f t="shared" si="15"/>
        <v>Inoportuno</v>
      </c>
      <c r="X70" s="155">
        <f t="shared" si="18"/>
        <v>-41459</v>
      </c>
      <c r="Y70" s="780" t="s">
        <v>417</v>
      </c>
    </row>
    <row r="71" spans="1:25" ht="357" hidden="1" customHeight="1" x14ac:dyDescent="0.2">
      <c r="A71" s="499">
        <f t="shared" si="19"/>
        <v>68</v>
      </c>
      <c r="B71" s="43" t="s">
        <v>53</v>
      </c>
      <c r="C71" s="233" t="s">
        <v>209</v>
      </c>
      <c r="D71" s="722" t="s">
        <v>50</v>
      </c>
      <c r="E71" s="722" t="s">
        <v>225</v>
      </c>
      <c r="F71" s="45" t="s">
        <v>63</v>
      </c>
      <c r="G71" s="45"/>
      <c r="H71" s="46">
        <v>41848</v>
      </c>
      <c r="I71" s="294" t="s">
        <v>212</v>
      </c>
      <c r="J71" s="777" t="s">
        <v>82</v>
      </c>
      <c r="K71" s="777" t="s">
        <v>141</v>
      </c>
      <c r="L71" s="778" t="s">
        <v>83</v>
      </c>
      <c r="M71" s="46">
        <v>41964</v>
      </c>
      <c r="N71" s="230" t="s">
        <v>109</v>
      </c>
      <c r="O71" s="154" t="s">
        <v>261</v>
      </c>
      <c r="P71" s="535" t="s">
        <v>262</v>
      </c>
      <c r="Q71" s="46">
        <v>42063</v>
      </c>
      <c r="R71" s="197"/>
      <c r="S71" s="262" t="s">
        <v>55</v>
      </c>
      <c r="T71" s="46"/>
      <c r="U71" s="231"/>
      <c r="V71" s="155">
        <f t="shared" si="17"/>
        <v>114</v>
      </c>
      <c r="W71" s="327" t="str">
        <f t="shared" si="15"/>
        <v>Inoportuno</v>
      </c>
      <c r="X71" s="155">
        <f t="shared" si="18"/>
        <v>-41459</v>
      </c>
      <c r="Y71" s="780" t="s">
        <v>417</v>
      </c>
    </row>
    <row r="72" spans="1:25" ht="357" hidden="1" customHeight="1" x14ac:dyDescent="0.2">
      <c r="A72" s="499">
        <f t="shared" si="19"/>
        <v>69</v>
      </c>
      <c r="B72" s="43" t="s">
        <v>53</v>
      </c>
      <c r="C72" s="233" t="s">
        <v>209</v>
      </c>
      <c r="D72" s="724"/>
      <c r="E72" s="724"/>
      <c r="F72" s="45" t="s">
        <v>63</v>
      </c>
      <c r="G72" s="45"/>
      <c r="H72" s="46">
        <v>41848</v>
      </c>
      <c r="I72" s="294" t="s">
        <v>212</v>
      </c>
      <c r="J72" s="777"/>
      <c r="K72" s="777"/>
      <c r="L72" s="779"/>
      <c r="M72" s="46">
        <v>41964</v>
      </c>
      <c r="N72" s="263" t="s">
        <v>54</v>
      </c>
      <c r="O72" s="154" t="s">
        <v>261</v>
      </c>
      <c r="P72" s="535" t="s">
        <v>290</v>
      </c>
      <c r="Q72" s="46">
        <v>42063</v>
      </c>
      <c r="R72" s="197"/>
      <c r="S72" s="262" t="s">
        <v>55</v>
      </c>
      <c r="T72" s="46"/>
      <c r="U72" s="262"/>
      <c r="V72" s="155">
        <f t="shared" si="17"/>
        <v>114</v>
      </c>
      <c r="W72" s="327" t="str">
        <f t="shared" si="15"/>
        <v>Inoportuno</v>
      </c>
      <c r="X72" s="155">
        <f t="shared" si="18"/>
        <v>-41459</v>
      </c>
      <c r="Y72" s="780" t="s">
        <v>417</v>
      </c>
    </row>
    <row r="73" spans="1:25" ht="56.25" hidden="1" x14ac:dyDescent="0.2">
      <c r="A73" s="499">
        <f t="shared" si="19"/>
        <v>70</v>
      </c>
      <c r="B73" s="43" t="s">
        <v>53</v>
      </c>
      <c r="C73" s="233" t="s">
        <v>209</v>
      </c>
      <c r="D73" s="230" t="s">
        <v>50</v>
      </c>
      <c r="E73" s="15" t="s">
        <v>225</v>
      </c>
      <c r="F73" s="45" t="s">
        <v>63</v>
      </c>
      <c r="G73" s="45"/>
      <c r="H73" s="46">
        <v>41848</v>
      </c>
      <c r="I73" s="294" t="s">
        <v>213</v>
      </c>
      <c r="J73" s="401" t="s">
        <v>82</v>
      </c>
      <c r="K73" s="169" t="s">
        <v>141</v>
      </c>
      <c r="L73" s="168" t="s">
        <v>83</v>
      </c>
      <c r="M73" s="46">
        <v>41964</v>
      </c>
      <c r="N73" s="263" t="s">
        <v>54</v>
      </c>
      <c r="O73" s="267" t="s">
        <v>264</v>
      </c>
      <c r="P73" s="535" t="s">
        <v>263</v>
      </c>
      <c r="Q73" s="46">
        <v>42124</v>
      </c>
      <c r="R73" s="197"/>
      <c r="S73" s="231" t="s">
        <v>55</v>
      </c>
      <c r="T73" s="46"/>
      <c r="U73" s="231"/>
      <c r="V73" s="155">
        <f t="shared" si="17"/>
        <v>114</v>
      </c>
      <c r="W73" s="327" t="str">
        <f t="shared" si="15"/>
        <v>Inoportuno</v>
      </c>
      <c r="X73" s="155">
        <f t="shared" si="18"/>
        <v>-41519</v>
      </c>
      <c r="Y73" s="366" t="s">
        <v>417</v>
      </c>
    </row>
    <row r="74" spans="1:25" ht="123" hidden="1" customHeight="1" x14ac:dyDescent="0.2">
      <c r="A74" s="499">
        <f t="shared" si="19"/>
        <v>71</v>
      </c>
      <c r="B74" s="43" t="s">
        <v>53</v>
      </c>
      <c r="C74" s="233" t="s">
        <v>209</v>
      </c>
      <c r="D74" s="230" t="s">
        <v>50</v>
      </c>
      <c r="E74" s="15" t="s">
        <v>225</v>
      </c>
      <c r="F74" s="45" t="s">
        <v>63</v>
      </c>
      <c r="G74" s="45"/>
      <c r="H74" s="46">
        <v>41848</v>
      </c>
      <c r="I74" s="294" t="s">
        <v>214</v>
      </c>
      <c r="J74" s="401" t="s">
        <v>82</v>
      </c>
      <c r="K74" s="169" t="s">
        <v>141</v>
      </c>
      <c r="L74" s="168" t="s">
        <v>83</v>
      </c>
      <c r="M74" s="46">
        <v>41964</v>
      </c>
      <c r="N74" s="263" t="s">
        <v>54</v>
      </c>
      <c r="O74" s="267" t="s">
        <v>266</v>
      </c>
      <c r="P74" s="535" t="s">
        <v>265</v>
      </c>
      <c r="Q74" s="46">
        <v>42004</v>
      </c>
      <c r="R74" s="197"/>
      <c r="S74" s="231" t="s">
        <v>55</v>
      </c>
      <c r="T74" s="46"/>
      <c r="U74" s="231"/>
      <c r="V74" s="155">
        <f t="shared" si="17"/>
        <v>114</v>
      </c>
      <c r="W74" s="327" t="str">
        <f t="shared" si="15"/>
        <v>Inoportuno</v>
      </c>
      <c r="X74" s="155">
        <f t="shared" si="18"/>
        <v>-41399</v>
      </c>
      <c r="Y74" s="366" t="s">
        <v>417</v>
      </c>
    </row>
    <row r="75" spans="1:25" ht="55.5" hidden="1" customHeight="1" x14ac:dyDescent="0.2">
      <c r="A75" s="499">
        <f t="shared" si="19"/>
        <v>72</v>
      </c>
      <c r="B75" s="43" t="s">
        <v>53</v>
      </c>
      <c r="C75" s="233" t="s">
        <v>209</v>
      </c>
      <c r="D75" s="722" t="s">
        <v>50</v>
      </c>
      <c r="E75" s="722" t="s">
        <v>225</v>
      </c>
      <c r="F75" s="45" t="s">
        <v>63</v>
      </c>
      <c r="G75" s="45"/>
      <c r="H75" s="46">
        <v>41848</v>
      </c>
      <c r="I75" s="294" t="s">
        <v>215</v>
      </c>
      <c r="J75" s="777" t="s">
        <v>82</v>
      </c>
      <c r="K75" s="777" t="s">
        <v>141</v>
      </c>
      <c r="L75" s="778" t="s">
        <v>83</v>
      </c>
      <c r="M75" s="46">
        <v>41964</v>
      </c>
      <c r="N75" s="230" t="s">
        <v>109</v>
      </c>
      <c r="O75" s="154" t="s">
        <v>261</v>
      </c>
      <c r="P75" s="535" t="s">
        <v>267</v>
      </c>
      <c r="Q75" s="258">
        <v>41942</v>
      </c>
      <c r="R75" s="197"/>
      <c r="S75" s="231" t="s">
        <v>55</v>
      </c>
      <c r="T75" s="46"/>
      <c r="U75" s="231"/>
      <c r="V75" s="155">
        <f t="shared" si="17"/>
        <v>114</v>
      </c>
      <c r="W75" s="327" t="str">
        <f t="shared" si="15"/>
        <v>Inoportuno</v>
      </c>
      <c r="X75" s="155">
        <f t="shared" si="18"/>
        <v>-41339</v>
      </c>
      <c r="Y75" s="780" t="s">
        <v>417</v>
      </c>
    </row>
    <row r="76" spans="1:25" ht="55.5" hidden="1" customHeight="1" x14ac:dyDescent="0.2">
      <c r="A76" s="499">
        <f t="shared" si="19"/>
        <v>73</v>
      </c>
      <c r="B76" s="43" t="s">
        <v>53</v>
      </c>
      <c r="C76" s="233" t="s">
        <v>209</v>
      </c>
      <c r="D76" s="724"/>
      <c r="E76" s="724"/>
      <c r="F76" s="45" t="s">
        <v>63</v>
      </c>
      <c r="G76" s="45"/>
      <c r="H76" s="46">
        <v>41848</v>
      </c>
      <c r="I76" s="294" t="s">
        <v>215</v>
      </c>
      <c r="J76" s="777"/>
      <c r="K76" s="777"/>
      <c r="L76" s="779"/>
      <c r="M76" s="46">
        <v>41964</v>
      </c>
      <c r="N76" s="263" t="s">
        <v>54</v>
      </c>
      <c r="O76" s="154" t="s">
        <v>261</v>
      </c>
      <c r="P76" s="535" t="s">
        <v>291</v>
      </c>
      <c r="Q76" s="258">
        <v>42124</v>
      </c>
      <c r="R76" s="197"/>
      <c r="S76" s="262" t="s">
        <v>55</v>
      </c>
      <c r="T76" s="46"/>
      <c r="U76" s="262"/>
      <c r="V76" s="155">
        <f t="shared" ref="V76" si="20">DAYS360(H76,M76,0)+1</f>
        <v>114</v>
      </c>
      <c r="W76" s="327" t="str">
        <f t="shared" si="15"/>
        <v>Inoportuno</v>
      </c>
      <c r="X76" s="155">
        <f t="shared" ref="X76" si="21">DAYS360(Q76,T76,0)+1</f>
        <v>-41519</v>
      </c>
      <c r="Y76" s="780" t="s">
        <v>417</v>
      </c>
    </row>
    <row r="77" spans="1:25" ht="84" hidden="1" customHeight="1" x14ac:dyDescent="0.2">
      <c r="A77" s="499">
        <f t="shared" si="19"/>
        <v>74</v>
      </c>
      <c r="B77" s="43" t="s">
        <v>53</v>
      </c>
      <c r="C77" s="233" t="s">
        <v>209</v>
      </c>
      <c r="D77" s="722" t="s">
        <v>50</v>
      </c>
      <c r="E77" s="722" t="s">
        <v>225</v>
      </c>
      <c r="F77" s="45" t="s">
        <v>63</v>
      </c>
      <c r="G77" s="45"/>
      <c r="H77" s="46">
        <v>41848</v>
      </c>
      <c r="I77" s="294" t="s">
        <v>216</v>
      </c>
      <c r="J77" s="777" t="s">
        <v>57</v>
      </c>
      <c r="K77" s="777" t="s">
        <v>141</v>
      </c>
      <c r="L77" s="778" t="s">
        <v>83</v>
      </c>
      <c r="M77" s="46">
        <v>41964</v>
      </c>
      <c r="N77" s="230" t="s">
        <v>109</v>
      </c>
      <c r="O77" s="154" t="s">
        <v>261</v>
      </c>
      <c r="P77" s="535" t="s">
        <v>268</v>
      </c>
      <c r="Q77" s="46">
        <v>41973</v>
      </c>
      <c r="R77" s="197"/>
      <c r="S77" s="231" t="s">
        <v>55</v>
      </c>
      <c r="T77" s="46"/>
      <c r="U77" s="231"/>
      <c r="V77" s="155">
        <f t="shared" si="17"/>
        <v>114</v>
      </c>
      <c r="W77" s="327" t="str">
        <f t="shared" si="15"/>
        <v>Inoportuno</v>
      </c>
      <c r="X77" s="155">
        <f t="shared" si="18"/>
        <v>-41369</v>
      </c>
      <c r="Y77" s="780" t="s">
        <v>417</v>
      </c>
    </row>
    <row r="78" spans="1:25" ht="84" hidden="1" customHeight="1" x14ac:dyDescent="0.2">
      <c r="A78" s="499">
        <f t="shared" si="19"/>
        <v>75</v>
      </c>
      <c r="B78" s="43" t="s">
        <v>53</v>
      </c>
      <c r="C78" s="233" t="s">
        <v>209</v>
      </c>
      <c r="D78" s="724"/>
      <c r="E78" s="724"/>
      <c r="F78" s="45" t="s">
        <v>63</v>
      </c>
      <c r="G78" s="45"/>
      <c r="H78" s="46">
        <v>41848</v>
      </c>
      <c r="I78" s="294" t="s">
        <v>216</v>
      </c>
      <c r="J78" s="777"/>
      <c r="K78" s="777"/>
      <c r="L78" s="779"/>
      <c r="M78" s="46">
        <v>41964</v>
      </c>
      <c r="N78" s="263" t="s">
        <v>54</v>
      </c>
      <c r="O78" s="154" t="s">
        <v>261</v>
      </c>
      <c r="P78" s="535" t="s">
        <v>269</v>
      </c>
      <c r="Q78" s="46">
        <v>42004</v>
      </c>
      <c r="R78" s="197"/>
      <c r="S78" s="262" t="s">
        <v>55</v>
      </c>
      <c r="T78" s="46"/>
      <c r="U78" s="262"/>
      <c r="V78" s="155">
        <f t="shared" ref="V78" si="22">DAYS360(H78,M78,0)+1</f>
        <v>114</v>
      </c>
      <c r="W78" s="327" t="str">
        <f t="shared" si="15"/>
        <v>Inoportuno</v>
      </c>
      <c r="X78" s="155">
        <f t="shared" ref="X78" si="23">DAYS360(Q78,T78,0)+1</f>
        <v>-41399</v>
      </c>
      <c r="Y78" s="780" t="s">
        <v>417</v>
      </c>
    </row>
    <row r="79" spans="1:25" ht="71.25" hidden="1" customHeight="1" x14ac:dyDescent="0.2">
      <c r="A79" s="499">
        <f t="shared" si="19"/>
        <v>76</v>
      </c>
      <c r="B79" s="43" t="s">
        <v>53</v>
      </c>
      <c r="C79" s="233" t="s">
        <v>209</v>
      </c>
      <c r="D79" s="230" t="s">
        <v>50</v>
      </c>
      <c r="E79" s="15" t="s">
        <v>225</v>
      </c>
      <c r="F79" s="45" t="s">
        <v>63</v>
      </c>
      <c r="G79" s="45"/>
      <c r="H79" s="46">
        <v>41848</v>
      </c>
      <c r="I79" s="294" t="s">
        <v>217</v>
      </c>
      <c r="J79" s="401" t="s">
        <v>57</v>
      </c>
      <c r="K79" s="169" t="s">
        <v>141</v>
      </c>
      <c r="L79" s="168" t="s">
        <v>83</v>
      </c>
      <c r="M79" s="46">
        <v>41964</v>
      </c>
      <c r="N79" s="213" t="s">
        <v>109</v>
      </c>
      <c r="O79" s="154" t="s">
        <v>261</v>
      </c>
      <c r="P79" s="535" t="s">
        <v>270</v>
      </c>
      <c r="Q79" s="46">
        <v>41942</v>
      </c>
      <c r="R79" s="197"/>
      <c r="S79" s="214" t="s">
        <v>55</v>
      </c>
      <c r="T79" s="46"/>
      <c r="U79" s="214"/>
      <c r="V79" s="155">
        <f t="shared" si="17"/>
        <v>114</v>
      </c>
      <c r="W79" s="327" t="str">
        <f t="shared" si="15"/>
        <v>Inoportuno</v>
      </c>
      <c r="X79" s="155">
        <f t="shared" si="18"/>
        <v>-41339</v>
      </c>
      <c r="Y79" s="366" t="s">
        <v>417</v>
      </c>
    </row>
    <row r="80" spans="1:25" ht="198" hidden="1" customHeight="1" x14ac:dyDescent="0.2">
      <c r="A80" s="499">
        <f t="shared" si="19"/>
        <v>77</v>
      </c>
      <c r="B80" s="43" t="s">
        <v>65</v>
      </c>
      <c r="C80" s="233" t="s">
        <v>227</v>
      </c>
      <c r="D80" s="722" t="s">
        <v>45</v>
      </c>
      <c r="E80" s="722" t="s">
        <v>0</v>
      </c>
      <c r="F80" s="45" t="s">
        <v>62</v>
      </c>
      <c r="G80" s="45"/>
      <c r="H80" s="46">
        <v>41880</v>
      </c>
      <c r="I80" s="294" t="s">
        <v>228</v>
      </c>
      <c r="J80" s="734" t="s">
        <v>82</v>
      </c>
      <c r="K80" s="734" t="s">
        <v>141</v>
      </c>
      <c r="L80" s="725" t="s">
        <v>83</v>
      </c>
      <c r="M80" s="46">
        <v>41921</v>
      </c>
      <c r="N80" s="252" t="s">
        <v>54</v>
      </c>
      <c r="O80" s="154" t="s">
        <v>252</v>
      </c>
      <c r="P80" s="535" t="s">
        <v>292</v>
      </c>
      <c r="Q80" s="46">
        <v>41973</v>
      </c>
      <c r="R80" s="197" t="s">
        <v>708</v>
      </c>
      <c r="S80" s="253" t="s">
        <v>55</v>
      </c>
      <c r="T80" s="46"/>
      <c r="U80" s="253"/>
      <c r="V80" s="155">
        <f t="shared" si="17"/>
        <v>41</v>
      </c>
      <c r="W80" s="479" t="str">
        <f t="shared" ref="W80" si="24">IF(V80&gt;7,"Inoportuno",(IF(V80&lt;0,"No ha formulado PM","Oportuno")))</f>
        <v>Inoportuno</v>
      </c>
      <c r="X80" s="155">
        <f t="shared" si="18"/>
        <v>-41369</v>
      </c>
      <c r="Y80" s="780" t="s">
        <v>417</v>
      </c>
    </row>
    <row r="81" spans="1:25" ht="186" hidden="1" customHeight="1" x14ac:dyDescent="0.2">
      <c r="A81" s="499">
        <f t="shared" si="19"/>
        <v>78</v>
      </c>
      <c r="B81" s="43" t="s">
        <v>65</v>
      </c>
      <c r="C81" s="233" t="s">
        <v>227</v>
      </c>
      <c r="D81" s="724"/>
      <c r="E81" s="724"/>
      <c r="F81" s="45" t="s">
        <v>62</v>
      </c>
      <c r="G81" s="45"/>
      <c r="H81" s="46">
        <v>41880</v>
      </c>
      <c r="I81" s="294" t="s">
        <v>228</v>
      </c>
      <c r="J81" s="736"/>
      <c r="K81" s="736"/>
      <c r="L81" s="727"/>
      <c r="M81" s="46">
        <v>41921</v>
      </c>
      <c r="N81" s="252" t="s">
        <v>54</v>
      </c>
      <c r="O81" s="154" t="s">
        <v>250</v>
      </c>
      <c r="P81" s="535" t="s">
        <v>251</v>
      </c>
      <c r="Q81" s="46">
        <v>42369</v>
      </c>
      <c r="R81" s="197" t="s">
        <v>709</v>
      </c>
      <c r="S81" s="253" t="s">
        <v>55</v>
      </c>
      <c r="T81" s="46"/>
      <c r="U81" s="253"/>
      <c r="V81" s="155">
        <f t="shared" ref="V81" si="25">DAYS360(H81,M81,0)+1</f>
        <v>41</v>
      </c>
      <c r="W81" s="479" t="str">
        <f t="shared" ref="W81" si="26">IF(V81&gt;7,"Inoportuno",(IF(V81&lt;0,"No ha formulado PM","Oportuno")))</f>
        <v>Inoportuno</v>
      </c>
      <c r="X81" s="155">
        <f t="shared" ref="X81" si="27">DAYS360(Q81,T81,0)+1</f>
        <v>-41759</v>
      </c>
      <c r="Y81" s="780" t="s">
        <v>417</v>
      </c>
    </row>
    <row r="82" spans="1:25" ht="85.5" hidden="1" customHeight="1" x14ac:dyDescent="0.2">
      <c r="A82" s="499">
        <f t="shared" si="19"/>
        <v>79</v>
      </c>
      <c r="B82" s="219" t="s">
        <v>414</v>
      </c>
      <c r="C82" s="233" t="s">
        <v>229</v>
      </c>
      <c r="D82" s="246" t="s">
        <v>45</v>
      </c>
      <c r="E82" s="15" t="s">
        <v>0</v>
      </c>
      <c r="F82" s="45" t="s">
        <v>114</v>
      </c>
      <c r="G82" s="45"/>
      <c r="H82" s="46">
        <v>41908</v>
      </c>
      <c r="I82" s="294" t="s">
        <v>230</v>
      </c>
      <c r="J82" s="401" t="s">
        <v>82</v>
      </c>
      <c r="K82" s="169" t="s">
        <v>141</v>
      </c>
      <c r="L82" s="168" t="s">
        <v>83</v>
      </c>
      <c r="M82" s="46">
        <v>41942</v>
      </c>
      <c r="N82" s="246" t="s">
        <v>54</v>
      </c>
      <c r="O82" s="323" t="s">
        <v>253</v>
      </c>
      <c r="P82" s="535" t="s">
        <v>293</v>
      </c>
      <c r="Q82" s="321">
        <v>41988</v>
      </c>
      <c r="R82" s="197" t="s">
        <v>373</v>
      </c>
      <c r="S82" s="322" t="s">
        <v>55</v>
      </c>
      <c r="T82" s="321"/>
      <c r="U82" s="322"/>
      <c r="V82" s="155">
        <f t="shared" si="17"/>
        <v>35</v>
      </c>
      <c r="W82" s="327" t="str">
        <f t="shared" si="15"/>
        <v>Inoportuno</v>
      </c>
      <c r="X82" s="155">
        <f t="shared" si="18"/>
        <v>-41384</v>
      </c>
      <c r="Y82" s="366" t="s">
        <v>417</v>
      </c>
    </row>
    <row r="83" spans="1:25" ht="144" hidden="1" customHeight="1" x14ac:dyDescent="0.2">
      <c r="A83" s="499">
        <f t="shared" si="19"/>
        <v>80</v>
      </c>
      <c r="B83" s="219" t="s">
        <v>414</v>
      </c>
      <c r="C83" s="233" t="s">
        <v>229</v>
      </c>
      <c r="D83" s="501" t="s">
        <v>45</v>
      </c>
      <c r="E83" s="510" t="s">
        <v>0</v>
      </c>
      <c r="F83" s="45" t="s">
        <v>114</v>
      </c>
      <c r="G83" s="45"/>
      <c r="H83" s="46">
        <v>41908</v>
      </c>
      <c r="I83" s="294" t="s">
        <v>529</v>
      </c>
      <c r="J83" s="507" t="s">
        <v>82</v>
      </c>
      <c r="K83" s="507" t="s">
        <v>141</v>
      </c>
      <c r="L83" s="168" t="s">
        <v>83</v>
      </c>
      <c r="M83" s="46">
        <v>41942</v>
      </c>
      <c r="N83" s="256" t="s">
        <v>54</v>
      </c>
      <c r="O83" s="323" t="s">
        <v>253</v>
      </c>
      <c r="P83" s="535" t="s">
        <v>294</v>
      </c>
      <c r="Q83" s="321">
        <v>41958</v>
      </c>
      <c r="R83" s="197" t="s">
        <v>374</v>
      </c>
      <c r="S83" s="322" t="s">
        <v>55</v>
      </c>
      <c r="T83" s="321"/>
      <c r="U83" s="322"/>
      <c r="V83" s="155">
        <f t="shared" ref="V83" si="28">DAYS360(H83,M83,0)+1</f>
        <v>35</v>
      </c>
      <c r="W83" s="327" t="str">
        <f t="shared" si="15"/>
        <v>Inoportuno</v>
      </c>
      <c r="X83" s="155">
        <f t="shared" ref="X83" si="29">DAYS360(Q83,T83,0)+1</f>
        <v>-41354</v>
      </c>
      <c r="Y83" s="514" t="s">
        <v>417</v>
      </c>
    </row>
    <row r="84" spans="1:25" ht="248.25" hidden="1" customHeight="1" x14ac:dyDescent="0.2">
      <c r="A84" s="499">
        <f t="shared" si="19"/>
        <v>81</v>
      </c>
      <c r="B84" s="219" t="s">
        <v>414</v>
      </c>
      <c r="C84" s="233" t="s">
        <v>229</v>
      </c>
      <c r="D84" s="246" t="s">
        <v>45</v>
      </c>
      <c r="E84" s="15" t="s">
        <v>0</v>
      </c>
      <c r="F84" s="45" t="s">
        <v>114</v>
      </c>
      <c r="G84" s="45"/>
      <c r="H84" s="46">
        <v>41908</v>
      </c>
      <c r="I84" s="294" t="s">
        <v>418</v>
      </c>
      <c r="J84" s="401" t="s">
        <v>82</v>
      </c>
      <c r="K84" s="169" t="s">
        <v>141</v>
      </c>
      <c r="L84" s="168" t="s">
        <v>83</v>
      </c>
      <c r="M84" s="46">
        <v>41942</v>
      </c>
      <c r="N84" s="246" t="s">
        <v>54</v>
      </c>
      <c r="O84" s="320" t="s">
        <v>253</v>
      </c>
      <c r="P84" s="535" t="s">
        <v>295</v>
      </c>
      <c r="Q84" s="324">
        <v>41973</v>
      </c>
      <c r="R84" s="197" t="s">
        <v>374</v>
      </c>
      <c r="S84" s="322" t="s">
        <v>55</v>
      </c>
      <c r="T84" s="321"/>
      <c r="U84" s="322"/>
      <c r="V84" s="155">
        <f t="shared" si="17"/>
        <v>35</v>
      </c>
      <c r="W84" s="327" t="str">
        <f t="shared" si="15"/>
        <v>Inoportuno</v>
      </c>
      <c r="X84" s="155">
        <f t="shared" si="18"/>
        <v>-41369</v>
      </c>
      <c r="Y84" s="366" t="s">
        <v>417</v>
      </c>
    </row>
    <row r="85" spans="1:25" ht="93" hidden="1" customHeight="1" x14ac:dyDescent="0.2">
      <c r="A85" s="499">
        <f t="shared" si="19"/>
        <v>82</v>
      </c>
      <c r="B85" s="219" t="s">
        <v>414</v>
      </c>
      <c r="C85" s="233" t="s">
        <v>229</v>
      </c>
      <c r="D85" s="246" t="s">
        <v>45</v>
      </c>
      <c r="E85" s="15" t="s">
        <v>0</v>
      </c>
      <c r="F85" s="45" t="s">
        <v>114</v>
      </c>
      <c r="G85" s="45"/>
      <c r="H85" s="46">
        <v>41908</v>
      </c>
      <c r="I85" s="294" t="s">
        <v>296</v>
      </c>
      <c r="J85" s="401" t="s">
        <v>82</v>
      </c>
      <c r="K85" s="169" t="s">
        <v>141</v>
      </c>
      <c r="L85" s="168" t="s">
        <v>83</v>
      </c>
      <c r="M85" s="46">
        <v>41942</v>
      </c>
      <c r="N85" s="246" t="s">
        <v>54</v>
      </c>
      <c r="O85" s="320" t="s">
        <v>255</v>
      </c>
      <c r="P85" s="535" t="s">
        <v>254</v>
      </c>
      <c r="Q85" s="321">
        <v>42003</v>
      </c>
      <c r="R85" s="197" t="s">
        <v>374</v>
      </c>
      <c r="S85" s="322" t="s">
        <v>55</v>
      </c>
      <c r="T85" s="321"/>
      <c r="U85" s="322"/>
      <c r="V85" s="155">
        <f t="shared" ref="V85:V86" si="30">DAYS360(H85,M85,0)+1</f>
        <v>35</v>
      </c>
      <c r="W85" s="327" t="str">
        <f t="shared" si="15"/>
        <v>Inoportuno</v>
      </c>
      <c r="X85" s="155">
        <f t="shared" ref="X85:X86" si="31">DAYS360(Q85,T85,0)+1</f>
        <v>-41399</v>
      </c>
      <c r="Y85" s="366" t="s">
        <v>417</v>
      </c>
    </row>
    <row r="86" spans="1:25" ht="69" hidden="1" customHeight="1" x14ac:dyDescent="0.2">
      <c r="A86" s="499">
        <f t="shared" si="19"/>
        <v>83</v>
      </c>
      <c r="B86" s="219" t="s">
        <v>414</v>
      </c>
      <c r="C86" s="233" t="s">
        <v>229</v>
      </c>
      <c r="D86" s="246" t="s">
        <v>45</v>
      </c>
      <c r="E86" s="15" t="s">
        <v>0</v>
      </c>
      <c r="F86" s="45" t="s">
        <v>114</v>
      </c>
      <c r="G86" s="45"/>
      <c r="H86" s="46">
        <v>41908</v>
      </c>
      <c r="I86" s="294" t="s">
        <v>231</v>
      </c>
      <c r="J86" s="401" t="s">
        <v>57</v>
      </c>
      <c r="K86" s="169" t="s">
        <v>141</v>
      </c>
      <c r="L86" s="168" t="s">
        <v>83</v>
      </c>
      <c r="M86" s="46">
        <v>41942</v>
      </c>
      <c r="N86" s="246" t="s">
        <v>54</v>
      </c>
      <c r="O86" s="320" t="s">
        <v>253</v>
      </c>
      <c r="P86" s="535" t="s">
        <v>297</v>
      </c>
      <c r="Q86" s="321">
        <v>42003</v>
      </c>
      <c r="R86" s="197" t="s">
        <v>374</v>
      </c>
      <c r="S86" s="322" t="s">
        <v>55</v>
      </c>
      <c r="T86" s="321"/>
      <c r="U86" s="322"/>
      <c r="V86" s="155">
        <f t="shared" si="30"/>
        <v>35</v>
      </c>
      <c r="W86" s="327" t="str">
        <f t="shared" si="15"/>
        <v>Inoportuno</v>
      </c>
      <c r="X86" s="155">
        <f t="shared" si="31"/>
        <v>-41399</v>
      </c>
      <c r="Y86" s="366" t="s">
        <v>417</v>
      </c>
    </row>
    <row r="87" spans="1:25" ht="239.25" hidden="1" customHeight="1" x14ac:dyDescent="0.2">
      <c r="A87" s="499">
        <f t="shared" si="19"/>
        <v>84</v>
      </c>
      <c r="B87" s="43" t="s">
        <v>67</v>
      </c>
      <c r="C87" s="233" t="s">
        <v>232</v>
      </c>
      <c r="D87" s="500" t="s">
        <v>45</v>
      </c>
      <c r="E87" s="500" t="s">
        <v>0</v>
      </c>
      <c r="F87" s="45" t="s">
        <v>63</v>
      </c>
      <c r="G87" s="45"/>
      <c r="H87" s="46">
        <v>41878</v>
      </c>
      <c r="I87" s="294" t="s">
        <v>233</v>
      </c>
      <c r="J87" s="503" t="s">
        <v>82</v>
      </c>
      <c r="K87" s="503" t="s">
        <v>141</v>
      </c>
      <c r="L87" s="498" t="s">
        <v>83</v>
      </c>
      <c r="M87" s="46">
        <v>42130</v>
      </c>
      <c r="N87" s="338" t="s">
        <v>109</v>
      </c>
      <c r="O87" s="154" t="s">
        <v>164</v>
      </c>
      <c r="P87" s="535" t="s">
        <v>388</v>
      </c>
      <c r="Q87" s="46">
        <v>42369</v>
      </c>
      <c r="R87" s="197" t="s">
        <v>710</v>
      </c>
      <c r="S87" s="340" t="s">
        <v>55</v>
      </c>
      <c r="T87" s="46"/>
      <c r="U87" s="340"/>
      <c r="V87" s="155">
        <f t="shared" ref="V87" si="32">DAYS360(H87,M87,0)+1</f>
        <v>250</v>
      </c>
      <c r="W87" s="327" t="str">
        <f t="shared" ref="W87" si="33">IF(V87&gt;7,"Inoportuno",(IF(V87&lt;0,"No ha formulado PM","Oportuno")))</f>
        <v>Inoportuno</v>
      </c>
      <c r="X87" s="155">
        <f t="shared" ref="X87" si="34">DAYS360(Q87,T87,0)+1</f>
        <v>-41759</v>
      </c>
      <c r="Y87" s="516" t="s">
        <v>417</v>
      </c>
    </row>
    <row r="88" spans="1:25" ht="183" hidden="1" customHeight="1" x14ac:dyDescent="0.2">
      <c r="A88" s="499">
        <f t="shared" si="19"/>
        <v>85</v>
      </c>
      <c r="B88" s="43" t="s">
        <v>66</v>
      </c>
      <c r="C88" s="279" t="s">
        <v>304</v>
      </c>
      <c r="D88" s="226" t="s">
        <v>46</v>
      </c>
      <c r="E88" s="510" t="s">
        <v>0</v>
      </c>
      <c r="F88" s="45" t="s">
        <v>62</v>
      </c>
      <c r="G88" s="45"/>
      <c r="H88" s="46">
        <v>41983</v>
      </c>
      <c r="I88" s="304" t="s">
        <v>305</v>
      </c>
      <c r="J88" s="507" t="s">
        <v>57</v>
      </c>
      <c r="K88" s="507" t="s">
        <v>141</v>
      </c>
      <c r="L88" s="168" t="s">
        <v>83</v>
      </c>
      <c r="M88" s="46">
        <v>41990</v>
      </c>
      <c r="N88" s="274" t="s">
        <v>54</v>
      </c>
      <c r="O88" s="358" t="s">
        <v>410</v>
      </c>
      <c r="P88" s="535" t="s">
        <v>711</v>
      </c>
      <c r="Q88" s="46">
        <v>42094</v>
      </c>
      <c r="R88" s="197" t="s">
        <v>712</v>
      </c>
      <c r="S88" s="275" t="s">
        <v>55</v>
      </c>
      <c r="T88" s="46"/>
      <c r="U88" s="275"/>
      <c r="V88" s="155"/>
      <c r="W88" s="327" t="str">
        <f t="shared" si="15"/>
        <v>Oportuno</v>
      </c>
      <c r="X88" s="155">
        <f t="shared" ref="X88:X90" si="35">DAYS360(Q88,T88,0)+1</f>
        <v>-41489</v>
      </c>
      <c r="Y88" s="514" t="s">
        <v>417</v>
      </c>
    </row>
    <row r="89" spans="1:25" ht="166.5" hidden="1" customHeight="1" x14ac:dyDescent="0.2">
      <c r="A89" s="499">
        <f t="shared" si="19"/>
        <v>86</v>
      </c>
      <c r="B89" s="43" t="s">
        <v>66</v>
      </c>
      <c r="C89" s="279" t="s">
        <v>304</v>
      </c>
      <c r="D89" s="226" t="s">
        <v>46</v>
      </c>
      <c r="E89" s="15" t="s">
        <v>0</v>
      </c>
      <c r="F89" s="45" t="s">
        <v>62</v>
      </c>
      <c r="G89" s="45"/>
      <c r="H89" s="46">
        <v>41983</v>
      </c>
      <c r="I89" s="304" t="s">
        <v>308</v>
      </c>
      <c r="J89" s="401" t="s">
        <v>57</v>
      </c>
      <c r="K89" s="169" t="s">
        <v>141</v>
      </c>
      <c r="L89" s="168" t="s">
        <v>83</v>
      </c>
      <c r="M89" s="46">
        <v>41990</v>
      </c>
      <c r="N89" s="274" t="s">
        <v>109</v>
      </c>
      <c r="O89" s="358" t="s">
        <v>410</v>
      </c>
      <c r="P89" s="535" t="s">
        <v>309</v>
      </c>
      <c r="Q89" s="357">
        <v>42185</v>
      </c>
      <c r="R89" s="197" t="s">
        <v>713</v>
      </c>
      <c r="S89" s="275" t="s">
        <v>55</v>
      </c>
      <c r="T89" s="46"/>
      <c r="U89" s="275"/>
      <c r="V89" s="155">
        <f t="shared" ref="V89:V90" si="36">DAYS360(H89,M89,0)+1</f>
        <v>8</v>
      </c>
      <c r="W89" s="327" t="str">
        <f t="shared" si="15"/>
        <v>Inoportuno</v>
      </c>
      <c r="X89" s="155">
        <f t="shared" si="35"/>
        <v>-41579</v>
      </c>
      <c r="Y89" s="366" t="s">
        <v>417</v>
      </c>
    </row>
    <row r="90" spans="1:25" ht="115.5" hidden="1" customHeight="1" x14ac:dyDescent="0.2">
      <c r="A90" s="499">
        <f t="shared" si="19"/>
        <v>87</v>
      </c>
      <c r="B90" s="43" t="s">
        <v>66</v>
      </c>
      <c r="C90" s="279" t="s">
        <v>304</v>
      </c>
      <c r="D90" s="226" t="s">
        <v>46</v>
      </c>
      <c r="E90" s="15" t="s">
        <v>0</v>
      </c>
      <c r="F90" s="45" t="s">
        <v>62</v>
      </c>
      <c r="G90" s="45"/>
      <c r="H90" s="46">
        <v>41983</v>
      </c>
      <c r="I90" s="304" t="s">
        <v>306</v>
      </c>
      <c r="J90" s="401" t="s">
        <v>57</v>
      </c>
      <c r="K90" s="169" t="s">
        <v>141</v>
      </c>
      <c r="L90" s="168" t="s">
        <v>83</v>
      </c>
      <c r="M90" s="46">
        <v>41990</v>
      </c>
      <c r="N90" s="274" t="s">
        <v>54</v>
      </c>
      <c r="O90" s="358" t="s">
        <v>410</v>
      </c>
      <c r="P90" s="535" t="s">
        <v>411</v>
      </c>
      <c r="Q90" s="357">
        <v>42353</v>
      </c>
      <c r="R90" s="197" t="s">
        <v>714</v>
      </c>
      <c r="S90" s="275" t="s">
        <v>55</v>
      </c>
      <c r="T90" s="46"/>
      <c r="U90" s="275"/>
      <c r="V90" s="155">
        <f t="shared" si="36"/>
        <v>8</v>
      </c>
      <c r="W90" s="327" t="str">
        <f t="shared" si="15"/>
        <v>Inoportuno</v>
      </c>
      <c r="X90" s="155">
        <f t="shared" si="35"/>
        <v>-41744</v>
      </c>
      <c r="Y90" s="366" t="s">
        <v>417</v>
      </c>
    </row>
    <row r="91" spans="1:25" ht="156.75" hidden="1" customHeight="1" x14ac:dyDescent="0.2">
      <c r="A91" s="499">
        <f t="shared" si="19"/>
        <v>88</v>
      </c>
      <c r="B91" s="43" t="s">
        <v>66</v>
      </c>
      <c r="C91" s="279" t="s">
        <v>304</v>
      </c>
      <c r="D91" s="722" t="s">
        <v>46</v>
      </c>
      <c r="E91" s="722" t="s">
        <v>0</v>
      </c>
      <c r="F91" s="45" t="s">
        <v>62</v>
      </c>
      <c r="G91" s="45"/>
      <c r="H91" s="46">
        <v>41983</v>
      </c>
      <c r="I91" s="294" t="s">
        <v>307</v>
      </c>
      <c r="J91" s="734" t="s">
        <v>57</v>
      </c>
      <c r="K91" s="734" t="s">
        <v>141</v>
      </c>
      <c r="L91" s="725" t="s">
        <v>83</v>
      </c>
      <c r="M91" s="46">
        <v>41990</v>
      </c>
      <c r="N91" s="269" t="s">
        <v>109</v>
      </c>
      <c r="O91" s="358" t="s">
        <v>410</v>
      </c>
      <c r="P91" s="535" t="s">
        <v>412</v>
      </c>
      <c r="Q91" s="357">
        <v>42185</v>
      </c>
      <c r="R91" s="197" t="s">
        <v>715</v>
      </c>
      <c r="S91" s="275" t="s">
        <v>55</v>
      </c>
      <c r="T91" s="46"/>
      <c r="U91" s="268"/>
      <c r="V91" s="155">
        <f t="shared" ref="V91" si="37">DAYS360(H91,M91,0)+1</f>
        <v>8</v>
      </c>
      <c r="W91" s="327" t="str">
        <f t="shared" si="15"/>
        <v>Inoportuno</v>
      </c>
      <c r="X91" s="155">
        <f t="shared" ref="X91" si="38">DAYS360(Q91,T91,0)+1</f>
        <v>-41579</v>
      </c>
      <c r="Y91" s="790" t="s">
        <v>417</v>
      </c>
    </row>
    <row r="92" spans="1:25" ht="57" hidden="1" customHeight="1" x14ac:dyDescent="0.2">
      <c r="A92" s="499">
        <f t="shared" si="19"/>
        <v>89</v>
      </c>
      <c r="B92" s="43" t="s">
        <v>66</v>
      </c>
      <c r="C92" s="279" t="s">
        <v>304</v>
      </c>
      <c r="D92" s="724"/>
      <c r="E92" s="724"/>
      <c r="F92" s="45" t="s">
        <v>62</v>
      </c>
      <c r="G92" s="45"/>
      <c r="H92" s="46">
        <v>41983</v>
      </c>
      <c r="I92" s="294" t="s">
        <v>307</v>
      </c>
      <c r="J92" s="736"/>
      <c r="K92" s="736"/>
      <c r="L92" s="727"/>
      <c r="M92" s="46">
        <v>41990</v>
      </c>
      <c r="N92" s="355" t="s">
        <v>109</v>
      </c>
      <c r="O92" s="358" t="s">
        <v>410</v>
      </c>
      <c r="P92" s="535" t="s">
        <v>413</v>
      </c>
      <c r="Q92" s="357">
        <v>42353</v>
      </c>
      <c r="R92" s="197" t="s">
        <v>445</v>
      </c>
      <c r="S92" s="356" t="s">
        <v>55</v>
      </c>
      <c r="T92" s="46"/>
      <c r="U92" s="356"/>
      <c r="V92" s="155">
        <f t="shared" ref="V92" si="39">DAYS360(H92,M92,0)+1</f>
        <v>8</v>
      </c>
      <c r="W92" s="327" t="str">
        <f t="shared" ref="W92" si="40">IF(V92&gt;7,"Inoportuno",(IF(V92&lt;0,"No ha formulado PM","Oportuno")))</f>
        <v>Inoportuno</v>
      </c>
      <c r="X92" s="155">
        <f t="shared" ref="X92" si="41">DAYS360(Q92,T92,0)+1</f>
        <v>-41744</v>
      </c>
      <c r="Y92" s="792" t="s">
        <v>417</v>
      </c>
    </row>
    <row r="93" spans="1:25" ht="108" hidden="1" customHeight="1" x14ac:dyDescent="0.2">
      <c r="A93" s="499">
        <f t="shared" si="19"/>
        <v>90</v>
      </c>
      <c r="B93" s="43" t="s">
        <v>53</v>
      </c>
      <c r="C93" s="233" t="s">
        <v>322</v>
      </c>
      <c r="D93" s="221" t="s">
        <v>45</v>
      </c>
      <c r="E93" s="221" t="s">
        <v>225</v>
      </c>
      <c r="F93" s="45" t="s">
        <v>63</v>
      </c>
      <c r="G93" s="45"/>
      <c r="H93" s="46">
        <v>41969</v>
      </c>
      <c r="I93" s="375" t="s">
        <v>321</v>
      </c>
      <c r="J93" s="495" t="s">
        <v>82</v>
      </c>
      <c r="K93" s="495" t="s">
        <v>141</v>
      </c>
      <c r="L93" s="496" t="s">
        <v>83</v>
      </c>
      <c r="M93" s="46">
        <v>42228</v>
      </c>
      <c r="N93" s="371" t="s">
        <v>58</v>
      </c>
      <c r="O93" s="371" t="s">
        <v>419</v>
      </c>
      <c r="P93" s="535" t="s">
        <v>501</v>
      </c>
      <c r="Q93" s="46">
        <v>42369</v>
      </c>
      <c r="R93" s="197" t="s">
        <v>502</v>
      </c>
      <c r="S93" s="372" t="s">
        <v>55</v>
      </c>
      <c r="T93" s="46"/>
      <c r="U93" s="372"/>
      <c r="V93" s="155">
        <f t="shared" ref="V93" si="42">DAYS360(H93,M93,0)+1</f>
        <v>257</v>
      </c>
      <c r="W93" s="369" t="str">
        <f t="shared" ref="W93" si="43">IF(V93&gt;7,"Inoportuno",(IF(V93&lt;0,"No ha formulado PM","Oportuno")))</f>
        <v>Inoportuno</v>
      </c>
      <c r="X93" s="155">
        <f t="shared" ref="X93" si="44">DAYS360(Q93,T93,0)+1</f>
        <v>-41759</v>
      </c>
      <c r="Y93" s="370" t="s">
        <v>417</v>
      </c>
    </row>
    <row r="94" spans="1:25" ht="384" hidden="1" customHeight="1" x14ac:dyDescent="0.2">
      <c r="A94" s="499">
        <f t="shared" si="19"/>
        <v>91</v>
      </c>
      <c r="B94" s="43" t="s">
        <v>53</v>
      </c>
      <c r="C94" s="233" t="s">
        <v>322</v>
      </c>
      <c r="D94" s="722" t="s">
        <v>45</v>
      </c>
      <c r="E94" s="722" t="s">
        <v>225</v>
      </c>
      <c r="F94" s="45" t="s">
        <v>63</v>
      </c>
      <c r="G94" s="45"/>
      <c r="H94" s="46">
        <v>41969</v>
      </c>
      <c r="I94" s="375" t="s">
        <v>716</v>
      </c>
      <c r="J94" s="734" t="s">
        <v>82</v>
      </c>
      <c r="K94" s="734" t="s">
        <v>141</v>
      </c>
      <c r="L94" s="725" t="s">
        <v>83</v>
      </c>
      <c r="M94" s="46">
        <v>42228</v>
      </c>
      <c r="N94" s="277" t="s">
        <v>109</v>
      </c>
      <c r="O94" s="277" t="s">
        <v>433</v>
      </c>
      <c r="P94" s="535" t="s">
        <v>503</v>
      </c>
      <c r="Q94" s="46">
        <v>42277</v>
      </c>
      <c r="R94" s="281" t="s">
        <v>717</v>
      </c>
      <c r="S94" s="278" t="s">
        <v>55</v>
      </c>
      <c r="T94" s="46"/>
      <c r="U94" s="278"/>
      <c r="V94" s="155">
        <f t="shared" ref="V94:V125" si="45">DAYS360(H94,M94,0)+1</f>
        <v>257</v>
      </c>
      <c r="W94" s="327" t="str">
        <f t="shared" si="15"/>
        <v>Inoportuno</v>
      </c>
      <c r="X94" s="155">
        <f t="shared" ref="X94:X125" si="46">DAYS360(Q94,T94,0)+1</f>
        <v>-41669</v>
      </c>
      <c r="Y94" s="366" t="s">
        <v>417</v>
      </c>
    </row>
    <row r="95" spans="1:25" ht="285.75" hidden="1" customHeight="1" x14ac:dyDescent="0.2">
      <c r="A95" s="499">
        <f t="shared" si="19"/>
        <v>92</v>
      </c>
      <c r="B95" s="43" t="s">
        <v>53</v>
      </c>
      <c r="C95" s="233" t="s">
        <v>322</v>
      </c>
      <c r="D95" s="724"/>
      <c r="E95" s="724"/>
      <c r="F95" s="45" t="s">
        <v>63</v>
      </c>
      <c r="G95" s="45"/>
      <c r="H95" s="46">
        <v>41969</v>
      </c>
      <c r="I95" s="382" t="s">
        <v>718</v>
      </c>
      <c r="J95" s="736"/>
      <c r="K95" s="736"/>
      <c r="L95" s="727"/>
      <c r="M95" s="46">
        <v>42228</v>
      </c>
      <c r="N95" s="377" t="s">
        <v>58</v>
      </c>
      <c r="O95" s="377" t="s">
        <v>433</v>
      </c>
      <c r="P95" s="535" t="s">
        <v>434</v>
      </c>
      <c r="Q95" s="46">
        <v>42277</v>
      </c>
      <c r="R95" s="197" t="s">
        <v>719</v>
      </c>
      <c r="S95" s="378" t="s">
        <v>55</v>
      </c>
      <c r="T95" s="46"/>
      <c r="U95" s="378"/>
      <c r="V95" s="155">
        <f t="shared" ref="V95" si="47">DAYS360(H95,M95,0)+1</f>
        <v>257</v>
      </c>
      <c r="W95" s="379" t="str">
        <f t="shared" ref="W95" si="48">IF(V95&gt;7,"Inoportuno",(IF(V95&lt;0,"No ha formulado PM","Oportuno")))</f>
        <v>Inoportuno</v>
      </c>
      <c r="X95" s="155">
        <f t="shared" ref="X95" si="49">DAYS360(Q95,T95,0)+1</f>
        <v>-41669</v>
      </c>
      <c r="Y95" s="380" t="s">
        <v>417</v>
      </c>
    </row>
    <row r="96" spans="1:25" ht="356.25" hidden="1" customHeight="1" x14ac:dyDescent="0.2">
      <c r="A96" s="499">
        <f t="shared" si="19"/>
        <v>93</v>
      </c>
      <c r="B96" s="43" t="s">
        <v>53</v>
      </c>
      <c r="C96" s="233" t="s">
        <v>322</v>
      </c>
      <c r="D96" s="722" t="s">
        <v>45</v>
      </c>
      <c r="E96" s="722" t="s">
        <v>225</v>
      </c>
      <c r="F96" s="45" t="s">
        <v>63</v>
      </c>
      <c r="G96" s="45"/>
      <c r="H96" s="381" t="s">
        <v>421</v>
      </c>
      <c r="I96" s="375" t="s">
        <v>509</v>
      </c>
      <c r="J96" s="734" t="s">
        <v>82</v>
      </c>
      <c r="K96" s="734" t="s">
        <v>141</v>
      </c>
      <c r="L96" s="725" t="s">
        <v>83</v>
      </c>
      <c r="M96" s="46">
        <v>42228</v>
      </c>
      <c r="N96" s="277" t="s">
        <v>109</v>
      </c>
      <c r="O96" s="277" t="s">
        <v>422</v>
      </c>
      <c r="P96" s="535" t="s">
        <v>423</v>
      </c>
      <c r="Q96" s="357">
        <v>42369</v>
      </c>
      <c r="R96" s="197" t="s">
        <v>508</v>
      </c>
      <c r="S96" s="278" t="s">
        <v>55</v>
      </c>
      <c r="T96" s="46"/>
      <c r="U96" s="278"/>
      <c r="V96" s="257" t="e">
        <f t="shared" ref="V96:V98" si="50">DAYS360(H96,M96,0)+1</f>
        <v>#VALUE!</v>
      </c>
      <c r="W96" s="480" t="e">
        <f t="shared" ref="W96:W98" si="51">IF(V96&gt;7,"Inoportuno",(IF(V96&lt;0,"No ha formulado PM","Oportuno")))</f>
        <v>#VALUE!</v>
      </c>
      <c r="X96" s="257">
        <f t="shared" ref="X96:X98" si="52">DAYS360(Q96,T96,0)+1</f>
        <v>-41759</v>
      </c>
      <c r="Y96" s="481" t="s">
        <v>417</v>
      </c>
    </row>
    <row r="97" spans="1:25" ht="356.25" hidden="1" customHeight="1" x14ac:dyDescent="0.2">
      <c r="A97" s="499">
        <f t="shared" si="19"/>
        <v>94</v>
      </c>
      <c r="B97" s="43" t="s">
        <v>53</v>
      </c>
      <c r="C97" s="233" t="s">
        <v>322</v>
      </c>
      <c r="D97" s="723"/>
      <c r="E97" s="723"/>
      <c r="F97" s="45" t="s">
        <v>63</v>
      </c>
      <c r="G97" s="45"/>
      <c r="H97" s="381" t="s">
        <v>421</v>
      </c>
      <c r="I97" s="375" t="s">
        <v>427</v>
      </c>
      <c r="J97" s="735"/>
      <c r="K97" s="735"/>
      <c r="L97" s="726"/>
      <c r="M97" s="46">
        <v>42228</v>
      </c>
      <c r="N97" s="377" t="s">
        <v>54</v>
      </c>
      <c r="O97" s="377" t="s">
        <v>422</v>
      </c>
      <c r="P97" s="535" t="s">
        <v>424</v>
      </c>
      <c r="Q97" s="46">
        <v>42369</v>
      </c>
      <c r="R97" s="197" t="s">
        <v>508</v>
      </c>
      <c r="S97" s="378" t="s">
        <v>55</v>
      </c>
      <c r="T97" s="46"/>
      <c r="U97" s="378"/>
      <c r="V97" s="257" t="e">
        <f t="shared" si="50"/>
        <v>#VALUE!</v>
      </c>
      <c r="W97" s="480" t="e">
        <f t="shared" si="51"/>
        <v>#VALUE!</v>
      </c>
      <c r="X97" s="257">
        <f t="shared" si="52"/>
        <v>-41759</v>
      </c>
      <c r="Y97" s="481" t="s">
        <v>417</v>
      </c>
    </row>
    <row r="98" spans="1:25" ht="356.25" hidden="1" customHeight="1" x14ac:dyDescent="0.2">
      <c r="A98" s="499">
        <f t="shared" si="19"/>
        <v>95</v>
      </c>
      <c r="B98" s="43" t="s">
        <v>53</v>
      </c>
      <c r="C98" s="233" t="s">
        <v>322</v>
      </c>
      <c r="D98" s="724"/>
      <c r="E98" s="724"/>
      <c r="F98" s="45" t="s">
        <v>63</v>
      </c>
      <c r="G98" s="45"/>
      <c r="H98" s="381" t="s">
        <v>421</v>
      </c>
      <c r="I98" s="375" t="s">
        <v>427</v>
      </c>
      <c r="J98" s="736"/>
      <c r="K98" s="736"/>
      <c r="L98" s="727"/>
      <c r="M98" s="46">
        <v>42228</v>
      </c>
      <c r="N98" s="377" t="s">
        <v>54</v>
      </c>
      <c r="O98" s="377" t="s">
        <v>422</v>
      </c>
      <c r="P98" s="535" t="s">
        <v>425</v>
      </c>
      <c r="Q98" s="46">
        <v>42369</v>
      </c>
      <c r="R98" s="197" t="s">
        <v>508</v>
      </c>
      <c r="S98" s="378" t="s">
        <v>55</v>
      </c>
      <c r="T98" s="46"/>
      <c r="U98" s="378"/>
      <c r="V98" s="257" t="e">
        <f t="shared" si="50"/>
        <v>#VALUE!</v>
      </c>
      <c r="W98" s="480" t="e">
        <f t="shared" si="51"/>
        <v>#VALUE!</v>
      </c>
      <c r="X98" s="257">
        <f t="shared" si="52"/>
        <v>-41759</v>
      </c>
      <c r="Y98" s="481" t="s">
        <v>417</v>
      </c>
    </row>
    <row r="99" spans="1:25" ht="238.5" hidden="1" customHeight="1" x14ac:dyDescent="0.2">
      <c r="A99" s="499">
        <f t="shared" si="19"/>
        <v>96</v>
      </c>
      <c r="B99" s="43" t="s">
        <v>53</v>
      </c>
      <c r="C99" s="233" t="s">
        <v>322</v>
      </c>
      <c r="D99" s="221" t="s">
        <v>45</v>
      </c>
      <c r="E99" s="221" t="s">
        <v>225</v>
      </c>
      <c r="F99" s="45" t="s">
        <v>63</v>
      </c>
      <c r="G99" s="45"/>
      <c r="H99" s="46">
        <v>41969</v>
      </c>
      <c r="I99" s="375" t="s">
        <v>323</v>
      </c>
      <c r="J99" s="495" t="s">
        <v>82</v>
      </c>
      <c r="K99" s="495" t="s">
        <v>141</v>
      </c>
      <c r="L99" s="496" t="s">
        <v>83</v>
      </c>
      <c r="M99" s="46">
        <v>42228</v>
      </c>
      <c r="N99" s="377" t="s">
        <v>54</v>
      </c>
      <c r="O99" s="377" t="s">
        <v>426</v>
      </c>
      <c r="P99" s="535" t="s">
        <v>428</v>
      </c>
      <c r="Q99" s="357">
        <v>42004</v>
      </c>
      <c r="R99" s="281" t="s">
        <v>720</v>
      </c>
      <c r="S99" s="378" t="s">
        <v>55</v>
      </c>
      <c r="T99" s="46"/>
      <c r="U99" s="378"/>
      <c r="V99" s="155">
        <f t="shared" ref="V99" si="53">DAYS360(H99,M99,0)+1</f>
        <v>257</v>
      </c>
      <c r="W99" s="379" t="str">
        <f t="shared" ref="W99" si="54">IF(V99&gt;7,"Inoportuno",(IF(V99&lt;0,"No ha formulado PM","Oportuno")))</f>
        <v>Inoportuno</v>
      </c>
      <c r="X99" s="155">
        <f t="shared" ref="X99" si="55">DAYS360(Q99,T99,0)+1</f>
        <v>-41399</v>
      </c>
      <c r="Y99" s="380" t="s">
        <v>417</v>
      </c>
    </row>
    <row r="100" spans="1:25" ht="107.25" hidden="1" customHeight="1" x14ac:dyDescent="0.2">
      <c r="A100" s="499">
        <f t="shared" si="19"/>
        <v>97</v>
      </c>
      <c r="B100" s="43" t="s">
        <v>10</v>
      </c>
      <c r="C100" s="233" t="s">
        <v>324</v>
      </c>
      <c r="D100" s="315" t="s">
        <v>45</v>
      </c>
      <c r="E100" s="15" t="s">
        <v>0</v>
      </c>
      <c r="F100" s="45" t="s">
        <v>60</v>
      </c>
      <c r="G100" s="45"/>
      <c r="H100" s="46">
        <v>41999</v>
      </c>
      <c r="I100" s="282" t="s">
        <v>325</v>
      </c>
      <c r="J100" s="400" t="s">
        <v>82</v>
      </c>
      <c r="K100" s="316" t="s">
        <v>141</v>
      </c>
      <c r="L100" s="314" t="s">
        <v>83</v>
      </c>
      <c r="M100" s="46">
        <v>42052</v>
      </c>
      <c r="N100" s="277" t="s">
        <v>54</v>
      </c>
      <c r="O100" s="277" t="s">
        <v>449</v>
      </c>
      <c r="P100" s="535" t="s">
        <v>354</v>
      </c>
      <c r="Q100" s="46">
        <v>42369</v>
      </c>
      <c r="R100" s="197" t="s">
        <v>448</v>
      </c>
      <c r="S100" s="278" t="s">
        <v>55</v>
      </c>
      <c r="T100" s="46"/>
      <c r="U100" s="278"/>
      <c r="V100" s="155">
        <f t="shared" si="45"/>
        <v>52</v>
      </c>
      <c r="W100" s="327" t="str">
        <f t="shared" ref="W100:W125" si="56">IF(V100&gt;7,"Inoportuno",(IF(V100&lt;0,"No ha formulado PM","Oportuno")))</f>
        <v>Inoportuno</v>
      </c>
      <c r="X100" s="155">
        <f t="shared" si="46"/>
        <v>-41759</v>
      </c>
      <c r="Y100" s="368" t="s">
        <v>417</v>
      </c>
    </row>
    <row r="101" spans="1:25" ht="138.75" hidden="1" customHeight="1" x14ac:dyDescent="0.2">
      <c r="A101" s="499">
        <f t="shared" si="19"/>
        <v>98</v>
      </c>
      <c r="B101" s="43" t="s">
        <v>67</v>
      </c>
      <c r="C101" s="233" t="s">
        <v>326</v>
      </c>
      <c r="D101" s="226" t="s">
        <v>45</v>
      </c>
      <c r="E101" s="221" t="s">
        <v>0</v>
      </c>
      <c r="F101" s="45" t="s">
        <v>63</v>
      </c>
      <c r="G101" s="45"/>
      <c r="H101" s="46">
        <v>41995</v>
      </c>
      <c r="I101" s="305" t="s">
        <v>327</v>
      </c>
      <c r="J101" s="495" t="s">
        <v>82</v>
      </c>
      <c r="K101" s="495" t="s">
        <v>141</v>
      </c>
      <c r="L101" s="496" t="s">
        <v>83</v>
      </c>
      <c r="M101" s="46">
        <v>42010</v>
      </c>
      <c r="N101" s="283" t="s">
        <v>54</v>
      </c>
      <c r="O101" s="284" t="s">
        <v>344</v>
      </c>
      <c r="P101" s="535" t="s">
        <v>345</v>
      </c>
      <c r="Q101" s="46">
        <v>42369</v>
      </c>
      <c r="R101" s="197" t="s">
        <v>570</v>
      </c>
      <c r="S101" s="285" t="s">
        <v>55</v>
      </c>
      <c r="T101" s="46"/>
      <c r="U101" s="285"/>
      <c r="V101" s="155">
        <f t="shared" ref="V101" si="57">DAYS360(H101,M101,0)+1</f>
        <v>15</v>
      </c>
      <c r="W101" s="327" t="str">
        <f t="shared" si="56"/>
        <v>Inoportuno</v>
      </c>
      <c r="X101" s="155">
        <f t="shared" ref="X101" si="58">DAYS360(Q101,T101,0)+1</f>
        <v>-41759</v>
      </c>
      <c r="Y101" s="514" t="s">
        <v>417</v>
      </c>
    </row>
    <row r="102" spans="1:25" ht="149.25" hidden="1" customHeight="1" x14ac:dyDescent="0.2">
      <c r="A102" s="499">
        <f t="shared" si="19"/>
        <v>99</v>
      </c>
      <c r="B102" s="43" t="s">
        <v>67</v>
      </c>
      <c r="C102" s="233" t="s">
        <v>326</v>
      </c>
      <c r="D102" s="277" t="s">
        <v>45</v>
      </c>
      <c r="E102" s="15" t="s">
        <v>0</v>
      </c>
      <c r="F102" s="45" t="s">
        <v>63</v>
      </c>
      <c r="G102" s="45"/>
      <c r="H102" s="46">
        <v>41995</v>
      </c>
      <c r="I102" s="305" t="s">
        <v>328</v>
      </c>
      <c r="J102" s="401" t="s">
        <v>82</v>
      </c>
      <c r="K102" s="169"/>
      <c r="L102" s="168" t="s">
        <v>84</v>
      </c>
      <c r="M102" s="46"/>
      <c r="N102" s="277"/>
      <c r="O102" s="283"/>
      <c r="P102" s="535"/>
      <c r="Q102" s="46"/>
      <c r="R102" s="197"/>
      <c r="S102" s="278"/>
      <c r="T102" s="46"/>
      <c r="U102" s="278"/>
      <c r="V102" s="155">
        <f t="shared" si="45"/>
        <v>-41391</v>
      </c>
      <c r="W102" s="327" t="str">
        <f t="shared" si="56"/>
        <v>No ha formulado PM</v>
      </c>
      <c r="X102" s="155">
        <f t="shared" si="46"/>
        <v>1</v>
      </c>
      <c r="Y102" s="366" t="s">
        <v>417</v>
      </c>
    </row>
    <row r="103" spans="1:25" ht="102.75" hidden="1" customHeight="1" x14ac:dyDescent="0.2">
      <c r="A103" s="499">
        <f t="shared" si="19"/>
        <v>100</v>
      </c>
      <c r="B103" s="43" t="s">
        <v>67</v>
      </c>
      <c r="C103" s="233" t="s">
        <v>326</v>
      </c>
      <c r="D103" s="722" t="s">
        <v>45</v>
      </c>
      <c r="E103" s="722" t="s">
        <v>0</v>
      </c>
      <c r="F103" s="45" t="s">
        <v>63</v>
      </c>
      <c r="G103" s="45"/>
      <c r="H103" s="46">
        <v>41995</v>
      </c>
      <c r="I103" s="294" t="s">
        <v>329</v>
      </c>
      <c r="J103" s="734" t="s">
        <v>82</v>
      </c>
      <c r="K103" s="734" t="s">
        <v>141</v>
      </c>
      <c r="L103" s="725" t="s">
        <v>83</v>
      </c>
      <c r="M103" s="46">
        <v>42010</v>
      </c>
      <c r="N103" s="283" t="s">
        <v>109</v>
      </c>
      <c r="O103" s="281" t="s">
        <v>348</v>
      </c>
      <c r="P103" s="535" t="s">
        <v>346</v>
      </c>
      <c r="Q103" s="46">
        <v>42369</v>
      </c>
      <c r="R103" s="197" t="s">
        <v>721</v>
      </c>
      <c r="S103" s="285" t="s">
        <v>55</v>
      </c>
      <c r="T103" s="46"/>
      <c r="U103" s="285"/>
      <c r="V103" s="155">
        <f t="shared" ref="V103:V106" si="59">DAYS360(H103,M103,0)+1</f>
        <v>15</v>
      </c>
      <c r="W103" s="327" t="str">
        <f t="shared" si="56"/>
        <v>Inoportuno</v>
      </c>
      <c r="X103" s="155">
        <f t="shared" ref="X103:X106" si="60">DAYS360(Q103,T103,0)+1</f>
        <v>-41759</v>
      </c>
      <c r="Y103" s="780" t="s">
        <v>417</v>
      </c>
    </row>
    <row r="104" spans="1:25" ht="131.25" hidden="1" customHeight="1" x14ac:dyDescent="0.2">
      <c r="A104" s="499">
        <f t="shared" si="19"/>
        <v>101</v>
      </c>
      <c r="B104" s="43" t="s">
        <v>67</v>
      </c>
      <c r="C104" s="233" t="s">
        <v>326</v>
      </c>
      <c r="D104" s="723"/>
      <c r="E104" s="723"/>
      <c r="F104" s="45" t="s">
        <v>63</v>
      </c>
      <c r="G104" s="45"/>
      <c r="H104" s="46">
        <v>41995</v>
      </c>
      <c r="I104" s="294" t="s">
        <v>329</v>
      </c>
      <c r="J104" s="735"/>
      <c r="K104" s="735"/>
      <c r="L104" s="726"/>
      <c r="M104" s="46">
        <v>42010</v>
      </c>
      <c r="N104" s="283" t="s">
        <v>109</v>
      </c>
      <c r="O104" s="281" t="s">
        <v>348</v>
      </c>
      <c r="P104" s="535" t="s">
        <v>347</v>
      </c>
      <c r="Q104" s="46">
        <v>42369</v>
      </c>
      <c r="R104" s="197" t="s">
        <v>722</v>
      </c>
      <c r="S104" s="285" t="s">
        <v>55</v>
      </c>
      <c r="T104" s="46"/>
      <c r="U104" s="285"/>
      <c r="V104" s="155">
        <f t="shared" si="59"/>
        <v>15</v>
      </c>
      <c r="W104" s="327" t="str">
        <f t="shared" si="56"/>
        <v>Inoportuno</v>
      </c>
      <c r="X104" s="155">
        <f t="shared" si="60"/>
        <v>-41759</v>
      </c>
      <c r="Y104" s="780" t="s">
        <v>417</v>
      </c>
    </row>
    <row r="105" spans="1:25" ht="220.5" hidden="1" customHeight="1" x14ac:dyDescent="0.2">
      <c r="A105" s="499">
        <f t="shared" si="19"/>
        <v>102</v>
      </c>
      <c r="B105" s="43" t="s">
        <v>67</v>
      </c>
      <c r="C105" s="233" t="s">
        <v>326</v>
      </c>
      <c r="D105" s="723"/>
      <c r="E105" s="723"/>
      <c r="F105" s="45" t="s">
        <v>63</v>
      </c>
      <c r="G105" s="45"/>
      <c r="H105" s="46">
        <v>41995</v>
      </c>
      <c r="I105" s="294" t="s">
        <v>329</v>
      </c>
      <c r="J105" s="735"/>
      <c r="K105" s="735"/>
      <c r="L105" s="726"/>
      <c r="M105" s="46">
        <v>42010</v>
      </c>
      <c r="N105" s="283" t="s">
        <v>54</v>
      </c>
      <c r="O105" s="281" t="s">
        <v>348</v>
      </c>
      <c r="P105" s="535" t="s">
        <v>723</v>
      </c>
      <c r="Q105" s="46">
        <v>42369</v>
      </c>
      <c r="R105" s="281" t="s">
        <v>724</v>
      </c>
      <c r="S105" s="285" t="s">
        <v>55</v>
      </c>
      <c r="T105" s="46"/>
      <c r="U105" s="285"/>
      <c r="V105" s="155">
        <f t="shared" si="59"/>
        <v>15</v>
      </c>
      <c r="W105" s="327" t="str">
        <f t="shared" si="56"/>
        <v>Inoportuno</v>
      </c>
      <c r="X105" s="155">
        <f t="shared" si="60"/>
        <v>-41759</v>
      </c>
      <c r="Y105" s="780" t="s">
        <v>417</v>
      </c>
    </row>
    <row r="106" spans="1:25" ht="96" hidden="1" customHeight="1" x14ac:dyDescent="0.2">
      <c r="A106" s="499">
        <f t="shared" si="19"/>
        <v>103</v>
      </c>
      <c r="B106" s="43" t="s">
        <v>67</v>
      </c>
      <c r="C106" s="233" t="s">
        <v>326</v>
      </c>
      <c r="D106" s="724"/>
      <c r="E106" s="724"/>
      <c r="F106" s="45" t="s">
        <v>63</v>
      </c>
      <c r="G106" s="45"/>
      <c r="H106" s="46">
        <v>41995</v>
      </c>
      <c r="I106" s="294" t="s">
        <v>329</v>
      </c>
      <c r="J106" s="736"/>
      <c r="K106" s="736"/>
      <c r="L106" s="727"/>
      <c r="M106" s="46">
        <v>42010</v>
      </c>
      <c r="N106" s="283" t="s">
        <v>54</v>
      </c>
      <c r="O106" s="281" t="s">
        <v>348</v>
      </c>
      <c r="P106" s="535" t="s">
        <v>349</v>
      </c>
      <c r="Q106" s="46">
        <v>42369</v>
      </c>
      <c r="R106" s="197" t="s">
        <v>725</v>
      </c>
      <c r="S106" s="285" t="s">
        <v>55</v>
      </c>
      <c r="T106" s="46"/>
      <c r="U106" s="285"/>
      <c r="V106" s="155">
        <f t="shared" si="59"/>
        <v>15</v>
      </c>
      <c r="W106" s="327" t="str">
        <f t="shared" si="56"/>
        <v>Inoportuno</v>
      </c>
      <c r="X106" s="155">
        <f t="shared" si="60"/>
        <v>-41759</v>
      </c>
      <c r="Y106" s="780" t="s">
        <v>417</v>
      </c>
    </row>
    <row r="107" spans="1:25" ht="238.5" hidden="1" customHeight="1" x14ac:dyDescent="0.2">
      <c r="A107" s="499">
        <f t="shared" si="19"/>
        <v>104</v>
      </c>
      <c r="B107" s="43" t="s">
        <v>67</v>
      </c>
      <c r="C107" s="233" t="s">
        <v>326</v>
      </c>
      <c r="D107" s="567" t="s">
        <v>45</v>
      </c>
      <c r="E107" s="500" t="s">
        <v>0</v>
      </c>
      <c r="F107" s="45" t="s">
        <v>63</v>
      </c>
      <c r="G107" s="45"/>
      <c r="H107" s="46">
        <v>41995</v>
      </c>
      <c r="I107" s="294" t="s">
        <v>330</v>
      </c>
      <c r="J107" s="507" t="s">
        <v>82</v>
      </c>
      <c r="K107" s="507" t="s">
        <v>141</v>
      </c>
      <c r="L107" s="508" t="s">
        <v>83</v>
      </c>
      <c r="M107" s="46">
        <v>42010</v>
      </c>
      <c r="N107" s="277" t="s">
        <v>109</v>
      </c>
      <c r="O107" s="281" t="s">
        <v>348</v>
      </c>
      <c r="P107" s="535" t="s">
        <v>389</v>
      </c>
      <c r="Q107" s="46">
        <v>42277</v>
      </c>
      <c r="R107" s="281" t="s">
        <v>726</v>
      </c>
      <c r="S107" s="285" t="s">
        <v>55</v>
      </c>
      <c r="T107" s="46"/>
      <c r="U107" s="278"/>
      <c r="V107" s="155">
        <f t="shared" si="45"/>
        <v>15</v>
      </c>
      <c r="W107" s="327" t="str">
        <f t="shared" si="56"/>
        <v>Inoportuno</v>
      </c>
      <c r="X107" s="155">
        <f t="shared" si="46"/>
        <v>-41669</v>
      </c>
      <c r="Y107" s="514" t="s">
        <v>417</v>
      </c>
    </row>
    <row r="108" spans="1:25" ht="84.75" hidden="1" customHeight="1" x14ac:dyDescent="0.2">
      <c r="A108" s="499">
        <f t="shared" si="19"/>
        <v>105</v>
      </c>
      <c r="B108" s="219" t="s">
        <v>416</v>
      </c>
      <c r="C108" s="233" t="s">
        <v>727</v>
      </c>
      <c r="D108" s="722" t="s">
        <v>45</v>
      </c>
      <c r="E108" s="722" t="s">
        <v>0</v>
      </c>
      <c r="F108" s="45" t="s">
        <v>64</v>
      </c>
      <c r="G108" s="45"/>
      <c r="H108" s="46">
        <v>41985</v>
      </c>
      <c r="I108" s="305" t="s">
        <v>331</v>
      </c>
      <c r="J108" s="734" t="s">
        <v>82</v>
      </c>
      <c r="K108" s="734" t="s">
        <v>141</v>
      </c>
      <c r="L108" s="725" t="s">
        <v>83</v>
      </c>
      <c r="M108" s="46">
        <v>42023</v>
      </c>
      <c r="N108" s="277" t="s">
        <v>109</v>
      </c>
      <c r="O108" s="325" t="s">
        <v>355</v>
      </c>
      <c r="P108" s="535" t="s">
        <v>356</v>
      </c>
      <c r="Q108" s="321">
        <v>42368</v>
      </c>
      <c r="R108" s="197" t="s">
        <v>650</v>
      </c>
      <c r="S108" s="322" t="s">
        <v>59</v>
      </c>
      <c r="T108" s="321">
        <v>42381</v>
      </c>
      <c r="U108" s="320" t="s">
        <v>647</v>
      </c>
      <c r="V108" s="155">
        <f t="shared" si="45"/>
        <v>38</v>
      </c>
      <c r="W108" s="327" t="str">
        <f t="shared" si="56"/>
        <v>Inoportuno</v>
      </c>
      <c r="X108" s="155">
        <f t="shared" si="46"/>
        <v>13</v>
      </c>
      <c r="Y108" s="790" t="s">
        <v>417</v>
      </c>
    </row>
    <row r="109" spans="1:25" ht="179.25" hidden="1" customHeight="1" x14ac:dyDescent="0.2">
      <c r="A109" s="499">
        <f t="shared" si="19"/>
        <v>106</v>
      </c>
      <c r="B109" s="219" t="s">
        <v>416</v>
      </c>
      <c r="C109" s="233" t="s">
        <v>727</v>
      </c>
      <c r="D109" s="724"/>
      <c r="E109" s="724"/>
      <c r="F109" s="45" t="s">
        <v>64</v>
      </c>
      <c r="G109" s="45"/>
      <c r="H109" s="46">
        <v>41985</v>
      </c>
      <c r="I109" s="305" t="s">
        <v>331</v>
      </c>
      <c r="J109" s="736"/>
      <c r="K109" s="736"/>
      <c r="L109" s="727"/>
      <c r="M109" s="46">
        <v>42023</v>
      </c>
      <c r="N109" s="308" t="s">
        <v>54</v>
      </c>
      <c r="O109" s="325" t="s">
        <v>355</v>
      </c>
      <c r="P109" s="535" t="s">
        <v>357</v>
      </c>
      <c r="Q109" s="321">
        <v>42368</v>
      </c>
      <c r="R109" s="197" t="s">
        <v>651</v>
      </c>
      <c r="S109" s="322" t="s">
        <v>55</v>
      </c>
      <c r="T109" s="321"/>
      <c r="U109" s="322"/>
      <c r="V109" s="155">
        <f t="shared" ref="V109" si="61">DAYS360(H109,M109,0)+1</f>
        <v>38</v>
      </c>
      <c r="W109" s="327" t="str">
        <f t="shared" si="56"/>
        <v>Inoportuno</v>
      </c>
      <c r="X109" s="155">
        <f t="shared" ref="X109" si="62">DAYS360(Q109,T109,0)+1</f>
        <v>-41759</v>
      </c>
      <c r="Y109" s="792" t="s">
        <v>417</v>
      </c>
    </row>
    <row r="110" spans="1:25" ht="174.75" hidden="1" customHeight="1" x14ac:dyDescent="0.2">
      <c r="A110" s="499">
        <f t="shared" si="19"/>
        <v>107</v>
      </c>
      <c r="B110" s="219" t="s">
        <v>416</v>
      </c>
      <c r="C110" s="233" t="s">
        <v>727</v>
      </c>
      <c r="D110" s="277" t="s">
        <v>45</v>
      </c>
      <c r="E110" s="15" t="s">
        <v>0</v>
      </c>
      <c r="F110" s="45" t="s">
        <v>64</v>
      </c>
      <c r="G110" s="45"/>
      <c r="H110" s="46">
        <v>41985</v>
      </c>
      <c r="I110" s="305" t="s">
        <v>728</v>
      </c>
      <c r="J110" s="401" t="s">
        <v>82</v>
      </c>
      <c r="K110" s="169" t="s">
        <v>141</v>
      </c>
      <c r="L110" s="168" t="s">
        <v>83</v>
      </c>
      <c r="M110" s="46">
        <v>42023</v>
      </c>
      <c r="N110" s="277" t="s">
        <v>109</v>
      </c>
      <c r="O110" s="277" t="s">
        <v>144</v>
      </c>
      <c r="P110" s="535" t="s">
        <v>358</v>
      </c>
      <c r="Q110" s="46">
        <v>42368</v>
      </c>
      <c r="R110" s="197" t="s">
        <v>652</v>
      </c>
      <c r="S110" s="278" t="s">
        <v>55</v>
      </c>
      <c r="T110" s="46"/>
      <c r="U110" s="320"/>
      <c r="V110" s="155">
        <f t="shared" si="45"/>
        <v>38</v>
      </c>
      <c r="W110" s="327" t="str">
        <f t="shared" si="56"/>
        <v>Inoportuno</v>
      </c>
      <c r="X110" s="155">
        <f t="shared" si="46"/>
        <v>-41759</v>
      </c>
      <c r="Y110" s="366" t="s">
        <v>417</v>
      </c>
    </row>
    <row r="111" spans="1:25" ht="92.25" hidden="1" customHeight="1" x14ac:dyDescent="0.2">
      <c r="A111" s="499">
        <f t="shared" si="19"/>
        <v>108</v>
      </c>
      <c r="B111" s="219" t="s">
        <v>416</v>
      </c>
      <c r="C111" s="233" t="s">
        <v>727</v>
      </c>
      <c r="D111" s="277" t="s">
        <v>45</v>
      </c>
      <c r="E111" s="15" t="s">
        <v>0</v>
      </c>
      <c r="F111" s="45" t="s">
        <v>64</v>
      </c>
      <c r="G111" s="45"/>
      <c r="H111" s="46">
        <v>41985</v>
      </c>
      <c r="I111" s="305" t="s">
        <v>332</v>
      </c>
      <c r="J111" s="401" t="s">
        <v>82</v>
      </c>
      <c r="K111" s="169" t="s">
        <v>141</v>
      </c>
      <c r="L111" s="168" t="s">
        <v>83</v>
      </c>
      <c r="M111" s="46">
        <v>42023</v>
      </c>
      <c r="N111" s="277" t="s">
        <v>109</v>
      </c>
      <c r="O111" s="277" t="s">
        <v>144</v>
      </c>
      <c r="P111" s="535" t="s">
        <v>359</v>
      </c>
      <c r="Q111" s="46">
        <v>42093</v>
      </c>
      <c r="R111" s="197" t="s">
        <v>653</v>
      </c>
      <c r="S111" s="278" t="s">
        <v>55</v>
      </c>
      <c r="T111" s="46"/>
      <c r="U111" s="278"/>
      <c r="V111" s="155">
        <f t="shared" si="45"/>
        <v>38</v>
      </c>
      <c r="W111" s="327" t="str">
        <f t="shared" si="56"/>
        <v>Inoportuno</v>
      </c>
      <c r="X111" s="155">
        <f t="shared" si="46"/>
        <v>-41489</v>
      </c>
      <c r="Y111" s="366" t="s">
        <v>417</v>
      </c>
    </row>
    <row r="112" spans="1:25" ht="162.75" hidden="1" customHeight="1" x14ac:dyDescent="0.2">
      <c r="A112" s="499">
        <f t="shared" si="19"/>
        <v>109</v>
      </c>
      <c r="B112" s="219" t="s">
        <v>416</v>
      </c>
      <c r="C112" s="233" t="s">
        <v>727</v>
      </c>
      <c r="D112" s="722" t="s">
        <v>45</v>
      </c>
      <c r="E112" s="722" t="s">
        <v>0</v>
      </c>
      <c r="F112" s="45" t="s">
        <v>64</v>
      </c>
      <c r="G112" s="45"/>
      <c r="H112" s="46">
        <v>41985</v>
      </c>
      <c r="I112" s="305" t="s">
        <v>333</v>
      </c>
      <c r="J112" s="734" t="s">
        <v>82</v>
      </c>
      <c r="K112" s="734" t="s">
        <v>141</v>
      </c>
      <c r="L112" s="725" t="s">
        <v>83</v>
      </c>
      <c r="M112" s="46">
        <v>42023</v>
      </c>
      <c r="N112" s="277" t="s">
        <v>109</v>
      </c>
      <c r="O112" s="308" t="s">
        <v>144</v>
      </c>
      <c r="P112" s="535" t="s">
        <v>360</v>
      </c>
      <c r="Q112" s="46">
        <v>42368</v>
      </c>
      <c r="R112" s="197" t="s">
        <v>644</v>
      </c>
      <c r="S112" s="278" t="s">
        <v>59</v>
      </c>
      <c r="T112" s="46">
        <v>42381</v>
      </c>
      <c r="U112" s="320" t="s">
        <v>647</v>
      </c>
      <c r="V112" s="155">
        <f t="shared" si="45"/>
        <v>38</v>
      </c>
      <c r="W112" s="327" t="str">
        <f t="shared" si="56"/>
        <v>Inoportuno</v>
      </c>
      <c r="X112" s="155">
        <f t="shared" si="46"/>
        <v>13</v>
      </c>
      <c r="Y112" s="790" t="s">
        <v>417</v>
      </c>
    </row>
    <row r="113" spans="1:25" ht="92.25" hidden="1" customHeight="1" x14ac:dyDescent="0.2">
      <c r="A113" s="499">
        <f t="shared" si="19"/>
        <v>110</v>
      </c>
      <c r="B113" s="219" t="s">
        <v>416</v>
      </c>
      <c r="C113" s="233" t="s">
        <v>727</v>
      </c>
      <c r="D113" s="723"/>
      <c r="E113" s="723"/>
      <c r="F113" s="45" t="s">
        <v>64</v>
      </c>
      <c r="G113" s="45"/>
      <c r="H113" s="46">
        <v>41985</v>
      </c>
      <c r="I113" s="305" t="s">
        <v>333</v>
      </c>
      <c r="J113" s="735"/>
      <c r="K113" s="735"/>
      <c r="L113" s="726"/>
      <c r="M113" s="46">
        <v>42023</v>
      </c>
      <c r="N113" s="308" t="s">
        <v>109</v>
      </c>
      <c r="O113" s="308" t="s">
        <v>144</v>
      </c>
      <c r="P113" s="535" t="s">
        <v>729</v>
      </c>
      <c r="Q113" s="46">
        <v>42368</v>
      </c>
      <c r="R113" s="197" t="s">
        <v>654</v>
      </c>
      <c r="S113" s="290" t="s">
        <v>59</v>
      </c>
      <c r="T113" s="46">
        <v>42381</v>
      </c>
      <c r="U113" s="320" t="s">
        <v>647</v>
      </c>
      <c r="V113" s="155">
        <f t="shared" ref="V113:V115" si="63">DAYS360(H113,M113,0)+1</f>
        <v>38</v>
      </c>
      <c r="W113" s="327" t="str">
        <f t="shared" si="56"/>
        <v>Inoportuno</v>
      </c>
      <c r="X113" s="155">
        <f t="shared" ref="X113:X115" si="64">DAYS360(Q113,T113,0)+1</f>
        <v>13</v>
      </c>
      <c r="Y113" s="791" t="s">
        <v>417</v>
      </c>
    </row>
    <row r="114" spans="1:25" ht="78.75" hidden="1" customHeight="1" x14ac:dyDescent="0.2">
      <c r="A114" s="499">
        <f t="shared" si="19"/>
        <v>111</v>
      </c>
      <c r="B114" s="219" t="s">
        <v>416</v>
      </c>
      <c r="C114" s="233" t="s">
        <v>727</v>
      </c>
      <c r="D114" s="723"/>
      <c r="E114" s="723"/>
      <c r="F114" s="45" t="s">
        <v>64</v>
      </c>
      <c r="G114" s="45"/>
      <c r="H114" s="46">
        <v>41985</v>
      </c>
      <c r="I114" s="305" t="s">
        <v>333</v>
      </c>
      <c r="J114" s="735"/>
      <c r="K114" s="735"/>
      <c r="L114" s="726"/>
      <c r="M114" s="46">
        <v>42023</v>
      </c>
      <c r="N114" s="308" t="s">
        <v>54</v>
      </c>
      <c r="O114" s="308" t="s">
        <v>144</v>
      </c>
      <c r="P114" s="535" t="s">
        <v>361</v>
      </c>
      <c r="Q114" s="46">
        <v>42368</v>
      </c>
      <c r="R114" s="197" t="s">
        <v>655</v>
      </c>
      <c r="S114" s="290" t="s">
        <v>55</v>
      </c>
      <c r="T114" s="46"/>
      <c r="U114" s="290"/>
      <c r="V114" s="155">
        <f t="shared" si="63"/>
        <v>38</v>
      </c>
      <c r="W114" s="327" t="str">
        <f t="shared" si="56"/>
        <v>Inoportuno</v>
      </c>
      <c r="X114" s="155">
        <f t="shared" si="64"/>
        <v>-41759</v>
      </c>
      <c r="Y114" s="791" t="s">
        <v>417</v>
      </c>
    </row>
    <row r="115" spans="1:25" ht="156" hidden="1" customHeight="1" x14ac:dyDescent="0.2">
      <c r="A115" s="499">
        <f t="shared" si="19"/>
        <v>112</v>
      </c>
      <c r="B115" s="219" t="s">
        <v>416</v>
      </c>
      <c r="C115" s="233" t="s">
        <v>727</v>
      </c>
      <c r="D115" s="724"/>
      <c r="E115" s="724"/>
      <c r="F115" s="45" t="s">
        <v>64</v>
      </c>
      <c r="G115" s="45"/>
      <c r="H115" s="46">
        <v>41985</v>
      </c>
      <c r="I115" s="305" t="s">
        <v>333</v>
      </c>
      <c r="J115" s="736"/>
      <c r="K115" s="736"/>
      <c r="L115" s="727"/>
      <c r="M115" s="46">
        <v>42023</v>
      </c>
      <c r="N115" s="308" t="s">
        <v>54</v>
      </c>
      <c r="O115" s="308" t="s">
        <v>144</v>
      </c>
      <c r="P115" s="535" t="s">
        <v>730</v>
      </c>
      <c r="Q115" s="46">
        <v>42368</v>
      </c>
      <c r="R115" s="197" t="s">
        <v>656</v>
      </c>
      <c r="S115" s="290" t="s">
        <v>55</v>
      </c>
      <c r="T115" s="46"/>
      <c r="U115" s="290"/>
      <c r="V115" s="155">
        <f t="shared" si="63"/>
        <v>38</v>
      </c>
      <c r="W115" s="327" t="str">
        <f t="shared" si="56"/>
        <v>Inoportuno</v>
      </c>
      <c r="X115" s="155">
        <f t="shared" si="64"/>
        <v>-41759</v>
      </c>
      <c r="Y115" s="792" t="s">
        <v>417</v>
      </c>
    </row>
    <row r="116" spans="1:25" ht="157.5" hidden="1" customHeight="1" x14ac:dyDescent="0.2">
      <c r="A116" s="499">
        <f t="shared" si="19"/>
        <v>113</v>
      </c>
      <c r="B116" s="219" t="s">
        <v>416</v>
      </c>
      <c r="C116" s="233" t="s">
        <v>727</v>
      </c>
      <c r="D116" s="722" t="s">
        <v>45</v>
      </c>
      <c r="E116" s="722" t="s">
        <v>0</v>
      </c>
      <c r="F116" s="45" t="s">
        <v>64</v>
      </c>
      <c r="G116" s="45"/>
      <c r="H116" s="46">
        <v>41985</v>
      </c>
      <c r="I116" s="305" t="s">
        <v>334</v>
      </c>
      <c r="J116" s="734" t="s">
        <v>82</v>
      </c>
      <c r="K116" s="734" t="s">
        <v>142</v>
      </c>
      <c r="L116" s="725" t="s">
        <v>83</v>
      </c>
      <c r="M116" s="46">
        <v>42023</v>
      </c>
      <c r="N116" s="277" t="s">
        <v>109</v>
      </c>
      <c r="O116" s="277" t="s">
        <v>144</v>
      </c>
      <c r="P116" s="535" t="s">
        <v>362</v>
      </c>
      <c r="Q116" s="46">
        <v>42368</v>
      </c>
      <c r="R116" s="475" t="s">
        <v>657</v>
      </c>
      <c r="S116" s="278" t="s">
        <v>59</v>
      </c>
      <c r="T116" s="46">
        <v>42381</v>
      </c>
      <c r="U116" s="320" t="s">
        <v>647</v>
      </c>
      <c r="V116" s="155">
        <f t="shared" si="45"/>
        <v>38</v>
      </c>
      <c r="W116" s="327" t="str">
        <f t="shared" si="56"/>
        <v>Inoportuno</v>
      </c>
      <c r="X116" s="155">
        <f t="shared" si="46"/>
        <v>13</v>
      </c>
      <c r="Y116" s="790" t="s">
        <v>417</v>
      </c>
    </row>
    <row r="117" spans="1:25" ht="157.5" hidden="1" customHeight="1" x14ac:dyDescent="0.2">
      <c r="A117" s="499">
        <f t="shared" si="19"/>
        <v>114</v>
      </c>
      <c r="B117" s="219" t="s">
        <v>416</v>
      </c>
      <c r="C117" s="233" t="s">
        <v>727</v>
      </c>
      <c r="D117" s="723"/>
      <c r="E117" s="723"/>
      <c r="F117" s="45" t="s">
        <v>64</v>
      </c>
      <c r="G117" s="45"/>
      <c r="H117" s="46">
        <v>41985</v>
      </c>
      <c r="I117" s="305" t="s">
        <v>334</v>
      </c>
      <c r="J117" s="735"/>
      <c r="K117" s="735"/>
      <c r="L117" s="726"/>
      <c r="M117" s="46">
        <v>42023</v>
      </c>
      <c r="N117" s="308" t="s">
        <v>109</v>
      </c>
      <c r="O117" s="308" t="s">
        <v>144</v>
      </c>
      <c r="P117" s="535" t="s">
        <v>363</v>
      </c>
      <c r="Q117" s="46">
        <v>42368</v>
      </c>
      <c r="R117" s="197" t="s">
        <v>658</v>
      </c>
      <c r="S117" s="290" t="s">
        <v>59</v>
      </c>
      <c r="T117" s="46">
        <v>42381</v>
      </c>
      <c r="U117" s="320" t="s">
        <v>647</v>
      </c>
      <c r="V117" s="155">
        <f t="shared" ref="V117:V118" si="65">DAYS360(H117,M117,0)+1</f>
        <v>38</v>
      </c>
      <c r="W117" s="327" t="str">
        <f t="shared" si="56"/>
        <v>Inoportuno</v>
      </c>
      <c r="X117" s="155">
        <f t="shared" ref="X117:X118" si="66">DAYS360(Q117,T117,0)+1</f>
        <v>13</v>
      </c>
      <c r="Y117" s="791" t="s">
        <v>417</v>
      </c>
    </row>
    <row r="118" spans="1:25" ht="157.5" hidden="1" customHeight="1" x14ac:dyDescent="0.2">
      <c r="A118" s="499">
        <f t="shared" si="19"/>
        <v>115</v>
      </c>
      <c r="B118" s="219" t="s">
        <v>416</v>
      </c>
      <c r="C118" s="233" t="s">
        <v>727</v>
      </c>
      <c r="D118" s="724"/>
      <c r="E118" s="724"/>
      <c r="F118" s="45" t="s">
        <v>64</v>
      </c>
      <c r="G118" s="45"/>
      <c r="H118" s="46">
        <v>41985</v>
      </c>
      <c r="I118" s="305" t="s">
        <v>334</v>
      </c>
      <c r="J118" s="736"/>
      <c r="K118" s="736"/>
      <c r="L118" s="727"/>
      <c r="M118" s="46">
        <v>42023</v>
      </c>
      <c r="N118" s="308" t="s">
        <v>109</v>
      </c>
      <c r="O118" s="308" t="s">
        <v>144</v>
      </c>
      <c r="P118" s="535" t="s">
        <v>364</v>
      </c>
      <c r="Q118" s="46">
        <v>42368</v>
      </c>
      <c r="R118" s="197" t="s">
        <v>658</v>
      </c>
      <c r="S118" s="290" t="s">
        <v>59</v>
      </c>
      <c r="T118" s="46">
        <v>42381</v>
      </c>
      <c r="U118" s="320" t="s">
        <v>647</v>
      </c>
      <c r="V118" s="155">
        <f t="shared" si="65"/>
        <v>38</v>
      </c>
      <c r="W118" s="327" t="str">
        <f t="shared" si="56"/>
        <v>Inoportuno</v>
      </c>
      <c r="X118" s="155">
        <f t="shared" si="66"/>
        <v>13</v>
      </c>
      <c r="Y118" s="792" t="s">
        <v>417</v>
      </c>
    </row>
    <row r="119" spans="1:25" ht="87" hidden="1" customHeight="1" x14ac:dyDescent="0.2">
      <c r="A119" s="499">
        <f t="shared" si="19"/>
        <v>116</v>
      </c>
      <c r="B119" s="219" t="s">
        <v>416</v>
      </c>
      <c r="C119" s="233" t="s">
        <v>727</v>
      </c>
      <c r="D119" s="722" t="s">
        <v>45</v>
      </c>
      <c r="E119" s="722" t="s">
        <v>0</v>
      </c>
      <c r="F119" s="45" t="s">
        <v>64</v>
      </c>
      <c r="G119" s="45"/>
      <c r="H119" s="46">
        <v>41985</v>
      </c>
      <c r="I119" s="305" t="s">
        <v>368</v>
      </c>
      <c r="J119" s="734" t="s">
        <v>82</v>
      </c>
      <c r="K119" s="734" t="s">
        <v>141</v>
      </c>
      <c r="L119" s="725" t="s">
        <v>83</v>
      </c>
      <c r="M119" s="46">
        <v>42023</v>
      </c>
      <c r="N119" s="308" t="s">
        <v>109</v>
      </c>
      <c r="O119" s="308" t="s">
        <v>144</v>
      </c>
      <c r="P119" s="535" t="s">
        <v>365</v>
      </c>
      <c r="Q119" s="46">
        <v>42368</v>
      </c>
      <c r="R119" s="197" t="s">
        <v>659</v>
      </c>
      <c r="S119" s="290" t="s">
        <v>59</v>
      </c>
      <c r="T119" s="46">
        <v>42381</v>
      </c>
      <c r="U119" s="320" t="s">
        <v>647</v>
      </c>
      <c r="V119" s="155">
        <f t="shared" si="45"/>
        <v>38</v>
      </c>
      <c r="W119" s="327" t="str">
        <f t="shared" si="56"/>
        <v>Inoportuno</v>
      </c>
      <c r="X119" s="155">
        <f t="shared" si="46"/>
        <v>13</v>
      </c>
      <c r="Y119" s="790" t="s">
        <v>417</v>
      </c>
    </row>
    <row r="120" spans="1:25" ht="111" hidden="1" customHeight="1" x14ac:dyDescent="0.2">
      <c r="A120" s="499">
        <f t="shared" si="19"/>
        <v>117</v>
      </c>
      <c r="B120" s="219" t="s">
        <v>416</v>
      </c>
      <c r="C120" s="233" t="s">
        <v>727</v>
      </c>
      <c r="D120" s="723"/>
      <c r="E120" s="723"/>
      <c r="F120" s="45" t="s">
        <v>64</v>
      </c>
      <c r="G120" s="45"/>
      <c r="H120" s="46">
        <v>41985</v>
      </c>
      <c r="I120" s="305" t="s">
        <v>368</v>
      </c>
      <c r="J120" s="735"/>
      <c r="K120" s="735"/>
      <c r="L120" s="726"/>
      <c r="M120" s="46">
        <v>42023</v>
      </c>
      <c r="N120" s="308" t="s">
        <v>109</v>
      </c>
      <c r="O120" s="308" t="s">
        <v>144</v>
      </c>
      <c r="P120" s="535" t="s">
        <v>731</v>
      </c>
      <c r="Q120" s="46">
        <v>42368</v>
      </c>
      <c r="R120" s="197" t="s">
        <v>660</v>
      </c>
      <c r="S120" s="290" t="s">
        <v>59</v>
      </c>
      <c r="T120" s="46">
        <v>42381</v>
      </c>
      <c r="U120" s="320" t="s">
        <v>647</v>
      </c>
      <c r="V120" s="155">
        <f t="shared" ref="V120:V124" si="67">DAYS360(H120,M120,0)+1</f>
        <v>38</v>
      </c>
      <c r="W120" s="327" t="str">
        <f t="shared" si="56"/>
        <v>Inoportuno</v>
      </c>
      <c r="X120" s="155">
        <f t="shared" ref="X120:X124" si="68">DAYS360(Q120,T120,0)+1</f>
        <v>13</v>
      </c>
      <c r="Y120" s="791" t="s">
        <v>417</v>
      </c>
    </row>
    <row r="121" spans="1:25" ht="132" hidden="1" customHeight="1" x14ac:dyDescent="0.2">
      <c r="A121" s="499">
        <f t="shared" si="19"/>
        <v>118</v>
      </c>
      <c r="B121" s="219" t="s">
        <v>416</v>
      </c>
      <c r="C121" s="233" t="s">
        <v>727</v>
      </c>
      <c r="D121" s="723"/>
      <c r="E121" s="723"/>
      <c r="F121" s="45" t="s">
        <v>64</v>
      </c>
      <c r="G121" s="45"/>
      <c r="H121" s="46">
        <v>41985</v>
      </c>
      <c r="I121" s="305" t="s">
        <v>368</v>
      </c>
      <c r="J121" s="735"/>
      <c r="K121" s="735"/>
      <c r="L121" s="726"/>
      <c r="M121" s="46">
        <v>42023</v>
      </c>
      <c r="N121" s="308" t="s">
        <v>109</v>
      </c>
      <c r="O121" s="308" t="s">
        <v>144</v>
      </c>
      <c r="P121" s="535" t="s">
        <v>366</v>
      </c>
      <c r="Q121" s="46">
        <v>42368</v>
      </c>
      <c r="R121" s="197" t="s">
        <v>661</v>
      </c>
      <c r="S121" s="290" t="s">
        <v>55</v>
      </c>
      <c r="T121" s="46"/>
      <c r="U121" s="290"/>
      <c r="V121" s="155">
        <f t="shared" si="67"/>
        <v>38</v>
      </c>
      <c r="W121" s="327" t="str">
        <f t="shared" si="56"/>
        <v>Inoportuno</v>
      </c>
      <c r="X121" s="155">
        <f t="shared" si="68"/>
        <v>-41759</v>
      </c>
      <c r="Y121" s="791" t="s">
        <v>417</v>
      </c>
    </row>
    <row r="122" spans="1:25" ht="231.75" hidden="1" customHeight="1" x14ac:dyDescent="0.2">
      <c r="A122" s="499">
        <f t="shared" si="19"/>
        <v>119</v>
      </c>
      <c r="B122" s="219" t="s">
        <v>416</v>
      </c>
      <c r="C122" s="233" t="s">
        <v>727</v>
      </c>
      <c r="D122" s="723"/>
      <c r="E122" s="723"/>
      <c r="F122" s="45" t="s">
        <v>64</v>
      </c>
      <c r="G122" s="45"/>
      <c r="H122" s="46">
        <v>41985</v>
      </c>
      <c r="I122" s="305" t="s">
        <v>368</v>
      </c>
      <c r="J122" s="735"/>
      <c r="K122" s="735"/>
      <c r="L122" s="726"/>
      <c r="M122" s="46">
        <v>42023</v>
      </c>
      <c r="N122" s="308" t="s">
        <v>54</v>
      </c>
      <c r="O122" s="308" t="s">
        <v>144</v>
      </c>
      <c r="P122" s="535" t="s">
        <v>367</v>
      </c>
      <c r="Q122" s="46">
        <v>42368</v>
      </c>
      <c r="R122" s="197" t="s">
        <v>662</v>
      </c>
      <c r="S122" s="290" t="s">
        <v>59</v>
      </c>
      <c r="T122" s="46">
        <v>42381</v>
      </c>
      <c r="U122" s="320" t="s">
        <v>647</v>
      </c>
      <c r="V122" s="155">
        <f t="shared" si="67"/>
        <v>38</v>
      </c>
      <c r="W122" s="327" t="str">
        <f t="shared" si="56"/>
        <v>Inoportuno</v>
      </c>
      <c r="X122" s="155">
        <f t="shared" si="68"/>
        <v>13</v>
      </c>
      <c r="Y122" s="791" t="s">
        <v>417</v>
      </c>
    </row>
    <row r="123" spans="1:25" ht="87" hidden="1" customHeight="1" x14ac:dyDescent="0.2">
      <c r="A123" s="499">
        <f t="shared" si="19"/>
        <v>120</v>
      </c>
      <c r="B123" s="219" t="s">
        <v>416</v>
      </c>
      <c r="C123" s="233" t="s">
        <v>727</v>
      </c>
      <c r="D123" s="723"/>
      <c r="E123" s="723"/>
      <c r="F123" s="45" t="s">
        <v>64</v>
      </c>
      <c r="G123" s="45"/>
      <c r="H123" s="46">
        <v>41985</v>
      </c>
      <c r="I123" s="305" t="s">
        <v>368</v>
      </c>
      <c r="J123" s="735"/>
      <c r="K123" s="735"/>
      <c r="L123" s="726"/>
      <c r="M123" s="46">
        <v>42023</v>
      </c>
      <c r="N123" s="308" t="s">
        <v>54</v>
      </c>
      <c r="O123" s="308" t="s">
        <v>144</v>
      </c>
      <c r="P123" s="535" t="s">
        <v>732</v>
      </c>
      <c r="Q123" s="46">
        <v>42368</v>
      </c>
      <c r="R123" s="197"/>
      <c r="S123" s="290" t="s">
        <v>55</v>
      </c>
      <c r="T123" s="46"/>
      <c r="U123" s="290"/>
      <c r="V123" s="155">
        <f t="shared" si="67"/>
        <v>38</v>
      </c>
      <c r="W123" s="327" t="str">
        <f t="shared" si="56"/>
        <v>Inoportuno</v>
      </c>
      <c r="X123" s="155">
        <f t="shared" si="68"/>
        <v>-41759</v>
      </c>
      <c r="Y123" s="791" t="s">
        <v>417</v>
      </c>
    </row>
    <row r="124" spans="1:25" ht="87" hidden="1" customHeight="1" x14ac:dyDescent="0.2">
      <c r="A124" s="499">
        <f t="shared" si="19"/>
        <v>121</v>
      </c>
      <c r="B124" s="219" t="s">
        <v>416</v>
      </c>
      <c r="C124" s="233" t="s">
        <v>727</v>
      </c>
      <c r="D124" s="724"/>
      <c r="E124" s="724"/>
      <c r="F124" s="45" t="s">
        <v>64</v>
      </c>
      <c r="G124" s="45"/>
      <c r="H124" s="46">
        <v>41985</v>
      </c>
      <c r="I124" s="305" t="s">
        <v>368</v>
      </c>
      <c r="J124" s="736"/>
      <c r="K124" s="736"/>
      <c r="L124" s="727"/>
      <c r="M124" s="46">
        <v>42023</v>
      </c>
      <c r="N124" s="308" t="s">
        <v>54</v>
      </c>
      <c r="O124" s="308" t="s">
        <v>144</v>
      </c>
      <c r="P124" s="535" t="s">
        <v>733</v>
      </c>
      <c r="Q124" s="46">
        <v>42368</v>
      </c>
      <c r="R124" s="197"/>
      <c r="S124" s="290" t="s">
        <v>55</v>
      </c>
      <c r="T124" s="46"/>
      <c r="U124" s="290"/>
      <c r="V124" s="155">
        <f t="shared" si="67"/>
        <v>38</v>
      </c>
      <c r="W124" s="327" t="str">
        <f t="shared" si="56"/>
        <v>Inoportuno</v>
      </c>
      <c r="X124" s="155">
        <f t="shared" si="68"/>
        <v>-41759</v>
      </c>
      <c r="Y124" s="792" t="s">
        <v>417</v>
      </c>
    </row>
    <row r="125" spans="1:25" ht="64.5" hidden="1" customHeight="1" x14ac:dyDescent="0.2">
      <c r="A125" s="499">
        <f t="shared" si="19"/>
        <v>122</v>
      </c>
      <c r="B125" s="219" t="s">
        <v>416</v>
      </c>
      <c r="C125" s="233" t="s">
        <v>727</v>
      </c>
      <c r="D125" s="277" t="s">
        <v>45</v>
      </c>
      <c r="E125" s="15" t="s">
        <v>0</v>
      </c>
      <c r="F125" s="45" t="s">
        <v>64</v>
      </c>
      <c r="G125" s="45"/>
      <c r="H125" s="46">
        <v>41985</v>
      </c>
      <c r="I125" s="305" t="s">
        <v>335</v>
      </c>
      <c r="J125" s="401" t="s">
        <v>82</v>
      </c>
      <c r="K125" s="169" t="s">
        <v>141</v>
      </c>
      <c r="L125" s="168" t="s">
        <v>83</v>
      </c>
      <c r="M125" s="46">
        <v>42023</v>
      </c>
      <c r="N125" s="277" t="s">
        <v>54</v>
      </c>
      <c r="O125" s="308" t="s">
        <v>144</v>
      </c>
      <c r="P125" s="535" t="s">
        <v>734</v>
      </c>
      <c r="Q125" s="46">
        <v>42368</v>
      </c>
      <c r="R125" s="197"/>
      <c r="S125" s="278" t="s">
        <v>55</v>
      </c>
      <c r="T125" s="46"/>
      <c r="U125" s="278"/>
      <c r="V125" s="155">
        <f t="shared" si="45"/>
        <v>38</v>
      </c>
      <c r="W125" s="327" t="str">
        <f t="shared" si="56"/>
        <v>Inoportuno</v>
      </c>
      <c r="X125" s="155">
        <f t="shared" si="46"/>
        <v>-41759</v>
      </c>
      <c r="Y125" s="366" t="s">
        <v>417</v>
      </c>
    </row>
    <row r="126" spans="1:25" ht="132.75" hidden="1" customHeight="1" x14ac:dyDescent="0.2">
      <c r="A126" s="499">
        <f t="shared" si="19"/>
        <v>123</v>
      </c>
      <c r="B126" s="43" t="s">
        <v>2</v>
      </c>
      <c r="C126" s="233" t="s">
        <v>2</v>
      </c>
      <c r="D126" s="226" t="s">
        <v>45</v>
      </c>
      <c r="E126" s="226" t="s">
        <v>0</v>
      </c>
      <c r="F126" s="45" t="s">
        <v>62</v>
      </c>
      <c r="G126" s="45"/>
      <c r="H126" s="46">
        <v>42004</v>
      </c>
      <c r="I126" s="305" t="s">
        <v>336</v>
      </c>
      <c r="J126" s="229" t="s">
        <v>82</v>
      </c>
      <c r="K126" s="229" t="s">
        <v>141</v>
      </c>
      <c r="L126" s="394" t="s">
        <v>83</v>
      </c>
      <c r="M126" s="46">
        <v>42243</v>
      </c>
      <c r="N126" s="384" t="s">
        <v>54</v>
      </c>
      <c r="O126" s="393" t="s">
        <v>436</v>
      </c>
      <c r="P126" s="535" t="s">
        <v>437</v>
      </c>
      <c r="Q126" s="46">
        <v>42368</v>
      </c>
      <c r="R126" s="475" t="s">
        <v>735</v>
      </c>
      <c r="S126" s="385" t="s">
        <v>55</v>
      </c>
      <c r="T126" s="46"/>
      <c r="U126" s="197"/>
      <c r="V126" s="155">
        <f t="shared" ref="V126" si="69">DAYS360(H126,M126,0)+1</f>
        <v>238</v>
      </c>
      <c r="W126" s="386" t="str">
        <f t="shared" ref="W126" si="70">IF(V126&gt;7,"Inoportuno",(IF(V126&lt;0,"No ha formulado PM","Oportuno")))</f>
        <v>Inoportuno</v>
      </c>
      <c r="X126" s="155">
        <f t="shared" ref="X126" si="71">DAYS360(Q126,T126,0)+1</f>
        <v>-41759</v>
      </c>
      <c r="Y126" s="387" t="s">
        <v>417</v>
      </c>
    </row>
    <row r="127" spans="1:25" ht="198" hidden="1" customHeight="1" x14ac:dyDescent="0.2">
      <c r="A127" s="499">
        <f t="shared" si="19"/>
        <v>124</v>
      </c>
      <c r="B127" s="43" t="s">
        <v>38</v>
      </c>
      <c r="C127" s="233" t="s">
        <v>38</v>
      </c>
      <c r="D127" s="722" t="s">
        <v>45</v>
      </c>
      <c r="E127" s="722" t="s">
        <v>0</v>
      </c>
      <c r="F127" s="45" t="s">
        <v>114</v>
      </c>
      <c r="G127" s="45"/>
      <c r="H127" s="46">
        <v>41997</v>
      </c>
      <c r="I127" s="305" t="s">
        <v>337</v>
      </c>
      <c r="J127" s="734" t="s">
        <v>82</v>
      </c>
      <c r="K127" s="734" t="s">
        <v>141</v>
      </c>
      <c r="L127" s="725" t="s">
        <v>83</v>
      </c>
      <c r="M127" s="46">
        <v>42011</v>
      </c>
      <c r="N127" s="328" t="s">
        <v>109</v>
      </c>
      <c r="O127" s="328" t="s">
        <v>350</v>
      </c>
      <c r="P127" s="535" t="s">
        <v>351</v>
      </c>
      <c r="Q127" s="46">
        <v>42398</v>
      </c>
      <c r="R127" s="197" t="s">
        <v>736</v>
      </c>
      <c r="S127" s="329" t="s">
        <v>55</v>
      </c>
      <c r="T127" s="46"/>
      <c r="U127" s="329"/>
      <c r="V127" s="155">
        <f t="shared" ref="V127" si="72">DAYS360(H127,M127,0)+1</f>
        <v>14</v>
      </c>
      <c r="W127" s="327" t="str">
        <f t="shared" ref="W127" si="73">IF(V127&gt;7,"Inoportuno",(IF(V127&lt;0,"No ha formulado PM","Oportuno")))</f>
        <v>Inoportuno</v>
      </c>
      <c r="X127" s="155">
        <f t="shared" ref="X127" si="74">DAYS360(Q127,T127,0)+1</f>
        <v>-41788</v>
      </c>
      <c r="Y127" s="780" t="s">
        <v>417</v>
      </c>
    </row>
    <row r="128" spans="1:25" ht="165.75" hidden="1" customHeight="1" x14ac:dyDescent="0.2">
      <c r="A128" s="499">
        <f t="shared" si="19"/>
        <v>125</v>
      </c>
      <c r="B128" s="43" t="s">
        <v>38</v>
      </c>
      <c r="C128" s="233" t="s">
        <v>38</v>
      </c>
      <c r="D128" s="724"/>
      <c r="E128" s="724"/>
      <c r="F128" s="45" t="s">
        <v>114</v>
      </c>
      <c r="G128" s="45"/>
      <c r="H128" s="46">
        <v>41997</v>
      </c>
      <c r="I128" s="305" t="s">
        <v>337</v>
      </c>
      <c r="J128" s="736"/>
      <c r="K128" s="736"/>
      <c r="L128" s="727"/>
      <c r="M128" s="46">
        <v>42011</v>
      </c>
      <c r="N128" s="287" t="s">
        <v>54</v>
      </c>
      <c r="O128" s="283" t="s">
        <v>350</v>
      </c>
      <c r="P128" s="535" t="s">
        <v>378</v>
      </c>
      <c r="Q128" s="46">
        <v>42459</v>
      </c>
      <c r="R128" s="197" t="s">
        <v>737</v>
      </c>
      <c r="S128" s="285" t="s">
        <v>55</v>
      </c>
      <c r="T128" s="46"/>
      <c r="U128" s="285"/>
      <c r="V128" s="155">
        <f t="shared" ref="V128" si="75">DAYS360(H128,M128,0)+1</f>
        <v>14</v>
      </c>
      <c r="W128" s="327" t="str">
        <f t="shared" ref="W128:W154" si="76">IF(V128&gt;7,"Inoportuno",(IF(V128&lt;0,"No ha formulado PM","Oportuno")))</f>
        <v>Inoportuno</v>
      </c>
      <c r="X128" s="155">
        <f t="shared" ref="X128" si="77">DAYS360(Q128,T128,0)+1</f>
        <v>-41849</v>
      </c>
      <c r="Y128" s="780" t="s">
        <v>417</v>
      </c>
    </row>
    <row r="129" spans="1:25" ht="242.25" hidden="1" x14ac:dyDescent="0.2">
      <c r="A129" s="630">
        <f t="shared" si="19"/>
        <v>126</v>
      </c>
      <c r="B129" s="43" t="s">
        <v>38</v>
      </c>
      <c r="C129" s="233" t="s">
        <v>38</v>
      </c>
      <c r="D129" s="226" t="s">
        <v>45</v>
      </c>
      <c r="E129" s="226" t="s">
        <v>0</v>
      </c>
      <c r="F129" s="45" t="s">
        <v>114</v>
      </c>
      <c r="G129" s="45"/>
      <c r="H129" s="46">
        <v>41997</v>
      </c>
      <c r="I129" s="305" t="s">
        <v>338</v>
      </c>
      <c r="J129" s="229" t="s">
        <v>82</v>
      </c>
      <c r="K129" s="229" t="s">
        <v>141</v>
      </c>
      <c r="L129" s="394" t="s">
        <v>83</v>
      </c>
      <c r="M129" s="46">
        <v>42011</v>
      </c>
      <c r="N129" s="287" t="s">
        <v>54</v>
      </c>
      <c r="O129" s="287" t="s">
        <v>350</v>
      </c>
      <c r="P129" s="535" t="s">
        <v>379</v>
      </c>
      <c r="Q129" s="46">
        <v>42277</v>
      </c>
      <c r="R129" s="197" t="s">
        <v>738</v>
      </c>
      <c r="S129" s="288" t="s">
        <v>55</v>
      </c>
      <c r="T129" s="46"/>
      <c r="U129" s="276"/>
      <c r="V129" s="155">
        <f t="shared" ref="V129" si="78">DAYS360(H129,M129,0)+1</f>
        <v>14</v>
      </c>
      <c r="W129" s="327" t="str">
        <f t="shared" si="76"/>
        <v>Inoportuno</v>
      </c>
      <c r="X129" s="155">
        <f t="shared" ref="X129" si="79">DAYS360(Q129,T129,0)+1</f>
        <v>-41669</v>
      </c>
      <c r="Y129" s="514" t="s">
        <v>417</v>
      </c>
    </row>
    <row r="130" spans="1:25" ht="64.5" hidden="1" customHeight="1" x14ac:dyDescent="0.2">
      <c r="A130" s="630">
        <f t="shared" si="19"/>
        <v>127</v>
      </c>
      <c r="B130" s="43" t="s">
        <v>66</v>
      </c>
      <c r="C130" s="233" t="s">
        <v>340</v>
      </c>
      <c r="D130" s="277" t="s">
        <v>46</v>
      </c>
      <c r="E130" s="15" t="s">
        <v>0</v>
      </c>
      <c r="F130" s="45" t="s">
        <v>60</v>
      </c>
      <c r="G130" s="45"/>
      <c r="H130" s="46">
        <v>41997</v>
      </c>
      <c r="I130" s="305" t="s">
        <v>339</v>
      </c>
      <c r="J130" s="401" t="s">
        <v>57</v>
      </c>
      <c r="K130" s="169"/>
      <c r="L130" s="168" t="s">
        <v>84</v>
      </c>
      <c r="M130" s="46"/>
      <c r="N130" s="277"/>
      <c r="O130" s="277"/>
      <c r="P130" s="535"/>
      <c r="Q130" s="46"/>
      <c r="R130" s="197"/>
      <c r="S130" s="278"/>
      <c r="T130" s="46"/>
      <c r="U130" s="278"/>
      <c r="V130" s="155">
        <f t="shared" ref="V130:V134" si="80">DAYS360(H130,M130,0)+1</f>
        <v>-41393</v>
      </c>
      <c r="W130" s="327" t="str">
        <f t="shared" si="76"/>
        <v>No ha formulado PM</v>
      </c>
      <c r="X130" s="155">
        <f t="shared" ref="X130:X134" si="81">DAYS360(Q130,T130,0)+1</f>
        <v>1</v>
      </c>
      <c r="Y130" s="366" t="s">
        <v>417</v>
      </c>
    </row>
    <row r="131" spans="1:25" ht="89.25" hidden="1" x14ac:dyDescent="0.2">
      <c r="A131" s="630">
        <f t="shared" si="19"/>
        <v>128</v>
      </c>
      <c r="B131" s="43" t="s">
        <v>66</v>
      </c>
      <c r="C131" s="233" t="s">
        <v>340</v>
      </c>
      <c r="D131" s="283" t="s">
        <v>46</v>
      </c>
      <c r="E131" s="15" t="s">
        <v>0</v>
      </c>
      <c r="F131" s="45" t="s">
        <v>60</v>
      </c>
      <c r="G131" s="45"/>
      <c r="H131" s="46">
        <v>41997</v>
      </c>
      <c r="I131" s="305" t="s">
        <v>341</v>
      </c>
      <c r="J131" s="401" t="s">
        <v>57</v>
      </c>
      <c r="K131" s="169"/>
      <c r="L131" s="168" t="s">
        <v>84</v>
      </c>
      <c r="M131" s="46"/>
      <c r="N131" s="277"/>
      <c r="O131" s="277"/>
      <c r="P131" s="535"/>
      <c r="Q131" s="46"/>
      <c r="R131" s="197"/>
      <c r="S131" s="278"/>
      <c r="T131" s="46"/>
      <c r="U131" s="278"/>
      <c r="V131" s="155">
        <f t="shared" si="80"/>
        <v>-41393</v>
      </c>
      <c r="W131" s="327" t="str">
        <f t="shared" si="76"/>
        <v>No ha formulado PM</v>
      </c>
      <c r="X131" s="155">
        <f t="shared" si="81"/>
        <v>1</v>
      </c>
      <c r="Y131" s="366" t="s">
        <v>417</v>
      </c>
    </row>
    <row r="132" spans="1:25" ht="51" hidden="1" x14ac:dyDescent="0.2">
      <c r="A132" s="630">
        <f t="shared" si="19"/>
        <v>129</v>
      </c>
      <c r="B132" s="43" t="s">
        <v>66</v>
      </c>
      <c r="C132" s="233" t="s">
        <v>340</v>
      </c>
      <c r="D132" s="283" t="s">
        <v>46</v>
      </c>
      <c r="E132" s="15" t="s">
        <v>0</v>
      </c>
      <c r="F132" s="45" t="s">
        <v>60</v>
      </c>
      <c r="G132" s="45"/>
      <c r="H132" s="46">
        <v>41997</v>
      </c>
      <c r="I132" s="305" t="s">
        <v>343</v>
      </c>
      <c r="J132" s="401" t="s">
        <v>57</v>
      </c>
      <c r="K132" s="169"/>
      <c r="L132" s="168" t="s">
        <v>84</v>
      </c>
      <c r="M132" s="46"/>
      <c r="N132" s="277"/>
      <c r="O132" s="277"/>
      <c r="P132" s="535"/>
      <c r="Q132" s="46"/>
      <c r="R132" s="197"/>
      <c r="S132" s="278"/>
      <c r="T132" s="46"/>
      <c r="U132" s="278"/>
      <c r="V132" s="155">
        <f t="shared" si="80"/>
        <v>-41393</v>
      </c>
      <c r="W132" s="327" t="str">
        <f t="shared" si="76"/>
        <v>No ha formulado PM</v>
      </c>
      <c r="X132" s="155">
        <f t="shared" si="81"/>
        <v>1</v>
      </c>
      <c r="Y132" s="366" t="s">
        <v>417</v>
      </c>
    </row>
    <row r="133" spans="1:25" ht="51" hidden="1" x14ac:dyDescent="0.2">
      <c r="A133" s="630">
        <f t="shared" si="19"/>
        <v>130</v>
      </c>
      <c r="B133" s="43" t="s">
        <v>66</v>
      </c>
      <c r="C133" s="233" t="s">
        <v>340</v>
      </c>
      <c r="D133" s="283" t="s">
        <v>46</v>
      </c>
      <c r="E133" s="15" t="s">
        <v>0</v>
      </c>
      <c r="F133" s="45" t="s">
        <v>60</v>
      </c>
      <c r="G133" s="45"/>
      <c r="H133" s="46">
        <v>41997</v>
      </c>
      <c r="I133" s="305" t="s">
        <v>342</v>
      </c>
      <c r="J133" s="401" t="s">
        <v>57</v>
      </c>
      <c r="K133" s="169"/>
      <c r="L133" s="168" t="s">
        <v>84</v>
      </c>
      <c r="M133" s="46"/>
      <c r="N133" s="277"/>
      <c r="O133" s="277"/>
      <c r="P133" s="535"/>
      <c r="Q133" s="46"/>
      <c r="R133" s="197"/>
      <c r="S133" s="278"/>
      <c r="T133" s="46"/>
      <c r="U133" s="278"/>
      <c r="V133" s="155">
        <f t="shared" si="80"/>
        <v>-41393</v>
      </c>
      <c r="W133" s="327" t="str">
        <f t="shared" si="76"/>
        <v>No ha formulado PM</v>
      </c>
      <c r="X133" s="155">
        <f t="shared" si="81"/>
        <v>1</v>
      </c>
      <c r="Y133" s="366" t="s">
        <v>417</v>
      </c>
    </row>
    <row r="134" spans="1:25" ht="282" customHeight="1" x14ac:dyDescent="0.2">
      <c r="A134" s="685">
        <f t="shared" ref="A134:A197" si="82">+A133+1</f>
        <v>131</v>
      </c>
      <c r="B134" s="43" t="s">
        <v>25</v>
      </c>
      <c r="C134" s="684" t="s">
        <v>849</v>
      </c>
      <c r="D134" s="722" t="s">
        <v>45</v>
      </c>
      <c r="E134" s="722" t="s">
        <v>0</v>
      </c>
      <c r="F134" s="45" t="s">
        <v>63</v>
      </c>
      <c r="G134" s="45"/>
      <c r="H134" s="697">
        <v>42004</v>
      </c>
      <c r="I134" s="305" t="s">
        <v>854</v>
      </c>
      <c r="J134" s="722" t="s">
        <v>82</v>
      </c>
      <c r="K134" s="722" t="s">
        <v>141</v>
      </c>
      <c r="L134" s="725" t="s">
        <v>83</v>
      </c>
      <c r="M134" s="697">
        <v>42117</v>
      </c>
      <c r="N134" s="684" t="s">
        <v>54</v>
      </c>
      <c r="O134" s="18" t="s">
        <v>399</v>
      </c>
      <c r="P134" s="543" t="s">
        <v>401</v>
      </c>
      <c r="Q134" s="699">
        <v>42520</v>
      </c>
      <c r="R134" s="197" t="s">
        <v>1179</v>
      </c>
      <c r="S134" s="685" t="s">
        <v>59</v>
      </c>
      <c r="T134" s="697">
        <v>75452</v>
      </c>
      <c r="U134" s="685"/>
      <c r="V134" s="155">
        <f t="shared" si="80"/>
        <v>114</v>
      </c>
      <c r="W134" s="755" t="str">
        <f t="shared" si="76"/>
        <v>Inoportuno</v>
      </c>
      <c r="X134" s="155">
        <f t="shared" si="81"/>
        <v>32461</v>
      </c>
      <c r="Y134" s="789" t="s">
        <v>417</v>
      </c>
    </row>
    <row r="135" spans="1:25" ht="306.75" customHeight="1" x14ac:dyDescent="0.2">
      <c r="A135" s="685">
        <f t="shared" si="82"/>
        <v>132</v>
      </c>
      <c r="B135" s="43" t="s">
        <v>25</v>
      </c>
      <c r="C135" s="684" t="s">
        <v>208</v>
      </c>
      <c r="D135" s="723"/>
      <c r="E135" s="723"/>
      <c r="F135" s="45" t="s">
        <v>63</v>
      </c>
      <c r="G135" s="45"/>
      <c r="H135" s="697">
        <v>42004</v>
      </c>
      <c r="I135" s="305" t="s">
        <v>854</v>
      </c>
      <c r="J135" s="723"/>
      <c r="K135" s="723"/>
      <c r="L135" s="726"/>
      <c r="M135" s="697">
        <v>42117</v>
      </c>
      <c r="N135" s="684" t="s">
        <v>54</v>
      </c>
      <c r="O135" s="684" t="s">
        <v>739</v>
      </c>
      <c r="P135" s="543" t="s">
        <v>402</v>
      </c>
      <c r="Q135" s="699">
        <v>42520</v>
      </c>
      <c r="R135" s="197" t="s">
        <v>1180</v>
      </c>
      <c r="S135" s="685" t="s">
        <v>59</v>
      </c>
      <c r="T135" s="697">
        <v>75483</v>
      </c>
      <c r="U135" s="685"/>
      <c r="V135" s="155">
        <f t="shared" ref="V135:V137" si="83">DAYS360(H135,M135,0)+1</f>
        <v>114</v>
      </c>
      <c r="W135" s="786"/>
      <c r="X135" s="155">
        <f t="shared" ref="X135:X137" si="84">DAYS360(Q135,T135,0)+1</f>
        <v>32491</v>
      </c>
      <c r="Y135" s="787" t="s">
        <v>417</v>
      </c>
    </row>
    <row r="136" spans="1:25" ht="291" customHeight="1" x14ac:dyDescent="0.2">
      <c r="A136" s="685">
        <f t="shared" si="82"/>
        <v>133</v>
      </c>
      <c r="B136" s="43" t="s">
        <v>25</v>
      </c>
      <c r="C136" s="684" t="s">
        <v>208</v>
      </c>
      <c r="D136" s="723"/>
      <c r="E136" s="723"/>
      <c r="F136" s="45" t="s">
        <v>63</v>
      </c>
      <c r="G136" s="45"/>
      <c r="H136" s="697">
        <v>42004</v>
      </c>
      <c r="I136" s="305" t="s">
        <v>854</v>
      </c>
      <c r="J136" s="723"/>
      <c r="K136" s="723"/>
      <c r="L136" s="726"/>
      <c r="M136" s="697">
        <v>42117</v>
      </c>
      <c r="N136" s="684" t="s">
        <v>54</v>
      </c>
      <c r="O136" s="684" t="s">
        <v>740</v>
      </c>
      <c r="P136" s="543" t="s">
        <v>403</v>
      </c>
      <c r="Q136" s="699">
        <v>42520</v>
      </c>
      <c r="R136" s="197" t="s">
        <v>1181</v>
      </c>
      <c r="S136" s="685" t="s">
        <v>59</v>
      </c>
      <c r="T136" s="697">
        <v>75483</v>
      </c>
      <c r="U136" s="685"/>
      <c r="V136" s="155">
        <f t="shared" si="83"/>
        <v>114</v>
      </c>
      <c r="W136" s="786"/>
      <c r="X136" s="155">
        <f t="shared" si="84"/>
        <v>32491</v>
      </c>
      <c r="Y136" s="787" t="s">
        <v>417</v>
      </c>
    </row>
    <row r="137" spans="1:25" ht="199.5" customHeight="1" x14ac:dyDescent="0.2">
      <c r="A137" s="685">
        <f t="shared" si="82"/>
        <v>134</v>
      </c>
      <c r="B137" s="43" t="s">
        <v>25</v>
      </c>
      <c r="C137" s="684" t="s">
        <v>208</v>
      </c>
      <c r="D137" s="724"/>
      <c r="E137" s="724"/>
      <c r="F137" s="45" t="s">
        <v>63</v>
      </c>
      <c r="G137" s="45"/>
      <c r="H137" s="697">
        <v>42004</v>
      </c>
      <c r="I137" s="305" t="s">
        <v>854</v>
      </c>
      <c r="J137" s="724"/>
      <c r="K137" s="724"/>
      <c r="L137" s="727"/>
      <c r="M137" s="697">
        <v>42117</v>
      </c>
      <c r="N137" s="684" t="s">
        <v>54</v>
      </c>
      <c r="O137" s="684" t="s">
        <v>400</v>
      </c>
      <c r="P137" s="543" t="s">
        <v>404</v>
      </c>
      <c r="Q137" s="699">
        <v>42520</v>
      </c>
      <c r="R137" s="197" t="s">
        <v>1190</v>
      </c>
      <c r="S137" s="685" t="s">
        <v>59</v>
      </c>
      <c r="T137" s="697">
        <v>42628</v>
      </c>
      <c r="U137" s="685"/>
      <c r="V137" s="155">
        <f t="shared" si="83"/>
        <v>114</v>
      </c>
      <c r="W137" s="756"/>
      <c r="X137" s="155">
        <f t="shared" si="84"/>
        <v>106</v>
      </c>
      <c r="Y137" s="788" t="s">
        <v>417</v>
      </c>
    </row>
    <row r="138" spans="1:25" ht="136.5" customHeight="1" x14ac:dyDescent="0.2">
      <c r="A138" s="685">
        <f t="shared" si="82"/>
        <v>135</v>
      </c>
      <c r="B138" s="631" t="s">
        <v>25</v>
      </c>
      <c r="C138" s="632" t="s">
        <v>208</v>
      </c>
      <c r="D138" s="722" t="s">
        <v>45</v>
      </c>
      <c r="E138" s="722" t="s">
        <v>0</v>
      </c>
      <c r="F138" s="45" t="s">
        <v>63</v>
      </c>
      <c r="G138" s="45"/>
      <c r="H138" s="697">
        <v>42004</v>
      </c>
      <c r="I138" s="305" t="s">
        <v>856</v>
      </c>
      <c r="J138" s="722" t="s">
        <v>82</v>
      </c>
      <c r="K138" s="722" t="s">
        <v>142</v>
      </c>
      <c r="L138" s="725" t="s">
        <v>83</v>
      </c>
      <c r="M138" s="697">
        <v>42117</v>
      </c>
      <c r="N138" s="684" t="s">
        <v>54</v>
      </c>
      <c r="O138" s="684" t="s">
        <v>398</v>
      </c>
      <c r="P138" s="700" t="s">
        <v>860</v>
      </c>
      <c r="Q138" s="699">
        <v>42369</v>
      </c>
      <c r="R138" s="197" t="s">
        <v>1182</v>
      </c>
      <c r="S138" s="685" t="s">
        <v>59</v>
      </c>
      <c r="T138" s="697">
        <v>42451</v>
      </c>
      <c r="U138" s="684" t="s">
        <v>858</v>
      </c>
      <c r="V138" s="155">
        <f t="shared" ref="V138:V139" si="85">DAYS360(H138,M138,0)+1</f>
        <v>114</v>
      </c>
      <c r="W138" s="786"/>
      <c r="X138" s="155">
        <f t="shared" ref="X138:X139" si="86">DAYS360(Q138,T138,0)+1</f>
        <v>83</v>
      </c>
      <c r="Y138" s="787" t="s">
        <v>417</v>
      </c>
    </row>
    <row r="139" spans="1:25" ht="135.75" customHeight="1" x14ac:dyDescent="0.2">
      <c r="A139" s="685">
        <f t="shared" si="82"/>
        <v>136</v>
      </c>
      <c r="B139" s="631" t="s">
        <v>25</v>
      </c>
      <c r="C139" s="632" t="s">
        <v>208</v>
      </c>
      <c r="D139" s="724"/>
      <c r="E139" s="724"/>
      <c r="F139" s="45" t="s">
        <v>63</v>
      </c>
      <c r="G139" s="45"/>
      <c r="H139" s="697">
        <v>42004</v>
      </c>
      <c r="I139" s="305" t="s">
        <v>856</v>
      </c>
      <c r="J139" s="724"/>
      <c r="K139" s="724"/>
      <c r="L139" s="727"/>
      <c r="M139" s="697">
        <v>42117</v>
      </c>
      <c r="N139" s="684" t="s">
        <v>54</v>
      </c>
      <c r="O139" s="684" t="s">
        <v>398</v>
      </c>
      <c r="P139" s="543" t="s">
        <v>861</v>
      </c>
      <c r="Q139" s="699">
        <v>42369</v>
      </c>
      <c r="R139" s="197" t="s">
        <v>859</v>
      </c>
      <c r="S139" s="685" t="s">
        <v>59</v>
      </c>
      <c r="T139" s="697">
        <v>42451</v>
      </c>
      <c r="U139" s="684" t="s">
        <v>851</v>
      </c>
      <c r="V139" s="155">
        <f t="shared" si="85"/>
        <v>114</v>
      </c>
      <c r="W139" s="756"/>
      <c r="X139" s="155">
        <f t="shared" si="86"/>
        <v>83</v>
      </c>
      <c r="Y139" s="788" t="s">
        <v>417</v>
      </c>
    </row>
    <row r="140" spans="1:25" ht="111" hidden="1" customHeight="1" x14ac:dyDescent="0.2">
      <c r="A140" s="630">
        <f t="shared" si="82"/>
        <v>137</v>
      </c>
      <c r="B140" s="43" t="s">
        <v>37</v>
      </c>
      <c r="C140" s="233" t="s">
        <v>37</v>
      </c>
      <c r="D140" s="346" t="s">
        <v>45</v>
      </c>
      <c r="E140" s="346" t="s">
        <v>0</v>
      </c>
      <c r="F140" s="305" t="s">
        <v>60</v>
      </c>
      <c r="G140" s="45"/>
      <c r="H140" s="46">
        <v>42003</v>
      </c>
      <c r="I140" s="305" t="s">
        <v>407</v>
      </c>
      <c r="J140" s="401" t="s">
        <v>57</v>
      </c>
      <c r="K140" s="229" t="s">
        <v>141</v>
      </c>
      <c r="L140" s="168" t="s">
        <v>83</v>
      </c>
      <c r="M140" s="46">
        <v>42118</v>
      </c>
      <c r="N140" s="347" t="s">
        <v>54</v>
      </c>
      <c r="O140" s="347" t="s">
        <v>406</v>
      </c>
      <c r="P140" s="543" t="s">
        <v>408</v>
      </c>
      <c r="Q140" s="352">
        <v>42370</v>
      </c>
      <c r="R140" s="197"/>
      <c r="S140" s="348" t="s">
        <v>55</v>
      </c>
      <c r="T140" s="46"/>
      <c r="U140" s="348"/>
      <c r="V140" s="155">
        <f t="shared" ref="V140" si="87">DAYS360(H140,M140,0)+1</f>
        <v>115</v>
      </c>
      <c r="W140" s="327" t="str">
        <f t="shared" ref="W140" si="88">IF(V140&gt;7,"Inoportuno",(IF(V140&lt;0,"No ha formulado PM","Oportuno")))</f>
        <v>Inoportuno</v>
      </c>
      <c r="X140" s="155">
        <f t="shared" ref="X140" si="89">DAYS360(Q140,T140,0)+1</f>
        <v>-41760</v>
      </c>
      <c r="Y140" s="366" t="s">
        <v>417</v>
      </c>
    </row>
    <row r="141" spans="1:25" ht="54.75" hidden="1" customHeight="1" x14ac:dyDescent="0.2">
      <c r="A141" s="630">
        <f t="shared" si="82"/>
        <v>138</v>
      </c>
      <c r="B141" s="43" t="s">
        <v>37</v>
      </c>
      <c r="C141" s="233" t="s">
        <v>37</v>
      </c>
      <c r="D141" s="317" t="s">
        <v>45</v>
      </c>
      <c r="E141" s="15" t="s">
        <v>0</v>
      </c>
      <c r="F141" s="305" t="s">
        <v>60</v>
      </c>
      <c r="G141" s="45"/>
      <c r="H141" s="46">
        <v>42003</v>
      </c>
      <c r="I141" s="305" t="s">
        <v>387</v>
      </c>
      <c r="J141" s="401" t="s">
        <v>57</v>
      </c>
      <c r="K141" s="229" t="s">
        <v>141</v>
      </c>
      <c r="L141" s="168" t="s">
        <v>83</v>
      </c>
      <c r="M141" s="46">
        <v>42118</v>
      </c>
      <c r="N141" s="317" t="s">
        <v>109</v>
      </c>
      <c r="O141" s="347" t="s">
        <v>406</v>
      </c>
      <c r="P141" s="535" t="s">
        <v>409</v>
      </c>
      <c r="Q141" s="352">
        <v>42370</v>
      </c>
      <c r="R141" s="197" t="s">
        <v>741</v>
      </c>
      <c r="S141" s="319" t="s">
        <v>55</v>
      </c>
      <c r="T141" s="46"/>
      <c r="U141" s="319"/>
      <c r="V141" s="155">
        <f t="shared" ref="V141:V300" si="90">DAYS360(H141,M141,0)+1</f>
        <v>115</v>
      </c>
      <c r="W141" s="327" t="str">
        <f>IF(V141&gt;12,"Inoportuno",(IF(V141&lt;12,"No ha formulado PM","Oportuno")))</f>
        <v>Inoportuno</v>
      </c>
      <c r="X141" s="155">
        <f t="shared" ref="X141:X300" si="91">DAYS360(Q141,T141,0)+1</f>
        <v>-41760</v>
      </c>
      <c r="Y141" s="366" t="s">
        <v>417</v>
      </c>
    </row>
    <row r="142" spans="1:25" ht="96.75" hidden="1" customHeight="1" x14ac:dyDescent="0.2">
      <c r="A142" s="630">
        <f t="shared" si="82"/>
        <v>139</v>
      </c>
      <c r="B142" s="43" t="s">
        <v>69</v>
      </c>
      <c r="C142" s="233" t="s">
        <v>201</v>
      </c>
      <c r="D142" s="737" t="s">
        <v>201</v>
      </c>
      <c r="E142" s="722" t="s">
        <v>0</v>
      </c>
      <c r="F142" s="45" t="s">
        <v>62</v>
      </c>
      <c r="G142" s="45"/>
      <c r="H142" s="46">
        <v>42095</v>
      </c>
      <c r="I142" s="305" t="s">
        <v>380</v>
      </c>
      <c r="J142" s="734" t="s">
        <v>82</v>
      </c>
      <c r="K142" s="734" t="s">
        <v>141</v>
      </c>
      <c r="L142" s="725" t="s">
        <v>83</v>
      </c>
      <c r="M142" s="46">
        <v>42095</v>
      </c>
      <c r="N142" s="334" t="s">
        <v>54</v>
      </c>
      <c r="O142" s="344" t="s">
        <v>381</v>
      </c>
      <c r="P142" s="535" t="s">
        <v>742</v>
      </c>
      <c r="Q142" s="46">
        <v>42338</v>
      </c>
      <c r="R142" s="197" t="s">
        <v>743</v>
      </c>
      <c r="S142" s="335" t="s">
        <v>55</v>
      </c>
      <c r="T142" s="46"/>
      <c r="U142" s="335"/>
      <c r="V142" s="155">
        <f t="shared" ref="V142:V144" si="92">DAYS360(H142,M142,0)+1</f>
        <v>1</v>
      </c>
      <c r="W142" s="786"/>
      <c r="X142" s="155">
        <f t="shared" si="91"/>
        <v>-41729</v>
      </c>
      <c r="Y142" s="784" t="s">
        <v>417</v>
      </c>
    </row>
    <row r="143" spans="1:25" ht="59.25" hidden="1" customHeight="1" x14ac:dyDescent="0.2">
      <c r="A143" s="630">
        <f t="shared" si="82"/>
        <v>140</v>
      </c>
      <c r="B143" s="43" t="s">
        <v>69</v>
      </c>
      <c r="C143" s="233" t="s">
        <v>201</v>
      </c>
      <c r="D143" s="738"/>
      <c r="E143" s="723"/>
      <c r="F143" s="45" t="s">
        <v>62</v>
      </c>
      <c r="G143" s="45"/>
      <c r="H143" s="46">
        <v>42095</v>
      </c>
      <c r="I143" s="305" t="s">
        <v>380</v>
      </c>
      <c r="J143" s="735"/>
      <c r="K143" s="735"/>
      <c r="L143" s="726"/>
      <c r="M143" s="46">
        <v>42095</v>
      </c>
      <c r="N143" s="334" t="s">
        <v>54</v>
      </c>
      <c r="O143" s="343" t="s">
        <v>744</v>
      </c>
      <c r="P143" s="535" t="s">
        <v>745</v>
      </c>
      <c r="Q143" s="46">
        <v>42308</v>
      </c>
      <c r="R143" s="197" t="s">
        <v>634</v>
      </c>
      <c r="S143" s="335" t="s">
        <v>55</v>
      </c>
      <c r="T143" s="46"/>
      <c r="U143" s="335"/>
      <c r="V143" s="155">
        <f t="shared" si="92"/>
        <v>1</v>
      </c>
      <c r="W143" s="786"/>
      <c r="X143" s="155">
        <f t="shared" si="91"/>
        <v>-41699</v>
      </c>
      <c r="Y143" s="784" t="s">
        <v>417</v>
      </c>
    </row>
    <row r="144" spans="1:25" ht="57" hidden="1" customHeight="1" x14ac:dyDescent="0.2">
      <c r="A144" s="630">
        <f t="shared" si="82"/>
        <v>141</v>
      </c>
      <c r="B144" s="43" t="s">
        <v>69</v>
      </c>
      <c r="C144" s="233" t="s">
        <v>201</v>
      </c>
      <c r="D144" s="739"/>
      <c r="E144" s="724"/>
      <c r="F144" s="45" t="s">
        <v>62</v>
      </c>
      <c r="G144" s="45"/>
      <c r="H144" s="46">
        <v>42095</v>
      </c>
      <c r="I144" s="305" t="s">
        <v>380</v>
      </c>
      <c r="J144" s="736"/>
      <c r="K144" s="736"/>
      <c r="L144" s="727"/>
      <c r="M144" s="46">
        <v>42095</v>
      </c>
      <c r="N144" s="334" t="s">
        <v>54</v>
      </c>
      <c r="O144" s="343" t="s">
        <v>63</v>
      </c>
      <c r="P144" s="535" t="s">
        <v>382</v>
      </c>
      <c r="Q144" s="46">
        <v>42185</v>
      </c>
      <c r="R144" s="197" t="s">
        <v>635</v>
      </c>
      <c r="S144" s="335" t="s">
        <v>55</v>
      </c>
      <c r="T144" s="46"/>
      <c r="U144" s="335"/>
      <c r="V144" s="155">
        <f t="shared" si="92"/>
        <v>1</v>
      </c>
      <c r="W144" s="756"/>
      <c r="X144" s="155">
        <f t="shared" si="91"/>
        <v>-41579</v>
      </c>
      <c r="Y144" s="785" t="s">
        <v>417</v>
      </c>
    </row>
    <row r="145" spans="1:25" ht="44.25" hidden="1" customHeight="1" x14ac:dyDescent="0.2">
      <c r="A145" s="630">
        <f t="shared" si="82"/>
        <v>142</v>
      </c>
      <c r="B145" s="43" t="s">
        <v>69</v>
      </c>
      <c r="C145" s="233" t="s">
        <v>201</v>
      </c>
      <c r="D145" s="383" t="s">
        <v>201</v>
      </c>
      <c r="E145" s="337" t="s">
        <v>0</v>
      </c>
      <c r="F145" s="45" t="s">
        <v>62</v>
      </c>
      <c r="G145" s="45"/>
      <c r="H145" s="46">
        <v>42095</v>
      </c>
      <c r="I145" s="305" t="s">
        <v>383</v>
      </c>
      <c r="J145" s="401" t="s">
        <v>82</v>
      </c>
      <c r="K145" s="336" t="s">
        <v>141</v>
      </c>
      <c r="L145" s="168" t="s">
        <v>83</v>
      </c>
      <c r="M145" s="46">
        <v>42095</v>
      </c>
      <c r="N145" s="334" t="s">
        <v>109</v>
      </c>
      <c r="O145" s="343" t="s">
        <v>63</v>
      </c>
      <c r="P145" s="535" t="s">
        <v>384</v>
      </c>
      <c r="Q145" s="46">
        <v>42185</v>
      </c>
      <c r="R145" s="197" t="s">
        <v>636</v>
      </c>
      <c r="S145" s="335" t="s">
        <v>55</v>
      </c>
      <c r="T145" s="46"/>
      <c r="U145" s="335"/>
      <c r="V145" s="155">
        <f t="shared" ref="V145:V146" si="93">DAYS360(H145,M145,0)+1</f>
        <v>1</v>
      </c>
      <c r="W145" s="327" t="str">
        <f t="shared" ref="W145:W146" si="94">IF(V145&gt;7,"Inoportuno",(IF(V145&lt;0,"No ha formulado PM","Oportuno")))</f>
        <v>Oportuno</v>
      </c>
      <c r="X145" s="155">
        <f t="shared" si="91"/>
        <v>-41579</v>
      </c>
      <c r="Y145" s="365" t="s">
        <v>417</v>
      </c>
    </row>
    <row r="146" spans="1:25" ht="58.5" hidden="1" customHeight="1" x14ac:dyDescent="0.2">
      <c r="A146" s="630">
        <f t="shared" si="82"/>
        <v>143</v>
      </c>
      <c r="B146" s="43" t="s">
        <v>69</v>
      </c>
      <c r="C146" s="233" t="s">
        <v>201</v>
      </c>
      <c r="D146" s="383" t="s">
        <v>201</v>
      </c>
      <c r="E146" s="337" t="s">
        <v>0</v>
      </c>
      <c r="F146" s="45" t="s">
        <v>62</v>
      </c>
      <c r="G146" s="45"/>
      <c r="H146" s="46">
        <v>42095</v>
      </c>
      <c r="I146" s="305" t="s">
        <v>386</v>
      </c>
      <c r="J146" s="401" t="s">
        <v>82</v>
      </c>
      <c r="K146" s="336" t="s">
        <v>141</v>
      </c>
      <c r="L146" s="168" t="s">
        <v>83</v>
      </c>
      <c r="M146" s="46">
        <v>42095</v>
      </c>
      <c r="N146" s="334" t="s">
        <v>54</v>
      </c>
      <c r="O146" s="343" t="s">
        <v>63</v>
      </c>
      <c r="P146" s="535" t="s">
        <v>385</v>
      </c>
      <c r="Q146" s="46">
        <v>42185</v>
      </c>
      <c r="R146" s="197" t="s">
        <v>635</v>
      </c>
      <c r="S146" s="335" t="s">
        <v>55</v>
      </c>
      <c r="T146" s="46"/>
      <c r="U146" s="335"/>
      <c r="V146" s="155">
        <f t="shared" si="93"/>
        <v>1</v>
      </c>
      <c r="W146" s="327" t="str">
        <f t="shared" si="94"/>
        <v>Oportuno</v>
      </c>
      <c r="X146" s="155">
        <f t="shared" si="91"/>
        <v>-41579</v>
      </c>
      <c r="Y146" s="365" t="s">
        <v>417</v>
      </c>
    </row>
    <row r="147" spans="1:25" ht="257.25" hidden="1" customHeight="1" x14ac:dyDescent="0.2">
      <c r="A147" s="630">
        <f t="shared" si="82"/>
        <v>144</v>
      </c>
      <c r="B147" s="43" t="s">
        <v>53</v>
      </c>
      <c r="C147" s="233" t="s">
        <v>390</v>
      </c>
      <c r="D147" s="358" t="s">
        <v>45</v>
      </c>
      <c r="E147" s="342" t="s">
        <v>0</v>
      </c>
      <c r="F147" s="45" t="s">
        <v>63</v>
      </c>
      <c r="G147" s="45"/>
      <c r="H147" s="46">
        <v>42116</v>
      </c>
      <c r="I147" s="375" t="s">
        <v>391</v>
      </c>
      <c r="J147" s="401" t="s">
        <v>82</v>
      </c>
      <c r="K147" s="341" t="s">
        <v>141</v>
      </c>
      <c r="L147" s="168" t="s">
        <v>83</v>
      </c>
      <c r="M147" s="46">
        <v>42228</v>
      </c>
      <c r="N147" s="338" t="s">
        <v>54</v>
      </c>
      <c r="O147" s="492">
        <v>42369</v>
      </c>
      <c r="P147" s="535" t="s">
        <v>510</v>
      </c>
      <c r="Q147" s="46">
        <v>42369</v>
      </c>
      <c r="R147" s="197" t="s">
        <v>746</v>
      </c>
      <c r="S147" s="340" t="s">
        <v>55</v>
      </c>
      <c r="T147" s="46"/>
      <c r="U147" s="340"/>
      <c r="V147" s="155">
        <f t="shared" ref="V147:V149" si="95">DAYS360(H147,M147,0)+1</f>
        <v>111</v>
      </c>
      <c r="W147" s="327" t="str">
        <f t="shared" ref="W147:W149" si="96">IF(V147&gt;7,"Inoportuno",(IF(V147&lt;0,"No ha formulado PM","Oportuno")))</f>
        <v>Inoportuno</v>
      </c>
      <c r="X147" s="155">
        <f t="shared" ref="X147:X149" si="97">DAYS360(Q147,T147,0)+1</f>
        <v>-41759</v>
      </c>
      <c r="Y147" s="365" t="s">
        <v>417</v>
      </c>
    </row>
    <row r="148" spans="1:25" ht="111.75" hidden="1" customHeight="1" x14ac:dyDescent="0.2">
      <c r="A148" s="630">
        <f t="shared" si="82"/>
        <v>145</v>
      </c>
      <c r="B148" s="43" t="s">
        <v>53</v>
      </c>
      <c r="C148" s="233" t="s">
        <v>390</v>
      </c>
      <c r="D148" s="358" t="s">
        <v>45</v>
      </c>
      <c r="E148" s="342" t="s">
        <v>0</v>
      </c>
      <c r="F148" s="45" t="s">
        <v>63</v>
      </c>
      <c r="G148" s="45"/>
      <c r="H148" s="46">
        <v>42116</v>
      </c>
      <c r="I148" s="375" t="s">
        <v>392</v>
      </c>
      <c r="J148" s="401" t="s">
        <v>82</v>
      </c>
      <c r="K148" s="341" t="s">
        <v>141</v>
      </c>
      <c r="L148" s="168" t="s">
        <v>83</v>
      </c>
      <c r="M148" s="46">
        <v>42228</v>
      </c>
      <c r="N148" s="338" t="s">
        <v>54</v>
      </c>
      <c r="O148" s="345" t="s">
        <v>430</v>
      </c>
      <c r="P148" s="535" t="s">
        <v>429</v>
      </c>
      <c r="Q148" s="46">
        <v>42277</v>
      </c>
      <c r="R148" s="197" t="s">
        <v>431</v>
      </c>
      <c r="S148" s="340" t="s">
        <v>55</v>
      </c>
      <c r="T148" s="46"/>
      <c r="U148" s="340"/>
      <c r="V148" s="155">
        <f t="shared" si="95"/>
        <v>111</v>
      </c>
      <c r="W148" s="327" t="str">
        <f t="shared" si="96"/>
        <v>Inoportuno</v>
      </c>
      <c r="X148" s="155">
        <f t="shared" si="97"/>
        <v>-41669</v>
      </c>
      <c r="Y148" s="365" t="s">
        <v>417</v>
      </c>
    </row>
    <row r="149" spans="1:25" ht="255.75" hidden="1" customHeight="1" x14ac:dyDescent="0.2">
      <c r="A149" s="630">
        <f t="shared" si="82"/>
        <v>146</v>
      </c>
      <c r="B149" s="43" t="s">
        <v>53</v>
      </c>
      <c r="C149" s="233" t="s">
        <v>390</v>
      </c>
      <c r="D149" s="358" t="s">
        <v>45</v>
      </c>
      <c r="E149" s="342" t="s">
        <v>0</v>
      </c>
      <c r="F149" s="45" t="s">
        <v>63</v>
      </c>
      <c r="G149" s="45"/>
      <c r="H149" s="46">
        <v>42116</v>
      </c>
      <c r="I149" s="375" t="s">
        <v>393</v>
      </c>
      <c r="J149" s="401" t="s">
        <v>82</v>
      </c>
      <c r="K149" s="341" t="s">
        <v>141</v>
      </c>
      <c r="L149" s="168" t="s">
        <v>83</v>
      </c>
      <c r="M149" s="46">
        <v>42228</v>
      </c>
      <c r="N149" s="338" t="s">
        <v>54</v>
      </c>
      <c r="O149" s="345" t="s">
        <v>435</v>
      </c>
      <c r="P149" s="535" t="s">
        <v>432</v>
      </c>
      <c r="Q149" s="46">
        <v>42460</v>
      </c>
      <c r="R149" s="281" t="s">
        <v>511</v>
      </c>
      <c r="S149" s="340" t="s">
        <v>55</v>
      </c>
      <c r="T149" s="46"/>
      <c r="U149" s="340"/>
      <c r="V149" s="155">
        <f t="shared" si="95"/>
        <v>111</v>
      </c>
      <c r="W149" s="327" t="str">
        <f t="shared" si="96"/>
        <v>Inoportuno</v>
      </c>
      <c r="X149" s="155">
        <f t="shared" si="97"/>
        <v>-41849</v>
      </c>
      <c r="Y149" s="365" t="s">
        <v>417</v>
      </c>
    </row>
    <row r="150" spans="1:25" ht="66.75" hidden="1" customHeight="1" x14ac:dyDescent="0.2">
      <c r="A150" s="630">
        <f t="shared" si="82"/>
        <v>147</v>
      </c>
      <c r="B150" s="219" t="s">
        <v>414</v>
      </c>
      <c r="C150" s="197" t="s">
        <v>530</v>
      </c>
      <c r="D150" s="53" t="s">
        <v>45</v>
      </c>
      <c r="E150" s="15" t="s">
        <v>0</v>
      </c>
      <c r="F150" s="45" t="s">
        <v>56</v>
      </c>
      <c r="G150" s="45"/>
      <c r="H150" s="46">
        <v>42130</v>
      </c>
      <c r="I150" s="305" t="s">
        <v>394</v>
      </c>
      <c r="J150" s="401" t="s">
        <v>82</v>
      </c>
      <c r="K150" s="318"/>
      <c r="L150" s="168" t="s">
        <v>84</v>
      </c>
      <c r="M150" s="46"/>
      <c r="N150" s="317"/>
      <c r="O150" s="317"/>
      <c r="P150" s="535"/>
      <c r="Q150" s="46"/>
      <c r="R150" s="197"/>
      <c r="S150" s="319"/>
      <c r="T150" s="46"/>
      <c r="U150" s="319"/>
      <c r="V150" s="155">
        <f t="shared" si="90"/>
        <v>-41525</v>
      </c>
      <c r="W150" s="327" t="str">
        <f t="shared" si="76"/>
        <v>No ha formulado PM</v>
      </c>
      <c r="X150" s="155">
        <f t="shared" si="91"/>
        <v>1</v>
      </c>
      <c r="Y150" s="365" t="s">
        <v>417</v>
      </c>
    </row>
    <row r="151" spans="1:25" ht="100.5" hidden="1" customHeight="1" x14ac:dyDescent="0.2">
      <c r="A151" s="630">
        <f t="shared" si="82"/>
        <v>148</v>
      </c>
      <c r="B151" s="219" t="s">
        <v>414</v>
      </c>
      <c r="C151" s="197" t="s">
        <v>530</v>
      </c>
      <c r="D151" s="53" t="s">
        <v>45</v>
      </c>
      <c r="E151" s="342" t="s">
        <v>0</v>
      </c>
      <c r="F151" s="45" t="s">
        <v>56</v>
      </c>
      <c r="G151" s="45"/>
      <c r="H151" s="46">
        <v>42130</v>
      </c>
      <c r="I151" s="197" t="s">
        <v>497</v>
      </c>
      <c r="J151" s="401" t="s">
        <v>82</v>
      </c>
      <c r="K151" s="341"/>
      <c r="L151" s="168" t="s">
        <v>84</v>
      </c>
      <c r="M151" s="46"/>
      <c r="N151" s="283"/>
      <c r="O151" s="283"/>
      <c r="P151" s="535"/>
      <c r="Q151" s="46"/>
      <c r="R151" s="197"/>
      <c r="S151" s="285"/>
      <c r="T151" s="46"/>
      <c r="U151" s="285"/>
      <c r="V151" s="155">
        <f t="shared" si="90"/>
        <v>-41525</v>
      </c>
      <c r="W151" s="327" t="str">
        <f t="shared" si="76"/>
        <v>No ha formulado PM</v>
      </c>
      <c r="X151" s="155">
        <f t="shared" si="91"/>
        <v>1</v>
      </c>
      <c r="Y151" s="365" t="s">
        <v>417</v>
      </c>
    </row>
    <row r="152" spans="1:25" ht="96" hidden="1" customHeight="1" x14ac:dyDescent="0.2">
      <c r="A152" s="630">
        <f t="shared" si="82"/>
        <v>149</v>
      </c>
      <c r="B152" s="219" t="s">
        <v>414</v>
      </c>
      <c r="C152" s="197" t="s">
        <v>530</v>
      </c>
      <c r="D152" s="53" t="s">
        <v>45</v>
      </c>
      <c r="E152" s="342" t="s">
        <v>0</v>
      </c>
      <c r="F152" s="45" t="s">
        <v>56</v>
      </c>
      <c r="G152" s="45"/>
      <c r="H152" s="46">
        <v>42130</v>
      </c>
      <c r="I152" s="197" t="s">
        <v>395</v>
      </c>
      <c r="J152" s="401" t="s">
        <v>82</v>
      </c>
      <c r="K152" s="341"/>
      <c r="L152" s="168" t="s">
        <v>84</v>
      </c>
      <c r="M152" s="46"/>
      <c r="N152" s="283"/>
      <c r="O152" s="283"/>
      <c r="P152" s="535"/>
      <c r="Q152" s="46"/>
      <c r="R152" s="197"/>
      <c r="S152" s="285"/>
      <c r="T152" s="46"/>
      <c r="U152" s="285"/>
      <c r="V152" s="155">
        <f t="shared" si="90"/>
        <v>-41525</v>
      </c>
      <c r="W152" s="327" t="str">
        <f t="shared" si="76"/>
        <v>No ha formulado PM</v>
      </c>
      <c r="X152" s="155">
        <f t="shared" si="91"/>
        <v>1</v>
      </c>
      <c r="Y152" s="365" t="s">
        <v>417</v>
      </c>
    </row>
    <row r="153" spans="1:25" ht="72" hidden="1" customHeight="1" x14ac:dyDescent="0.2">
      <c r="A153" s="630">
        <f t="shared" si="82"/>
        <v>150</v>
      </c>
      <c r="B153" s="219" t="s">
        <v>414</v>
      </c>
      <c r="C153" s="197" t="s">
        <v>530</v>
      </c>
      <c r="D153" s="53" t="s">
        <v>45</v>
      </c>
      <c r="E153" s="342" t="s">
        <v>0</v>
      </c>
      <c r="F153" s="45" t="s">
        <v>56</v>
      </c>
      <c r="G153" s="45"/>
      <c r="H153" s="46">
        <v>42130</v>
      </c>
      <c r="I153" s="197" t="s">
        <v>396</v>
      </c>
      <c r="J153" s="401" t="s">
        <v>82</v>
      </c>
      <c r="K153" s="341"/>
      <c r="L153" s="168" t="s">
        <v>84</v>
      </c>
      <c r="M153" s="46"/>
      <c r="N153" s="283"/>
      <c r="O153" s="283"/>
      <c r="P153" s="535"/>
      <c r="Q153" s="46"/>
      <c r="R153" s="197"/>
      <c r="S153" s="285"/>
      <c r="T153" s="46"/>
      <c r="U153" s="285"/>
      <c r="V153" s="155">
        <f t="shared" si="90"/>
        <v>-41525</v>
      </c>
      <c r="W153" s="327" t="str">
        <f t="shared" si="76"/>
        <v>No ha formulado PM</v>
      </c>
      <c r="X153" s="155">
        <f t="shared" si="91"/>
        <v>1</v>
      </c>
      <c r="Y153" s="365" t="s">
        <v>417</v>
      </c>
    </row>
    <row r="154" spans="1:25" ht="69" hidden="1" customHeight="1" x14ac:dyDescent="0.2">
      <c r="A154" s="630">
        <f t="shared" si="82"/>
        <v>151</v>
      </c>
      <c r="B154" s="219" t="s">
        <v>414</v>
      </c>
      <c r="C154" s="197" t="s">
        <v>530</v>
      </c>
      <c r="D154" s="53" t="s">
        <v>45</v>
      </c>
      <c r="E154" s="342" t="s">
        <v>0</v>
      </c>
      <c r="F154" s="45" t="s">
        <v>56</v>
      </c>
      <c r="G154" s="45"/>
      <c r="H154" s="46">
        <v>42130</v>
      </c>
      <c r="I154" s="197" t="s">
        <v>498</v>
      </c>
      <c r="J154" s="401" t="s">
        <v>82</v>
      </c>
      <c r="K154" s="341"/>
      <c r="L154" s="168" t="s">
        <v>84</v>
      </c>
      <c r="M154" s="46"/>
      <c r="N154" s="283"/>
      <c r="O154" s="283"/>
      <c r="P154" s="535"/>
      <c r="Q154" s="46"/>
      <c r="R154" s="197"/>
      <c r="S154" s="285"/>
      <c r="T154" s="46"/>
      <c r="U154" s="285"/>
      <c r="V154" s="155">
        <f t="shared" si="90"/>
        <v>-41525</v>
      </c>
      <c r="W154" s="327" t="str">
        <f t="shared" si="76"/>
        <v>No ha formulado PM</v>
      </c>
      <c r="X154" s="155">
        <f t="shared" si="91"/>
        <v>1</v>
      </c>
      <c r="Y154" s="365" t="s">
        <v>417</v>
      </c>
    </row>
    <row r="155" spans="1:25" ht="69" hidden="1" customHeight="1" x14ac:dyDescent="0.2">
      <c r="A155" s="630">
        <f t="shared" si="82"/>
        <v>152</v>
      </c>
      <c r="B155" s="43" t="s">
        <v>53</v>
      </c>
      <c r="C155" s="197" t="s">
        <v>462</v>
      </c>
      <c r="D155" s="761" t="s">
        <v>50</v>
      </c>
      <c r="E155" s="722" t="s">
        <v>225</v>
      </c>
      <c r="F155" s="45" t="s">
        <v>63</v>
      </c>
      <c r="G155" s="45"/>
      <c r="H155" s="46">
        <v>42199</v>
      </c>
      <c r="I155" s="197" t="s">
        <v>463</v>
      </c>
      <c r="J155" s="740" t="s">
        <v>460</v>
      </c>
      <c r="K155" s="734" t="s">
        <v>141</v>
      </c>
      <c r="L155" s="725" t="s">
        <v>83</v>
      </c>
      <c r="M155" s="46">
        <v>42257</v>
      </c>
      <c r="N155" s="441" t="s">
        <v>109</v>
      </c>
      <c r="O155" s="441" t="s">
        <v>747</v>
      </c>
      <c r="P155" s="535" t="s">
        <v>464</v>
      </c>
      <c r="Q155" s="46">
        <v>42351</v>
      </c>
      <c r="R155" s="197"/>
      <c r="S155" s="443" t="s">
        <v>55</v>
      </c>
      <c r="T155" s="46"/>
      <c r="U155" s="443"/>
      <c r="V155" s="155">
        <f t="shared" si="90"/>
        <v>57</v>
      </c>
      <c r="W155" s="440" t="str">
        <f t="shared" ref="W155:W161" si="98">IF(V155&gt;15,"Inoportuno",(IF(V155&lt;0,"No ha formulado PM","Oportuno")))</f>
        <v>Inoportuno</v>
      </c>
      <c r="X155" s="155">
        <f t="shared" si="91"/>
        <v>-41742</v>
      </c>
      <c r="Y155" s="445"/>
    </row>
    <row r="156" spans="1:25" ht="69" hidden="1" customHeight="1" x14ac:dyDescent="0.2">
      <c r="A156" s="630">
        <f t="shared" si="82"/>
        <v>153</v>
      </c>
      <c r="B156" s="43" t="s">
        <v>53</v>
      </c>
      <c r="C156" s="197" t="s">
        <v>462</v>
      </c>
      <c r="D156" s="724"/>
      <c r="E156" s="724"/>
      <c r="F156" s="45" t="s">
        <v>63</v>
      </c>
      <c r="G156" s="45"/>
      <c r="H156" s="46">
        <v>42199</v>
      </c>
      <c r="I156" s="197" t="s">
        <v>463</v>
      </c>
      <c r="J156" s="729"/>
      <c r="K156" s="736"/>
      <c r="L156" s="727"/>
      <c r="M156" s="46">
        <v>42257</v>
      </c>
      <c r="N156" s="441" t="s">
        <v>54</v>
      </c>
      <c r="O156" s="441" t="s">
        <v>465</v>
      </c>
      <c r="P156" s="535" t="s">
        <v>748</v>
      </c>
      <c r="Q156" s="46">
        <v>42369</v>
      </c>
      <c r="R156" s="197"/>
      <c r="S156" s="443" t="s">
        <v>55</v>
      </c>
      <c r="T156" s="46"/>
      <c r="U156" s="443"/>
      <c r="V156" s="155">
        <f t="shared" si="90"/>
        <v>57</v>
      </c>
      <c r="W156" s="440" t="str">
        <f t="shared" si="98"/>
        <v>Inoportuno</v>
      </c>
      <c r="X156" s="155">
        <f t="shared" si="91"/>
        <v>-41759</v>
      </c>
      <c r="Y156" s="445"/>
    </row>
    <row r="157" spans="1:25" ht="69" hidden="1" customHeight="1" x14ac:dyDescent="0.2">
      <c r="A157" s="630">
        <f t="shared" si="82"/>
        <v>154</v>
      </c>
      <c r="B157" s="43" t="s">
        <v>53</v>
      </c>
      <c r="C157" s="197" t="s">
        <v>462</v>
      </c>
      <c r="D157" s="542" t="s">
        <v>50</v>
      </c>
      <c r="E157" s="444" t="s">
        <v>225</v>
      </c>
      <c r="F157" s="45" t="s">
        <v>63</v>
      </c>
      <c r="G157" s="45"/>
      <c r="H157" s="46">
        <v>42199</v>
      </c>
      <c r="I157" s="197" t="s">
        <v>499</v>
      </c>
      <c r="J157" s="227" t="s">
        <v>460</v>
      </c>
      <c r="K157" s="442" t="s">
        <v>141</v>
      </c>
      <c r="L157" s="168" t="s">
        <v>83</v>
      </c>
      <c r="M157" s="46">
        <v>42257</v>
      </c>
      <c r="N157" s="441" t="s">
        <v>54</v>
      </c>
      <c r="O157" s="441" t="s">
        <v>466</v>
      </c>
      <c r="P157" s="535" t="s">
        <v>467</v>
      </c>
      <c r="Q157" s="46">
        <v>42428</v>
      </c>
      <c r="R157" s="197"/>
      <c r="S157" s="443" t="s">
        <v>55</v>
      </c>
      <c r="T157" s="46"/>
      <c r="U157" s="443"/>
      <c r="V157" s="155">
        <f t="shared" si="90"/>
        <v>57</v>
      </c>
      <c r="W157" s="440" t="str">
        <f t="shared" si="98"/>
        <v>Inoportuno</v>
      </c>
      <c r="X157" s="155">
        <f t="shared" si="91"/>
        <v>-41817</v>
      </c>
      <c r="Y157" s="445"/>
    </row>
    <row r="158" spans="1:25" ht="69" hidden="1" customHeight="1" x14ac:dyDescent="0.2">
      <c r="A158" s="630">
        <f t="shared" si="82"/>
        <v>155</v>
      </c>
      <c r="B158" s="43" t="s">
        <v>53</v>
      </c>
      <c r="C158" s="197" t="s">
        <v>462</v>
      </c>
      <c r="D158" s="542" t="s">
        <v>50</v>
      </c>
      <c r="E158" s="444" t="s">
        <v>225</v>
      </c>
      <c r="F158" s="45" t="s">
        <v>63</v>
      </c>
      <c r="G158" s="45"/>
      <c r="H158" s="46">
        <v>42199</v>
      </c>
      <c r="I158" s="197" t="s">
        <v>500</v>
      </c>
      <c r="J158" s="45" t="s">
        <v>460</v>
      </c>
      <c r="K158" s="442" t="s">
        <v>141</v>
      </c>
      <c r="L158" s="168" t="s">
        <v>83</v>
      </c>
      <c r="M158" s="46">
        <v>42257</v>
      </c>
      <c r="N158" s="441" t="s">
        <v>54</v>
      </c>
      <c r="O158" s="441" t="s">
        <v>468</v>
      </c>
      <c r="P158" s="535" t="s">
        <v>749</v>
      </c>
      <c r="Q158" s="46">
        <v>42369</v>
      </c>
      <c r="R158" s="197"/>
      <c r="S158" s="443" t="s">
        <v>55</v>
      </c>
      <c r="T158" s="46"/>
      <c r="U158" s="443"/>
      <c r="V158" s="155">
        <f t="shared" si="90"/>
        <v>57</v>
      </c>
      <c r="W158" s="440" t="str">
        <f t="shared" si="98"/>
        <v>Inoportuno</v>
      </c>
      <c r="X158" s="155">
        <f t="shared" si="91"/>
        <v>-41759</v>
      </c>
      <c r="Y158" s="445"/>
    </row>
    <row r="159" spans="1:25" ht="69" hidden="1" customHeight="1" x14ac:dyDescent="0.2">
      <c r="A159" s="630">
        <f t="shared" si="82"/>
        <v>156</v>
      </c>
      <c r="B159" s="43" t="s">
        <v>53</v>
      </c>
      <c r="C159" s="197" t="s">
        <v>496</v>
      </c>
      <c r="D159" s="722" t="s">
        <v>50</v>
      </c>
      <c r="E159" s="722" t="s">
        <v>225</v>
      </c>
      <c r="F159" s="45" t="s">
        <v>63</v>
      </c>
      <c r="G159" s="45"/>
      <c r="H159" s="46">
        <v>42311</v>
      </c>
      <c r="I159" s="197" t="s">
        <v>750</v>
      </c>
      <c r="J159" s="740" t="s">
        <v>460</v>
      </c>
      <c r="K159" s="734" t="s">
        <v>141</v>
      </c>
      <c r="L159" s="725" t="s">
        <v>83</v>
      </c>
      <c r="M159" s="46">
        <v>42318</v>
      </c>
      <c r="N159" s="441" t="s">
        <v>54</v>
      </c>
      <c r="O159" s="441" t="s">
        <v>469</v>
      </c>
      <c r="P159" s="535" t="s">
        <v>470</v>
      </c>
      <c r="Q159" s="46">
        <v>42522</v>
      </c>
      <c r="R159" s="197"/>
      <c r="S159" s="443" t="s">
        <v>55</v>
      </c>
      <c r="T159" s="46"/>
      <c r="U159" s="443"/>
      <c r="V159" s="155">
        <f t="shared" si="90"/>
        <v>8</v>
      </c>
      <c r="W159" s="440" t="str">
        <f t="shared" si="98"/>
        <v>Oportuno</v>
      </c>
      <c r="X159" s="155">
        <f t="shared" si="91"/>
        <v>-41910</v>
      </c>
      <c r="Y159" s="445"/>
    </row>
    <row r="160" spans="1:25" ht="69" hidden="1" customHeight="1" x14ac:dyDescent="0.2">
      <c r="A160" s="630">
        <f t="shared" si="82"/>
        <v>157</v>
      </c>
      <c r="B160" s="43" t="s">
        <v>53</v>
      </c>
      <c r="C160" s="197" t="s">
        <v>496</v>
      </c>
      <c r="D160" s="723"/>
      <c r="E160" s="723"/>
      <c r="F160" s="45" t="s">
        <v>63</v>
      </c>
      <c r="G160" s="45"/>
      <c r="H160" s="46">
        <v>42311</v>
      </c>
      <c r="I160" s="197" t="s">
        <v>750</v>
      </c>
      <c r="J160" s="741"/>
      <c r="K160" s="735"/>
      <c r="L160" s="726"/>
      <c r="M160" s="46">
        <v>42318</v>
      </c>
      <c r="N160" s="441" t="s">
        <v>54</v>
      </c>
      <c r="O160" s="441" t="s">
        <v>469</v>
      </c>
      <c r="P160" s="535" t="s">
        <v>471</v>
      </c>
      <c r="Q160" s="46">
        <v>42522</v>
      </c>
      <c r="R160" s="197"/>
      <c r="S160" s="443" t="s">
        <v>55</v>
      </c>
      <c r="T160" s="46"/>
      <c r="U160" s="443"/>
      <c r="V160" s="155">
        <f t="shared" si="90"/>
        <v>8</v>
      </c>
      <c r="W160" s="440" t="str">
        <f t="shared" si="98"/>
        <v>Oportuno</v>
      </c>
      <c r="X160" s="155">
        <f t="shared" si="91"/>
        <v>-41910</v>
      </c>
      <c r="Y160" s="445"/>
    </row>
    <row r="161" spans="1:25" ht="69" hidden="1" customHeight="1" x14ac:dyDescent="0.2">
      <c r="A161" s="630">
        <f t="shared" si="82"/>
        <v>158</v>
      </c>
      <c r="B161" s="43" t="s">
        <v>53</v>
      </c>
      <c r="C161" s="197" t="s">
        <v>496</v>
      </c>
      <c r="D161" s="724"/>
      <c r="E161" s="724"/>
      <c r="F161" s="45" t="s">
        <v>63</v>
      </c>
      <c r="G161" s="45"/>
      <c r="H161" s="46">
        <v>42311</v>
      </c>
      <c r="I161" s="197" t="s">
        <v>750</v>
      </c>
      <c r="J161" s="729"/>
      <c r="K161" s="736"/>
      <c r="L161" s="727"/>
      <c r="M161" s="46">
        <v>42318</v>
      </c>
      <c r="N161" s="441" t="s">
        <v>54</v>
      </c>
      <c r="O161" s="441" t="s">
        <v>469</v>
      </c>
      <c r="P161" s="535" t="s">
        <v>751</v>
      </c>
      <c r="Q161" s="46">
        <v>42522</v>
      </c>
      <c r="R161" s="197"/>
      <c r="S161" s="443" t="s">
        <v>55</v>
      </c>
      <c r="T161" s="46"/>
      <c r="U161" s="443"/>
      <c r="V161" s="155">
        <f t="shared" si="90"/>
        <v>8</v>
      </c>
      <c r="W161" s="440" t="str">
        <f t="shared" si="98"/>
        <v>Oportuno</v>
      </c>
      <c r="X161" s="155">
        <f t="shared" si="91"/>
        <v>-41910</v>
      </c>
      <c r="Y161" s="445"/>
    </row>
    <row r="162" spans="1:25" ht="102" hidden="1" customHeight="1" x14ac:dyDescent="0.2">
      <c r="A162" s="630">
        <f t="shared" si="82"/>
        <v>159</v>
      </c>
      <c r="B162" s="43" t="s">
        <v>2</v>
      </c>
      <c r="C162" s="233" t="s">
        <v>2</v>
      </c>
      <c r="D162" s="226" t="s">
        <v>45</v>
      </c>
      <c r="E162" s="226" t="s">
        <v>0</v>
      </c>
      <c r="F162" s="305" t="s">
        <v>62</v>
      </c>
      <c r="G162" s="45"/>
      <c r="H162" s="46">
        <v>42234</v>
      </c>
      <c r="I162" s="305" t="s">
        <v>438</v>
      </c>
      <c r="J162" s="229" t="s">
        <v>82</v>
      </c>
      <c r="K162" s="229" t="s">
        <v>141</v>
      </c>
      <c r="L162" s="394" t="s">
        <v>83</v>
      </c>
      <c r="M162" s="46">
        <v>42243</v>
      </c>
      <c r="N162" s="384" t="s">
        <v>54</v>
      </c>
      <c r="O162" s="393" t="s">
        <v>436</v>
      </c>
      <c r="P162" s="535" t="s">
        <v>440</v>
      </c>
      <c r="Q162" s="352">
        <v>42248</v>
      </c>
      <c r="R162" s="197" t="s">
        <v>752</v>
      </c>
      <c r="S162" s="385" t="s">
        <v>55</v>
      </c>
      <c r="T162" s="46"/>
      <c r="U162" s="385"/>
      <c r="V162" s="506"/>
      <c r="W162" s="505"/>
      <c r="X162" s="155">
        <f t="shared" ref="X162" si="99">DAYS360(Q162,T162,0)+1</f>
        <v>-41640</v>
      </c>
      <c r="Y162" s="387" t="s">
        <v>417</v>
      </c>
    </row>
    <row r="163" spans="1:25" ht="117.75" hidden="1" customHeight="1" x14ac:dyDescent="0.2">
      <c r="A163" s="630">
        <f t="shared" si="82"/>
        <v>160</v>
      </c>
      <c r="B163" s="43" t="s">
        <v>2</v>
      </c>
      <c r="C163" s="233" t="s">
        <v>2</v>
      </c>
      <c r="D163" s="226" t="s">
        <v>45</v>
      </c>
      <c r="E163" s="226" t="s">
        <v>0</v>
      </c>
      <c r="F163" s="305" t="s">
        <v>62</v>
      </c>
      <c r="G163" s="45"/>
      <c r="H163" s="46">
        <v>42234</v>
      </c>
      <c r="I163" s="305" t="s">
        <v>439</v>
      </c>
      <c r="J163" s="229" t="s">
        <v>82</v>
      </c>
      <c r="K163" s="229" t="s">
        <v>141</v>
      </c>
      <c r="L163" s="394" t="s">
        <v>83</v>
      </c>
      <c r="M163" s="46">
        <v>42243</v>
      </c>
      <c r="N163" s="353" t="s">
        <v>54</v>
      </c>
      <c r="O163" s="393" t="s">
        <v>436</v>
      </c>
      <c r="P163" s="535" t="s">
        <v>441</v>
      </c>
      <c r="Q163" s="352">
        <v>42369</v>
      </c>
      <c r="R163" s="475" t="s">
        <v>495</v>
      </c>
      <c r="S163" s="354" t="s">
        <v>55</v>
      </c>
      <c r="T163" s="46"/>
      <c r="U163" s="354"/>
      <c r="V163" s="506"/>
      <c r="W163" s="505"/>
      <c r="X163" s="155">
        <f t="shared" ref="X163:X164" si="100">DAYS360(Q163,T163,0)+1</f>
        <v>-41759</v>
      </c>
      <c r="Y163" s="366" t="s">
        <v>417</v>
      </c>
    </row>
    <row r="164" spans="1:25" ht="157.5" hidden="1" customHeight="1" x14ac:dyDescent="0.2">
      <c r="A164" s="630">
        <f t="shared" si="82"/>
        <v>161</v>
      </c>
      <c r="B164" s="43" t="s">
        <v>2</v>
      </c>
      <c r="C164" s="233" t="s">
        <v>2</v>
      </c>
      <c r="D164" s="722" t="s">
        <v>45</v>
      </c>
      <c r="E164" s="722" t="s">
        <v>0</v>
      </c>
      <c r="F164" s="305" t="s">
        <v>62</v>
      </c>
      <c r="G164" s="45"/>
      <c r="H164" s="46">
        <v>42234</v>
      </c>
      <c r="I164" s="305" t="s">
        <v>442</v>
      </c>
      <c r="J164" s="734" t="s">
        <v>82</v>
      </c>
      <c r="K164" s="734" t="s">
        <v>141</v>
      </c>
      <c r="L164" s="725" t="s">
        <v>83</v>
      </c>
      <c r="M164" s="46">
        <v>42243</v>
      </c>
      <c r="N164" s="391" t="s">
        <v>109</v>
      </c>
      <c r="O164" s="393" t="s">
        <v>436</v>
      </c>
      <c r="P164" s="535" t="s">
        <v>443</v>
      </c>
      <c r="Q164" s="352">
        <v>42369</v>
      </c>
      <c r="R164" s="197" t="s">
        <v>753</v>
      </c>
      <c r="S164" s="390" t="s">
        <v>55</v>
      </c>
      <c r="T164" s="46"/>
      <c r="U164" s="390"/>
      <c r="V164" s="732">
        <f t="shared" ref="V164:V173" si="101">DAYS360(H164,M164,0)+1</f>
        <v>10</v>
      </c>
      <c r="W164" s="755" t="str">
        <f t="shared" ref="W164:W173" si="102">IF(V164&gt;15,"Inoportuno",(IF(V164&lt;0,"No ha formulado PM","Oportuno")))</f>
        <v>Oportuno</v>
      </c>
      <c r="X164" s="155">
        <f t="shared" si="100"/>
        <v>-41759</v>
      </c>
      <c r="Y164" s="392" t="s">
        <v>417</v>
      </c>
    </row>
    <row r="165" spans="1:25" ht="117.75" hidden="1" customHeight="1" x14ac:dyDescent="0.2">
      <c r="A165" s="630">
        <f t="shared" si="82"/>
        <v>162</v>
      </c>
      <c r="B165" s="43" t="s">
        <v>2</v>
      </c>
      <c r="C165" s="233" t="s">
        <v>2</v>
      </c>
      <c r="D165" s="724"/>
      <c r="E165" s="724"/>
      <c r="F165" s="305" t="s">
        <v>62</v>
      </c>
      <c r="G165" s="45"/>
      <c r="H165" s="46">
        <v>42234</v>
      </c>
      <c r="I165" s="305" t="s">
        <v>442</v>
      </c>
      <c r="J165" s="736"/>
      <c r="K165" s="736"/>
      <c r="L165" s="727"/>
      <c r="M165" s="46">
        <v>42243</v>
      </c>
      <c r="N165" s="384" t="s">
        <v>54</v>
      </c>
      <c r="O165" s="393" t="s">
        <v>436</v>
      </c>
      <c r="P165" s="535" t="s">
        <v>444</v>
      </c>
      <c r="Q165" s="352">
        <v>42369</v>
      </c>
      <c r="R165" s="197"/>
      <c r="S165" s="385" t="s">
        <v>55</v>
      </c>
      <c r="T165" s="46"/>
      <c r="U165" s="385"/>
      <c r="V165" s="733"/>
      <c r="W165" s="756"/>
      <c r="X165" s="155">
        <f t="shared" ref="X165" si="103">DAYS360(Q165,T165,0)+1</f>
        <v>-41759</v>
      </c>
      <c r="Y165" s="387" t="s">
        <v>417</v>
      </c>
    </row>
    <row r="166" spans="1:25" s="408" customFormat="1" ht="64.5" hidden="1" customHeight="1" x14ac:dyDescent="0.2">
      <c r="A166" s="630">
        <f t="shared" si="82"/>
        <v>163</v>
      </c>
      <c r="B166" s="326" t="s">
        <v>66</v>
      </c>
      <c r="C166" s="276" t="s">
        <v>754</v>
      </c>
      <c r="D166" s="383" t="s">
        <v>45</v>
      </c>
      <c r="E166" s="18" t="s">
        <v>0</v>
      </c>
      <c r="F166" s="305" t="s">
        <v>62</v>
      </c>
      <c r="G166" s="403"/>
      <c r="H166" s="357">
        <v>42277</v>
      </c>
      <c r="I166" s="276" t="s">
        <v>450</v>
      </c>
      <c r="J166" s="383" t="s">
        <v>82</v>
      </c>
      <c r="K166" s="404" t="s">
        <v>141</v>
      </c>
      <c r="L166" s="405" t="s">
        <v>83</v>
      </c>
      <c r="M166" s="357">
        <v>42291</v>
      </c>
      <c r="N166" s="383" t="s">
        <v>109</v>
      </c>
      <c r="O166" s="383" t="s">
        <v>461</v>
      </c>
      <c r="P166" s="535" t="s">
        <v>755</v>
      </c>
      <c r="Q166" s="357">
        <v>42460</v>
      </c>
      <c r="R166" s="333"/>
      <c r="S166" s="402" t="s">
        <v>55</v>
      </c>
      <c r="T166" s="357"/>
      <c r="U166" s="402"/>
      <c r="V166" s="406">
        <f t="shared" si="101"/>
        <v>15</v>
      </c>
      <c r="W166" s="407" t="str">
        <f t="shared" si="102"/>
        <v>Oportuno</v>
      </c>
      <c r="X166" s="406">
        <f t="shared" ref="X166:X173" si="104">DAYS360(Q166,T166,0)+1</f>
        <v>-41849</v>
      </c>
      <c r="Y166" s="399" t="s">
        <v>417</v>
      </c>
    </row>
    <row r="167" spans="1:25" s="408" customFormat="1" ht="58.5" hidden="1" customHeight="1" x14ac:dyDescent="0.2">
      <c r="A167" s="630">
        <f t="shared" si="82"/>
        <v>164</v>
      </c>
      <c r="B167" s="326" t="s">
        <v>66</v>
      </c>
      <c r="C167" s="276" t="s">
        <v>754</v>
      </c>
      <c r="D167" s="383" t="s">
        <v>45</v>
      </c>
      <c r="E167" s="18" t="s">
        <v>0</v>
      </c>
      <c r="F167" s="305" t="s">
        <v>62</v>
      </c>
      <c r="G167" s="403"/>
      <c r="H167" s="357">
        <v>42277</v>
      </c>
      <c r="I167" s="276" t="s">
        <v>451</v>
      </c>
      <c r="J167" s="383" t="s">
        <v>460</v>
      </c>
      <c r="K167" s="404"/>
      <c r="L167" s="405" t="s">
        <v>84</v>
      </c>
      <c r="M167" s="357"/>
      <c r="N167" s="383"/>
      <c r="O167" s="383"/>
      <c r="P167" s="535"/>
      <c r="Q167" s="357"/>
      <c r="R167" s="333"/>
      <c r="S167" s="402"/>
      <c r="T167" s="357"/>
      <c r="U167" s="402"/>
      <c r="V167" s="406">
        <f t="shared" ref="V167:V171" si="105">DAYS360(H167,M167,0)+1</f>
        <v>-41669</v>
      </c>
      <c r="W167" s="407" t="str">
        <f t="shared" ref="W167:W171" si="106">IF(V167&gt;15,"Inoportuno",(IF(V167&lt;0,"No ha formulado PM","Oportuno")))</f>
        <v>No ha formulado PM</v>
      </c>
      <c r="X167" s="406">
        <f t="shared" ref="X167:X171" si="107">DAYS360(Q167,T167,0)+1</f>
        <v>1</v>
      </c>
      <c r="Y167" s="399" t="s">
        <v>417</v>
      </c>
    </row>
    <row r="168" spans="1:25" s="408" customFormat="1" ht="58.5" hidden="1" customHeight="1" x14ac:dyDescent="0.2">
      <c r="A168" s="630">
        <f t="shared" si="82"/>
        <v>165</v>
      </c>
      <c r="B168" s="326" t="s">
        <v>66</v>
      </c>
      <c r="C168" s="276" t="s">
        <v>754</v>
      </c>
      <c r="D168" s="383" t="s">
        <v>45</v>
      </c>
      <c r="E168" s="18" t="s">
        <v>0</v>
      </c>
      <c r="F168" s="305" t="s">
        <v>62</v>
      </c>
      <c r="G168" s="403"/>
      <c r="H168" s="357">
        <v>42277</v>
      </c>
      <c r="I168" s="276" t="s">
        <v>452</v>
      </c>
      <c r="J168" s="403" t="s">
        <v>460</v>
      </c>
      <c r="K168" s="404"/>
      <c r="L168" s="405" t="s">
        <v>84</v>
      </c>
      <c r="M168" s="357"/>
      <c r="N168" s="383"/>
      <c r="O168" s="383"/>
      <c r="P168" s="535"/>
      <c r="Q168" s="357"/>
      <c r="R168" s="333"/>
      <c r="S168" s="402"/>
      <c r="T168" s="357"/>
      <c r="U168" s="402"/>
      <c r="V168" s="406">
        <f t="shared" si="105"/>
        <v>-41669</v>
      </c>
      <c r="W168" s="407" t="str">
        <f t="shared" si="106"/>
        <v>No ha formulado PM</v>
      </c>
      <c r="X168" s="406">
        <f t="shared" si="107"/>
        <v>1</v>
      </c>
      <c r="Y168" s="399" t="s">
        <v>417</v>
      </c>
    </row>
    <row r="169" spans="1:25" s="408" customFormat="1" ht="58.5" hidden="1" customHeight="1" x14ac:dyDescent="0.2">
      <c r="A169" s="630">
        <f t="shared" si="82"/>
        <v>166</v>
      </c>
      <c r="B169" s="326" t="s">
        <v>66</v>
      </c>
      <c r="C169" s="276" t="s">
        <v>754</v>
      </c>
      <c r="D169" s="383" t="s">
        <v>45</v>
      </c>
      <c r="E169" s="18" t="s">
        <v>0</v>
      </c>
      <c r="F169" s="305" t="s">
        <v>62</v>
      </c>
      <c r="G169" s="403"/>
      <c r="H169" s="357">
        <v>42277</v>
      </c>
      <c r="I169" s="276" t="s">
        <v>453</v>
      </c>
      <c r="J169" s="403" t="s">
        <v>460</v>
      </c>
      <c r="K169" s="404"/>
      <c r="L169" s="405" t="s">
        <v>84</v>
      </c>
      <c r="M169" s="357"/>
      <c r="N169" s="383"/>
      <c r="O169" s="383"/>
      <c r="P169" s="535"/>
      <c r="Q169" s="357"/>
      <c r="R169" s="333"/>
      <c r="S169" s="402"/>
      <c r="T169" s="357"/>
      <c r="U169" s="402"/>
      <c r="V169" s="406">
        <f t="shared" si="105"/>
        <v>-41669</v>
      </c>
      <c r="W169" s="407" t="str">
        <f t="shared" si="106"/>
        <v>No ha formulado PM</v>
      </c>
      <c r="X169" s="406">
        <f t="shared" si="107"/>
        <v>1</v>
      </c>
      <c r="Y169" s="399" t="s">
        <v>417</v>
      </c>
    </row>
    <row r="170" spans="1:25" s="408" customFormat="1" ht="58.5" hidden="1" customHeight="1" x14ac:dyDescent="0.2">
      <c r="A170" s="630">
        <f t="shared" si="82"/>
        <v>167</v>
      </c>
      <c r="B170" s="326" t="s">
        <v>66</v>
      </c>
      <c r="C170" s="276" t="s">
        <v>754</v>
      </c>
      <c r="D170" s="383" t="s">
        <v>45</v>
      </c>
      <c r="E170" s="18" t="s">
        <v>0</v>
      </c>
      <c r="F170" s="305" t="s">
        <v>62</v>
      </c>
      <c r="G170" s="403"/>
      <c r="H170" s="357">
        <v>42277</v>
      </c>
      <c r="I170" s="276" t="s">
        <v>454</v>
      </c>
      <c r="J170" s="403" t="s">
        <v>460</v>
      </c>
      <c r="K170" s="404"/>
      <c r="L170" s="405" t="s">
        <v>84</v>
      </c>
      <c r="M170" s="357"/>
      <c r="N170" s="383"/>
      <c r="O170" s="383"/>
      <c r="P170" s="535"/>
      <c r="Q170" s="357"/>
      <c r="R170" s="333"/>
      <c r="S170" s="402"/>
      <c r="T170" s="357"/>
      <c r="U170" s="402"/>
      <c r="V170" s="406">
        <f t="shared" si="105"/>
        <v>-41669</v>
      </c>
      <c r="W170" s="407" t="str">
        <f t="shared" si="106"/>
        <v>No ha formulado PM</v>
      </c>
      <c r="X170" s="406">
        <f t="shared" si="107"/>
        <v>1</v>
      </c>
      <c r="Y170" s="399" t="s">
        <v>417</v>
      </c>
    </row>
    <row r="171" spans="1:25" s="408" customFormat="1" ht="98.25" hidden="1" customHeight="1" x14ac:dyDescent="0.2">
      <c r="A171" s="630">
        <f t="shared" si="82"/>
        <v>168</v>
      </c>
      <c r="B171" s="326" t="s">
        <v>66</v>
      </c>
      <c r="C171" s="276" t="s">
        <v>754</v>
      </c>
      <c r="D171" s="383" t="s">
        <v>45</v>
      </c>
      <c r="E171" s="18" t="s">
        <v>0</v>
      </c>
      <c r="F171" s="305" t="s">
        <v>62</v>
      </c>
      <c r="G171" s="403"/>
      <c r="H171" s="357">
        <v>42277</v>
      </c>
      <c r="I171" s="276" t="s">
        <v>756</v>
      </c>
      <c r="J171" s="403" t="s">
        <v>460</v>
      </c>
      <c r="K171" s="404"/>
      <c r="L171" s="405" t="s">
        <v>84</v>
      </c>
      <c r="M171" s="357"/>
      <c r="N171" s="383"/>
      <c r="O171" s="383"/>
      <c r="P171" s="535"/>
      <c r="Q171" s="357"/>
      <c r="R171" s="333"/>
      <c r="S171" s="402"/>
      <c r="T171" s="357"/>
      <c r="U171" s="402"/>
      <c r="V171" s="406">
        <f t="shared" si="105"/>
        <v>-41669</v>
      </c>
      <c r="W171" s="407" t="str">
        <f t="shared" si="106"/>
        <v>No ha formulado PM</v>
      </c>
      <c r="X171" s="406">
        <f t="shared" si="107"/>
        <v>1</v>
      </c>
      <c r="Y171" s="399" t="s">
        <v>417</v>
      </c>
    </row>
    <row r="172" spans="1:25" ht="71.25" hidden="1" customHeight="1" x14ac:dyDescent="0.2">
      <c r="A172" s="630">
        <f t="shared" si="82"/>
        <v>169</v>
      </c>
      <c r="B172" s="326" t="s">
        <v>66</v>
      </c>
      <c r="C172" s="276" t="s">
        <v>754</v>
      </c>
      <c r="D172" s="383" t="s">
        <v>45</v>
      </c>
      <c r="E172" s="18" t="s">
        <v>0</v>
      </c>
      <c r="F172" s="305" t="s">
        <v>62</v>
      </c>
      <c r="G172" s="403"/>
      <c r="H172" s="357">
        <v>42277</v>
      </c>
      <c r="I172" s="197" t="s">
        <v>455</v>
      </c>
      <c r="J172" s="403" t="s">
        <v>460</v>
      </c>
      <c r="K172" s="339"/>
      <c r="L172" s="405" t="s">
        <v>84</v>
      </c>
      <c r="M172" s="46"/>
      <c r="N172" s="338"/>
      <c r="O172" s="338"/>
      <c r="P172" s="535"/>
      <c r="Q172" s="46"/>
      <c r="R172" s="154"/>
      <c r="S172" s="340"/>
      <c r="T172" s="46"/>
      <c r="U172" s="340"/>
      <c r="V172" s="155">
        <f t="shared" si="101"/>
        <v>-41669</v>
      </c>
      <c r="W172" s="398" t="str">
        <f t="shared" si="102"/>
        <v>No ha formulado PM</v>
      </c>
      <c r="X172" s="155">
        <f t="shared" si="104"/>
        <v>1</v>
      </c>
      <c r="Y172" s="364"/>
    </row>
    <row r="173" spans="1:25" ht="74.25" hidden="1" customHeight="1" x14ac:dyDescent="0.2">
      <c r="A173" s="630">
        <f t="shared" si="82"/>
        <v>170</v>
      </c>
      <c r="B173" s="326" t="s">
        <v>66</v>
      </c>
      <c r="C173" s="276" t="s">
        <v>754</v>
      </c>
      <c r="D173" s="383" t="s">
        <v>45</v>
      </c>
      <c r="E173" s="18" t="s">
        <v>0</v>
      </c>
      <c r="F173" s="305" t="s">
        <v>62</v>
      </c>
      <c r="G173" s="403"/>
      <c r="H173" s="357">
        <v>42277</v>
      </c>
      <c r="I173" s="197" t="s">
        <v>456</v>
      </c>
      <c r="J173" s="403" t="s">
        <v>460</v>
      </c>
      <c r="K173" s="544"/>
      <c r="L173" s="405" t="s">
        <v>84</v>
      </c>
      <c r="M173" s="46"/>
      <c r="N173" s="338"/>
      <c r="O173" s="338"/>
      <c r="P173" s="535"/>
      <c r="Q173" s="46"/>
      <c r="R173" s="154"/>
      <c r="S173" s="340"/>
      <c r="T173" s="46"/>
      <c r="U173" s="340"/>
      <c r="V173" s="155">
        <f t="shared" si="101"/>
        <v>-41669</v>
      </c>
      <c r="W173" s="398" t="str">
        <f t="shared" si="102"/>
        <v>No ha formulado PM</v>
      </c>
      <c r="X173" s="155">
        <f t="shared" si="104"/>
        <v>1</v>
      </c>
      <c r="Y173" s="364"/>
    </row>
    <row r="174" spans="1:25" ht="30" hidden="1" customHeight="1" x14ac:dyDescent="0.2">
      <c r="A174" s="630">
        <f t="shared" si="82"/>
        <v>171</v>
      </c>
      <c r="B174" s="326" t="s">
        <v>324</v>
      </c>
      <c r="C174" s="276" t="s">
        <v>578</v>
      </c>
      <c r="D174" s="383" t="s">
        <v>50</v>
      </c>
      <c r="E174" s="18" t="s">
        <v>0</v>
      </c>
      <c r="F174" s="305" t="s">
        <v>60</v>
      </c>
      <c r="G174" s="403"/>
      <c r="H174" s="357">
        <v>42298</v>
      </c>
      <c r="I174" s="197" t="s">
        <v>757</v>
      </c>
      <c r="J174" s="403" t="s">
        <v>57</v>
      </c>
      <c r="K174" s="488"/>
      <c r="L174" s="405" t="s">
        <v>84</v>
      </c>
      <c r="M174" s="46"/>
      <c r="N174" s="486"/>
      <c r="O174" s="486"/>
      <c r="P174" s="535"/>
      <c r="Q174" s="46"/>
      <c r="R174" s="154"/>
      <c r="S174" s="485"/>
      <c r="T174" s="46"/>
      <c r="U174" s="485"/>
      <c r="V174" s="155">
        <f t="shared" ref="V174" si="108">DAYS360(H174,M174,0)+1</f>
        <v>-41690</v>
      </c>
      <c r="W174" s="489" t="str">
        <f t="shared" ref="W174" si="109">IF(V174&gt;15,"Inoportuno",(IF(V174&lt;0,"No ha formulado PM","Oportuno")))</f>
        <v>No ha formulado PM</v>
      </c>
      <c r="X174" s="155">
        <f t="shared" ref="X174" si="110">DAYS360(Q174,T174,0)+1</f>
        <v>1</v>
      </c>
      <c r="Y174" s="491"/>
    </row>
    <row r="175" spans="1:25" ht="31.5" hidden="1" customHeight="1" x14ac:dyDescent="0.2">
      <c r="A175" s="630">
        <f t="shared" si="82"/>
        <v>172</v>
      </c>
      <c r="B175" s="326" t="s">
        <v>324</v>
      </c>
      <c r="C175" s="276" t="s">
        <v>578</v>
      </c>
      <c r="D175" s="383" t="s">
        <v>50</v>
      </c>
      <c r="E175" s="18" t="s">
        <v>0</v>
      </c>
      <c r="F175" s="305" t="s">
        <v>60</v>
      </c>
      <c r="G175" s="403"/>
      <c r="H175" s="357">
        <v>42298</v>
      </c>
      <c r="I175" s="197" t="s">
        <v>637</v>
      </c>
      <c r="J175" s="403" t="s">
        <v>57</v>
      </c>
      <c r="K175" s="488"/>
      <c r="L175" s="405" t="s">
        <v>84</v>
      </c>
      <c r="M175" s="46"/>
      <c r="N175" s="486"/>
      <c r="O175" s="486"/>
      <c r="P175" s="535"/>
      <c r="Q175" s="46"/>
      <c r="R175" s="154"/>
      <c r="S175" s="485"/>
      <c r="T175" s="46"/>
      <c r="U175" s="485"/>
      <c r="V175" s="155"/>
      <c r="W175" s="489"/>
      <c r="X175" s="155"/>
      <c r="Y175" s="491"/>
    </row>
    <row r="176" spans="1:25" ht="51.75" hidden="1" customHeight="1" x14ac:dyDescent="0.2">
      <c r="A176" s="630">
        <f t="shared" si="82"/>
        <v>173</v>
      </c>
      <c r="B176" s="326" t="s">
        <v>324</v>
      </c>
      <c r="C176" s="276" t="s">
        <v>578</v>
      </c>
      <c r="D176" s="383" t="s">
        <v>50</v>
      </c>
      <c r="E176" s="18" t="s">
        <v>0</v>
      </c>
      <c r="F176" s="305" t="s">
        <v>60</v>
      </c>
      <c r="G176" s="403"/>
      <c r="H176" s="357">
        <v>42298</v>
      </c>
      <c r="I176" s="197" t="s">
        <v>579</v>
      </c>
      <c r="J176" s="403" t="s">
        <v>57</v>
      </c>
      <c r="K176" s="488"/>
      <c r="L176" s="405" t="s">
        <v>84</v>
      </c>
      <c r="M176" s="46"/>
      <c r="N176" s="486"/>
      <c r="O176" s="486"/>
      <c r="P176" s="535"/>
      <c r="Q176" s="46"/>
      <c r="R176" s="154"/>
      <c r="S176" s="485"/>
      <c r="T176" s="46"/>
      <c r="U176" s="485"/>
      <c r="V176" s="155"/>
      <c r="W176" s="489"/>
      <c r="X176" s="155"/>
      <c r="Y176" s="491"/>
    </row>
    <row r="177" spans="1:25" ht="33" hidden="1" customHeight="1" x14ac:dyDescent="0.2">
      <c r="A177" s="630">
        <f t="shared" si="82"/>
        <v>174</v>
      </c>
      <c r="B177" s="326" t="s">
        <v>324</v>
      </c>
      <c r="C177" s="276" t="s">
        <v>578</v>
      </c>
      <c r="D177" s="383" t="s">
        <v>50</v>
      </c>
      <c r="E177" s="18" t="s">
        <v>0</v>
      </c>
      <c r="F177" s="305" t="s">
        <v>60</v>
      </c>
      <c r="G177" s="403"/>
      <c r="H177" s="357">
        <v>42298</v>
      </c>
      <c r="I177" s="197" t="s">
        <v>580</v>
      </c>
      <c r="J177" s="403" t="s">
        <v>57</v>
      </c>
      <c r="K177" s="488"/>
      <c r="L177" s="405" t="s">
        <v>84</v>
      </c>
      <c r="M177" s="46"/>
      <c r="N177" s="486"/>
      <c r="O177" s="486"/>
      <c r="P177" s="535"/>
      <c r="Q177" s="46"/>
      <c r="R177" s="154"/>
      <c r="S177" s="485"/>
      <c r="T177" s="46"/>
      <c r="U177" s="485"/>
      <c r="V177" s="155"/>
      <c r="W177" s="489"/>
      <c r="X177" s="155"/>
      <c r="Y177" s="491"/>
    </row>
    <row r="178" spans="1:25" ht="23.25" hidden="1" customHeight="1" x14ac:dyDescent="0.2">
      <c r="A178" s="630">
        <f t="shared" si="82"/>
        <v>175</v>
      </c>
      <c r="B178" s="326" t="s">
        <v>324</v>
      </c>
      <c r="C178" s="276" t="s">
        <v>578</v>
      </c>
      <c r="D178" s="383" t="s">
        <v>50</v>
      </c>
      <c r="E178" s="18" t="s">
        <v>0</v>
      </c>
      <c r="F178" s="305" t="s">
        <v>60</v>
      </c>
      <c r="G178" s="403"/>
      <c r="H178" s="357">
        <v>42298</v>
      </c>
      <c r="I178" s="197" t="s">
        <v>581</v>
      </c>
      <c r="J178" s="403" t="s">
        <v>57</v>
      </c>
      <c r="K178" s="488"/>
      <c r="L178" s="405" t="s">
        <v>84</v>
      </c>
      <c r="M178" s="46"/>
      <c r="N178" s="486"/>
      <c r="O178" s="486"/>
      <c r="P178" s="535"/>
      <c r="Q178" s="46"/>
      <c r="R178" s="154"/>
      <c r="S178" s="485"/>
      <c r="T178" s="46"/>
      <c r="U178" s="485"/>
      <c r="V178" s="155"/>
      <c r="W178" s="489"/>
      <c r="X178" s="155"/>
      <c r="Y178" s="491"/>
    </row>
    <row r="179" spans="1:25" ht="58.5" hidden="1" customHeight="1" x14ac:dyDescent="0.2">
      <c r="A179" s="630">
        <f t="shared" si="82"/>
        <v>176</v>
      </c>
      <c r="B179" s="43" t="s">
        <v>324</v>
      </c>
      <c r="C179" s="197" t="s">
        <v>472</v>
      </c>
      <c r="D179" s="446" t="s">
        <v>50</v>
      </c>
      <c r="E179" s="447" t="s">
        <v>0</v>
      </c>
      <c r="F179" s="448" t="s">
        <v>60</v>
      </c>
      <c r="G179" s="45"/>
      <c r="H179" s="46">
        <v>42323</v>
      </c>
      <c r="I179" s="393" t="s">
        <v>473</v>
      </c>
      <c r="J179" s="448" t="s">
        <v>82</v>
      </c>
      <c r="K179" s="434" t="s">
        <v>141</v>
      </c>
      <c r="L179" s="168" t="s">
        <v>83</v>
      </c>
      <c r="M179" s="46">
        <v>42331</v>
      </c>
      <c r="N179" s="436" t="s">
        <v>54</v>
      </c>
      <c r="O179" s="455" t="s">
        <v>475</v>
      </c>
      <c r="P179" s="535" t="s">
        <v>476</v>
      </c>
      <c r="Q179" s="456" t="s">
        <v>477</v>
      </c>
      <c r="R179" s="154"/>
      <c r="S179" s="435" t="s">
        <v>55</v>
      </c>
      <c r="T179" s="46"/>
      <c r="U179" s="435"/>
      <c r="V179" s="155">
        <f t="shared" ref="V179" si="111">DAYS360(H179,M179,0)+1</f>
        <v>9</v>
      </c>
      <c r="W179" s="437" t="str">
        <f t="shared" ref="W179" si="112">IF(V179&gt;15,"Inoportuno",(IF(V179&lt;0,"No ha formulado PM","Oportuno")))</f>
        <v>Oportuno</v>
      </c>
      <c r="X179" s="155" t="e">
        <f t="shared" ref="X179" si="113">DAYS360(Q179,T179,0)+1</f>
        <v>#VALUE!</v>
      </c>
      <c r="Y179" s="438"/>
    </row>
    <row r="180" spans="1:25" ht="58.5" hidden="1" customHeight="1" x14ac:dyDescent="0.2">
      <c r="A180" s="630">
        <f t="shared" si="82"/>
        <v>177</v>
      </c>
      <c r="B180" s="43" t="s">
        <v>324</v>
      </c>
      <c r="C180" s="197" t="s">
        <v>472</v>
      </c>
      <c r="D180" s="446" t="s">
        <v>50</v>
      </c>
      <c r="E180" s="447" t="s">
        <v>0</v>
      </c>
      <c r="F180" s="448" t="s">
        <v>60</v>
      </c>
      <c r="G180" s="45"/>
      <c r="H180" s="46">
        <v>42323</v>
      </c>
      <c r="I180" s="393" t="s">
        <v>474</v>
      </c>
      <c r="J180" s="448" t="s">
        <v>82</v>
      </c>
      <c r="K180" s="434" t="s">
        <v>141</v>
      </c>
      <c r="L180" s="168" t="s">
        <v>83</v>
      </c>
      <c r="M180" s="46">
        <v>42331</v>
      </c>
      <c r="N180" s="436" t="s">
        <v>54</v>
      </c>
      <c r="O180" s="457" t="s">
        <v>164</v>
      </c>
      <c r="P180" s="535" t="s">
        <v>478</v>
      </c>
      <c r="Q180" s="46">
        <v>42369</v>
      </c>
      <c r="R180" s="154"/>
      <c r="S180" s="435" t="s">
        <v>55</v>
      </c>
      <c r="T180" s="46"/>
      <c r="U180" s="435"/>
      <c r="V180" s="155">
        <f t="shared" ref="V180:V257" si="114">DAYS360(H180,M180,0)+1</f>
        <v>9</v>
      </c>
      <c r="W180" s="437" t="str">
        <f t="shared" ref="W180:W257" si="115">IF(V180&gt;15,"Inoportuno",(IF(V180&lt;0,"No ha formulado PM","Oportuno")))</f>
        <v>Oportuno</v>
      </c>
      <c r="X180" s="155">
        <f t="shared" ref="X180:X257" si="116">DAYS360(Q180,T180,0)+1</f>
        <v>-41759</v>
      </c>
      <c r="Y180" s="438"/>
    </row>
    <row r="181" spans="1:25" ht="87.75" hidden="1" customHeight="1" x14ac:dyDescent="0.2">
      <c r="A181" s="630">
        <f t="shared" si="82"/>
        <v>178</v>
      </c>
      <c r="B181" s="43" t="s">
        <v>65</v>
      </c>
      <c r="C181" s="197" t="s">
        <v>480</v>
      </c>
      <c r="D181" s="722" t="s">
        <v>45</v>
      </c>
      <c r="E181" s="722" t="s">
        <v>0</v>
      </c>
      <c r="F181" s="450" t="s">
        <v>64</v>
      </c>
      <c r="G181" s="450"/>
      <c r="H181" s="46">
        <v>42341</v>
      </c>
      <c r="I181" s="393" t="s">
        <v>479</v>
      </c>
      <c r="J181" s="728" t="s">
        <v>460</v>
      </c>
      <c r="K181" s="730" t="s">
        <v>141</v>
      </c>
      <c r="L181" s="725" t="s">
        <v>83</v>
      </c>
      <c r="M181" s="46">
        <v>42410</v>
      </c>
      <c r="N181" s="449" t="s">
        <v>109</v>
      </c>
      <c r="O181" s="570" t="s">
        <v>800</v>
      </c>
      <c r="P181" s="344" t="s">
        <v>802</v>
      </c>
      <c r="Q181" s="46">
        <v>42444</v>
      </c>
      <c r="R181" s="455"/>
      <c r="S181" s="452" t="s">
        <v>55</v>
      </c>
      <c r="T181" s="46"/>
      <c r="U181" s="452"/>
      <c r="V181" s="155">
        <f t="shared" si="114"/>
        <v>68</v>
      </c>
      <c r="W181" s="479" t="str">
        <f t="shared" ref="W181:W204" si="117">IF(V181&gt;7,"Inoportuno",(IF(V181&lt;0,"No ha formulado PM","Oportuno")))</f>
        <v>Inoportuno</v>
      </c>
      <c r="X181" s="155">
        <f t="shared" si="116"/>
        <v>-41834</v>
      </c>
      <c r="Y181" s="454"/>
    </row>
    <row r="182" spans="1:25" ht="87.75" hidden="1" customHeight="1" x14ac:dyDescent="0.2">
      <c r="A182" s="630">
        <f t="shared" si="82"/>
        <v>179</v>
      </c>
      <c r="B182" s="43" t="s">
        <v>65</v>
      </c>
      <c r="C182" s="197" t="s">
        <v>480</v>
      </c>
      <c r="D182" s="724"/>
      <c r="E182" s="724"/>
      <c r="F182" s="562" t="s">
        <v>64</v>
      </c>
      <c r="G182" s="562"/>
      <c r="H182" s="46">
        <v>42341</v>
      </c>
      <c r="I182" s="393" t="s">
        <v>479</v>
      </c>
      <c r="J182" s="729"/>
      <c r="K182" s="731"/>
      <c r="L182" s="727"/>
      <c r="M182" s="46">
        <v>42410</v>
      </c>
      <c r="N182" s="561" t="s">
        <v>58</v>
      </c>
      <c r="O182" s="570" t="s">
        <v>801</v>
      </c>
      <c r="P182" s="344" t="s">
        <v>803</v>
      </c>
      <c r="Q182" s="46">
        <v>42735</v>
      </c>
      <c r="R182" s="455"/>
      <c r="S182" s="564" t="s">
        <v>55</v>
      </c>
      <c r="T182" s="46"/>
      <c r="U182" s="564"/>
      <c r="V182" s="155">
        <f t="shared" ref="V182" si="118">DAYS360(H182,M182,0)+1</f>
        <v>68</v>
      </c>
      <c r="W182" s="566" t="str">
        <f t="shared" ref="W182" si="119">IF(V182&gt;7,"Inoportuno",(IF(V182&lt;0,"No ha formulado PM","Oportuno")))</f>
        <v>Inoportuno</v>
      </c>
      <c r="X182" s="155">
        <f t="shared" ref="X182" si="120">DAYS360(Q182,T182,0)+1</f>
        <v>-42119</v>
      </c>
      <c r="Y182" s="565"/>
    </row>
    <row r="183" spans="1:25" ht="87.75" hidden="1" customHeight="1" x14ac:dyDescent="0.2">
      <c r="A183" s="630">
        <f t="shared" si="82"/>
        <v>180</v>
      </c>
      <c r="B183" s="43" t="s">
        <v>65</v>
      </c>
      <c r="C183" s="197" t="s">
        <v>480</v>
      </c>
      <c r="D183" s="761" t="s">
        <v>45</v>
      </c>
      <c r="E183" s="761" t="s">
        <v>0</v>
      </c>
      <c r="F183" s="484" t="s">
        <v>64</v>
      </c>
      <c r="G183" s="484"/>
      <c r="H183" s="46">
        <v>42341</v>
      </c>
      <c r="I183" s="393" t="s">
        <v>481</v>
      </c>
      <c r="J183" s="728" t="s">
        <v>460</v>
      </c>
      <c r="K183" s="734" t="s">
        <v>141</v>
      </c>
      <c r="L183" s="743" t="s">
        <v>83</v>
      </c>
      <c r="M183" s="46">
        <v>42348</v>
      </c>
      <c r="N183" s="478" t="s">
        <v>54</v>
      </c>
      <c r="O183" s="457" t="s">
        <v>560</v>
      </c>
      <c r="P183" s="535" t="s">
        <v>758</v>
      </c>
      <c r="Q183" s="46">
        <v>42735</v>
      </c>
      <c r="R183" s="455"/>
      <c r="S183" s="477" t="s">
        <v>55</v>
      </c>
      <c r="T183" s="46"/>
      <c r="U183" s="477"/>
      <c r="V183" s="155">
        <f t="shared" si="114"/>
        <v>8</v>
      </c>
      <c r="W183" s="479" t="str">
        <f t="shared" si="117"/>
        <v>Inoportuno</v>
      </c>
      <c r="X183" s="155">
        <f t="shared" si="116"/>
        <v>-42119</v>
      </c>
      <c r="Y183" s="482"/>
    </row>
    <row r="184" spans="1:25" ht="87.75" hidden="1" customHeight="1" x14ac:dyDescent="0.2">
      <c r="A184" s="630">
        <f t="shared" si="82"/>
        <v>181</v>
      </c>
      <c r="B184" s="43" t="s">
        <v>65</v>
      </c>
      <c r="C184" s="197" t="s">
        <v>480</v>
      </c>
      <c r="D184" s="761"/>
      <c r="E184" s="761"/>
      <c r="F184" s="450" t="s">
        <v>64</v>
      </c>
      <c r="G184" s="450"/>
      <c r="H184" s="46">
        <v>42341</v>
      </c>
      <c r="I184" s="393" t="s">
        <v>481</v>
      </c>
      <c r="J184" s="729"/>
      <c r="K184" s="736"/>
      <c r="L184" s="743"/>
      <c r="M184" s="46">
        <v>42348</v>
      </c>
      <c r="N184" s="478" t="s">
        <v>109</v>
      </c>
      <c r="O184" s="457" t="s">
        <v>560</v>
      </c>
      <c r="P184" s="535" t="s">
        <v>759</v>
      </c>
      <c r="Q184" s="46">
        <v>42735</v>
      </c>
      <c r="R184" s="455"/>
      <c r="S184" s="477" t="s">
        <v>55</v>
      </c>
      <c r="T184" s="46"/>
      <c r="U184" s="452"/>
      <c r="V184" s="155">
        <f t="shared" si="114"/>
        <v>8</v>
      </c>
      <c r="W184" s="479" t="str">
        <f t="shared" si="117"/>
        <v>Inoportuno</v>
      </c>
      <c r="X184" s="155">
        <f t="shared" si="116"/>
        <v>-42119</v>
      </c>
      <c r="Y184" s="454"/>
    </row>
    <row r="185" spans="1:25" ht="87.75" hidden="1" customHeight="1" x14ac:dyDescent="0.2">
      <c r="A185" s="630">
        <f t="shared" si="82"/>
        <v>182</v>
      </c>
      <c r="B185" s="43" t="s">
        <v>65</v>
      </c>
      <c r="C185" s="197" t="s">
        <v>480</v>
      </c>
      <c r="D185" s="722" t="s">
        <v>45</v>
      </c>
      <c r="E185" s="722" t="s">
        <v>0</v>
      </c>
      <c r="F185" s="450" t="s">
        <v>64</v>
      </c>
      <c r="G185" s="450"/>
      <c r="H185" s="46">
        <v>42341</v>
      </c>
      <c r="I185" s="393" t="s">
        <v>482</v>
      </c>
      <c r="J185" s="728" t="s">
        <v>460</v>
      </c>
      <c r="K185" s="730" t="s">
        <v>141</v>
      </c>
      <c r="L185" s="725" t="s">
        <v>83</v>
      </c>
      <c r="M185" s="46">
        <v>42410</v>
      </c>
      <c r="N185" s="449" t="s">
        <v>54</v>
      </c>
      <c r="O185" s="570" t="s">
        <v>804</v>
      </c>
      <c r="P185" s="543" t="s">
        <v>805</v>
      </c>
      <c r="Q185" s="46">
        <v>42551</v>
      </c>
      <c r="R185" s="455"/>
      <c r="S185" s="452" t="s">
        <v>55</v>
      </c>
      <c r="T185" s="46"/>
      <c r="U185" s="452"/>
      <c r="V185" s="155">
        <f t="shared" si="114"/>
        <v>68</v>
      </c>
      <c r="W185" s="479" t="str">
        <f t="shared" si="117"/>
        <v>Inoportuno</v>
      </c>
      <c r="X185" s="155">
        <f t="shared" si="116"/>
        <v>-41939</v>
      </c>
      <c r="Y185" s="454"/>
    </row>
    <row r="186" spans="1:25" ht="87.75" hidden="1" customHeight="1" x14ac:dyDescent="0.2">
      <c r="A186" s="630">
        <f t="shared" si="82"/>
        <v>183</v>
      </c>
      <c r="B186" s="43" t="s">
        <v>65</v>
      </c>
      <c r="C186" s="197" t="s">
        <v>480</v>
      </c>
      <c r="D186" s="723"/>
      <c r="E186" s="723"/>
      <c r="F186" s="562" t="s">
        <v>64</v>
      </c>
      <c r="G186" s="562"/>
      <c r="H186" s="46">
        <v>42341</v>
      </c>
      <c r="I186" s="393" t="s">
        <v>482</v>
      </c>
      <c r="J186" s="741"/>
      <c r="K186" s="742"/>
      <c r="L186" s="726"/>
      <c r="M186" s="46">
        <v>42410</v>
      </c>
      <c r="N186" s="561" t="s">
        <v>54</v>
      </c>
      <c r="O186" s="570" t="s">
        <v>806</v>
      </c>
      <c r="P186" s="543" t="s">
        <v>807</v>
      </c>
      <c r="Q186" s="46">
        <v>42551</v>
      </c>
      <c r="R186" s="455"/>
      <c r="S186" s="564" t="s">
        <v>55</v>
      </c>
      <c r="T186" s="46"/>
      <c r="U186" s="564"/>
      <c r="V186" s="155">
        <f t="shared" ref="V186:V189" si="121">DAYS360(H186,M186,0)+1</f>
        <v>68</v>
      </c>
      <c r="W186" s="566" t="str">
        <f t="shared" ref="W186:W189" si="122">IF(V186&gt;7,"Inoportuno",(IF(V186&lt;0,"No ha formulado PM","Oportuno")))</f>
        <v>Inoportuno</v>
      </c>
      <c r="X186" s="155">
        <f t="shared" ref="X186:X189" si="123">DAYS360(Q186,T186,0)+1</f>
        <v>-41939</v>
      </c>
      <c r="Y186" s="565"/>
    </row>
    <row r="187" spans="1:25" ht="87.75" hidden="1" customHeight="1" x14ac:dyDescent="0.2">
      <c r="A187" s="630">
        <f t="shared" si="82"/>
        <v>184</v>
      </c>
      <c r="B187" s="43" t="s">
        <v>65</v>
      </c>
      <c r="C187" s="197" t="s">
        <v>480</v>
      </c>
      <c r="D187" s="723"/>
      <c r="E187" s="723"/>
      <c r="F187" s="562" t="s">
        <v>64</v>
      </c>
      <c r="G187" s="562"/>
      <c r="H187" s="46">
        <v>42341</v>
      </c>
      <c r="I187" s="393" t="s">
        <v>482</v>
      </c>
      <c r="J187" s="741"/>
      <c r="K187" s="742"/>
      <c r="L187" s="726"/>
      <c r="M187" s="46">
        <v>42410</v>
      </c>
      <c r="N187" s="561" t="s">
        <v>109</v>
      </c>
      <c r="O187" s="570" t="s">
        <v>808</v>
      </c>
      <c r="P187" s="543" t="s">
        <v>809</v>
      </c>
      <c r="Q187" s="46">
        <v>42735</v>
      </c>
      <c r="R187" s="455"/>
      <c r="S187" s="564" t="s">
        <v>55</v>
      </c>
      <c r="T187" s="46"/>
      <c r="U187" s="564"/>
      <c r="V187" s="155">
        <f t="shared" si="121"/>
        <v>68</v>
      </c>
      <c r="W187" s="566" t="str">
        <f t="shared" si="122"/>
        <v>Inoportuno</v>
      </c>
      <c r="X187" s="155">
        <f t="shared" si="123"/>
        <v>-42119</v>
      </c>
      <c r="Y187" s="565"/>
    </row>
    <row r="188" spans="1:25" ht="87.75" hidden="1" customHeight="1" x14ac:dyDescent="0.2">
      <c r="A188" s="630">
        <f t="shared" si="82"/>
        <v>185</v>
      </c>
      <c r="B188" s="43" t="s">
        <v>65</v>
      </c>
      <c r="C188" s="197" t="s">
        <v>480</v>
      </c>
      <c r="D188" s="723"/>
      <c r="E188" s="723"/>
      <c r="F188" s="562" t="s">
        <v>64</v>
      </c>
      <c r="G188" s="562"/>
      <c r="H188" s="46">
        <v>42341</v>
      </c>
      <c r="I188" s="393" t="s">
        <v>482</v>
      </c>
      <c r="J188" s="741"/>
      <c r="K188" s="742"/>
      <c r="L188" s="726"/>
      <c r="M188" s="46">
        <v>42410</v>
      </c>
      <c r="N188" s="561" t="s">
        <v>54</v>
      </c>
      <c r="O188" s="543" t="s">
        <v>811</v>
      </c>
      <c r="P188" s="543" t="s">
        <v>810</v>
      </c>
      <c r="Q188" s="46">
        <v>42551</v>
      </c>
      <c r="R188" s="455"/>
      <c r="S188" s="564" t="s">
        <v>55</v>
      </c>
      <c r="T188" s="46"/>
      <c r="U188" s="564"/>
      <c r="V188" s="155">
        <f t="shared" si="121"/>
        <v>68</v>
      </c>
      <c r="W188" s="566" t="str">
        <f t="shared" si="122"/>
        <v>Inoportuno</v>
      </c>
      <c r="X188" s="155">
        <f t="shared" si="123"/>
        <v>-41939</v>
      </c>
      <c r="Y188" s="565"/>
    </row>
    <row r="189" spans="1:25" ht="87.75" hidden="1" customHeight="1" x14ac:dyDescent="0.2">
      <c r="A189" s="630">
        <f t="shared" si="82"/>
        <v>186</v>
      </c>
      <c r="B189" s="43" t="s">
        <v>65</v>
      </c>
      <c r="C189" s="197" t="s">
        <v>480</v>
      </c>
      <c r="D189" s="724"/>
      <c r="E189" s="724"/>
      <c r="F189" s="562" t="s">
        <v>64</v>
      </c>
      <c r="G189" s="562"/>
      <c r="H189" s="46">
        <v>42341</v>
      </c>
      <c r="I189" s="393" t="s">
        <v>482</v>
      </c>
      <c r="J189" s="729"/>
      <c r="K189" s="731"/>
      <c r="L189" s="727"/>
      <c r="M189" s="46">
        <v>42410</v>
      </c>
      <c r="N189" s="561" t="s">
        <v>109</v>
      </c>
      <c r="O189" s="570" t="s">
        <v>808</v>
      </c>
      <c r="P189" s="543" t="s">
        <v>812</v>
      </c>
      <c r="Q189" s="46">
        <v>42459</v>
      </c>
      <c r="R189" s="455"/>
      <c r="S189" s="564" t="s">
        <v>55</v>
      </c>
      <c r="T189" s="46"/>
      <c r="U189" s="564"/>
      <c r="V189" s="155">
        <f t="shared" si="121"/>
        <v>68</v>
      </c>
      <c r="W189" s="566" t="str">
        <f t="shared" si="122"/>
        <v>Inoportuno</v>
      </c>
      <c r="X189" s="155">
        <f t="shared" si="123"/>
        <v>-41849</v>
      </c>
      <c r="Y189" s="565"/>
    </row>
    <row r="190" spans="1:25" ht="87.75" hidden="1" customHeight="1" x14ac:dyDescent="0.2">
      <c r="A190" s="630">
        <f t="shared" si="82"/>
        <v>187</v>
      </c>
      <c r="B190" s="43" t="s">
        <v>65</v>
      </c>
      <c r="C190" s="197" t="s">
        <v>480</v>
      </c>
      <c r="D190" s="449" t="s">
        <v>45</v>
      </c>
      <c r="E190" s="453" t="s">
        <v>0</v>
      </c>
      <c r="F190" s="450" t="s">
        <v>64</v>
      </c>
      <c r="G190" s="450"/>
      <c r="H190" s="46">
        <v>42341</v>
      </c>
      <c r="I190" s="543" t="s">
        <v>483</v>
      </c>
      <c r="J190" s="450" t="s">
        <v>460</v>
      </c>
      <c r="K190" s="451" t="s">
        <v>141</v>
      </c>
      <c r="L190" s="168" t="s">
        <v>83</v>
      </c>
      <c r="M190" s="46">
        <v>42410</v>
      </c>
      <c r="N190" s="449" t="s">
        <v>109</v>
      </c>
      <c r="O190" s="570" t="s">
        <v>813</v>
      </c>
      <c r="P190" s="543" t="s">
        <v>814</v>
      </c>
      <c r="Q190" s="46">
        <v>42429</v>
      </c>
      <c r="R190" s="455"/>
      <c r="S190" s="452" t="s">
        <v>55</v>
      </c>
      <c r="T190" s="46"/>
      <c r="U190" s="452"/>
      <c r="V190" s="155">
        <f t="shared" si="114"/>
        <v>68</v>
      </c>
      <c r="W190" s="479" t="str">
        <f t="shared" si="117"/>
        <v>Inoportuno</v>
      </c>
      <c r="X190" s="155">
        <f t="shared" si="116"/>
        <v>-41819</v>
      </c>
      <c r="Y190" s="454"/>
    </row>
    <row r="191" spans="1:25" ht="189" hidden="1" customHeight="1" x14ac:dyDescent="0.2">
      <c r="A191" s="630">
        <f t="shared" si="82"/>
        <v>188</v>
      </c>
      <c r="B191" s="43" t="s">
        <v>65</v>
      </c>
      <c r="C191" s="197" t="s">
        <v>480</v>
      </c>
      <c r="D191" s="722" t="s">
        <v>45</v>
      </c>
      <c r="E191" s="722" t="s">
        <v>0</v>
      </c>
      <c r="F191" s="450" t="s">
        <v>64</v>
      </c>
      <c r="G191" s="450"/>
      <c r="H191" s="46">
        <v>42341</v>
      </c>
      <c r="I191" s="393" t="s">
        <v>760</v>
      </c>
      <c r="J191" s="728" t="s">
        <v>82</v>
      </c>
      <c r="K191" s="734" t="s">
        <v>141</v>
      </c>
      <c r="L191" s="725" t="s">
        <v>83</v>
      </c>
      <c r="M191" s="46">
        <v>42348</v>
      </c>
      <c r="N191" s="449" t="s">
        <v>109</v>
      </c>
      <c r="O191" s="457" t="s">
        <v>560</v>
      </c>
      <c r="P191" s="535" t="s">
        <v>761</v>
      </c>
      <c r="Q191" s="46">
        <v>42475</v>
      </c>
      <c r="R191" s="455"/>
      <c r="S191" s="452" t="s">
        <v>55</v>
      </c>
      <c r="T191" s="46"/>
      <c r="U191" s="452"/>
      <c r="V191" s="155">
        <f t="shared" si="114"/>
        <v>8</v>
      </c>
      <c r="W191" s="479" t="str">
        <f t="shared" si="117"/>
        <v>Inoportuno</v>
      </c>
      <c r="X191" s="155">
        <f t="shared" si="116"/>
        <v>-41864</v>
      </c>
      <c r="Y191" s="454"/>
    </row>
    <row r="192" spans="1:25" ht="189" hidden="1" customHeight="1" x14ac:dyDescent="0.2">
      <c r="A192" s="630">
        <f t="shared" si="82"/>
        <v>189</v>
      </c>
      <c r="B192" s="43" t="s">
        <v>65</v>
      </c>
      <c r="C192" s="197" t="s">
        <v>480</v>
      </c>
      <c r="D192" s="724"/>
      <c r="E192" s="724"/>
      <c r="F192" s="484" t="s">
        <v>64</v>
      </c>
      <c r="G192" s="484"/>
      <c r="H192" s="46">
        <v>42341</v>
      </c>
      <c r="I192" s="393" t="s">
        <v>760</v>
      </c>
      <c r="J192" s="729"/>
      <c r="K192" s="736"/>
      <c r="L192" s="727"/>
      <c r="M192" s="46">
        <v>42348</v>
      </c>
      <c r="N192" s="478" t="s">
        <v>54</v>
      </c>
      <c r="O192" s="457" t="s">
        <v>560</v>
      </c>
      <c r="P192" s="535" t="s">
        <v>562</v>
      </c>
      <c r="Q192" s="46">
        <v>42109</v>
      </c>
      <c r="R192" s="455"/>
      <c r="S192" s="477" t="s">
        <v>55</v>
      </c>
      <c r="T192" s="46"/>
      <c r="U192" s="477"/>
      <c r="V192" s="155">
        <f t="shared" si="114"/>
        <v>8</v>
      </c>
      <c r="W192" s="479" t="str">
        <f t="shared" si="117"/>
        <v>Inoportuno</v>
      </c>
      <c r="X192" s="155">
        <f t="shared" si="116"/>
        <v>-41504</v>
      </c>
      <c r="Y192" s="482"/>
    </row>
    <row r="193" spans="1:25" ht="87.75" hidden="1" customHeight="1" x14ac:dyDescent="0.2">
      <c r="A193" s="630">
        <f t="shared" si="82"/>
        <v>190</v>
      </c>
      <c r="B193" s="43" t="s">
        <v>65</v>
      </c>
      <c r="C193" s="197" t="s">
        <v>480</v>
      </c>
      <c r="D193" s="478" t="s">
        <v>45</v>
      </c>
      <c r="E193" s="453" t="s">
        <v>0</v>
      </c>
      <c r="F193" s="450" t="s">
        <v>64</v>
      </c>
      <c r="G193" s="450"/>
      <c r="H193" s="46">
        <v>42341</v>
      </c>
      <c r="I193" s="543" t="s">
        <v>484</v>
      </c>
      <c r="J193" s="450" t="s">
        <v>460</v>
      </c>
      <c r="K193" s="451" t="s">
        <v>141</v>
      </c>
      <c r="L193" s="168" t="s">
        <v>83</v>
      </c>
      <c r="M193" s="46">
        <v>42410</v>
      </c>
      <c r="N193" s="449" t="s">
        <v>54</v>
      </c>
      <c r="O193" s="570" t="s">
        <v>815</v>
      </c>
      <c r="P193" s="543" t="s">
        <v>816</v>
      </c>
      <c r="Q193" s="46">
        <v>42735</v>
      </c>
      <c r="R193" s="455"/>
      <c r="S193" s="452" t="s">
        <v>55</v>
      </c>
      <c r="T193" s="46"/>
      <c r="U193" s="452"/>
      <c r="V193" s="155">
        <f t="shared" si="114"/>
        <v>68</v>
      </c>
      <c r="W193" s="479" t="str">
        <f t="shared" si="117"/>
        <v>Inoportuno</v>
      </c>
      <c r="X193" s="155">
        <f t="shared" si="116"/>
        <v>-42119</v>
      </c>
      <c r="Y193" s="454"/>
    </row>
    <row r="194" spans="1:25" ht="87.75" hidden="1" customHeight="1" x14ac:dyDescent="0.2">
      <c r="A194" s="630">
        <f t="shared" si="82"/>
        <v>191</v>
      </c>
      <c r="B194" s="43" t="s">
        <v>65</v>
      </c>
      <c r="C194" s="197" t="s">
        <v>480</v>
      </c>
      <c r="D194" s="722" t="s">
        <v>45</v>
      </c>
      <c r="E194" s="722" t="s">
        <v>0</v>
      </c>
      <c r="F194" s="450" t="s">
        <v>64</v>
      </c>
      <c r="G194" s="450"/>
      <c r="H194" s="46">
        <v>42341</v>
      </c>
      <c r="I194" s="543" t="s">
        <v>485</v>
      </c>
      <c r="J194" s="728" t="s">
        <v>460</v>
      </c>
      <c r="K194" s="734" t="s">
        <v>141</v>
      </c>
      <c r="L194" s="725" t="s">
        <v>83</v>
      </c>
      <c r="M194" s="46">
        <v>42410</v>
      </c>
      <c r="N194" s="449" t="s">
        <v>109</v>
      </c>
      <c r="O194" s="570" t="s">
        <v>817</v>
      </c>
      <c r="P194" s="543" t="s">
        <v>818</v>
      </c>
      <c r="Q194" s="46">
        <v>42459</v>
      </c>
      <c r="R194" s="455"/>
      <c r="S194" s="452" t="s">
        <v>55</v>
      </c>
      <c r="T194" s="46"/>
      <c r="U194" s="452"/>
      <c r="V194" s="155">
        <f t="shared" si="114"/>
        <v>68</v>
      </c>
      <c r="W194" s="479" t="str">
        <f t="shared" si="117"/>
        <v>Inoportuno</v>
      </c>
      <c r="X194" s="155">
        <f t="shared" si="116"/>
        <v>-41849</v>
      </c>
      <c r="Y194" s="454"/>
    </row>
    <row r="195" spans="1:25" ht="87.75" hidden="1" customHeight="1" x14ac:dyDescent="0.2">
      <c r="A195" s="630">
        <f t="shared" si="82"/>
        <v>192</v>
      </c>
      <c r="B195" s="43" t="s">
        <v>65</v>
      </c>
      <c r="C195" s="197" t="s">
        <v>480</v>
      </c>
      <c r="D195" s="724"/>
      <c r="E195" s="724"/>
      <c r="F195" s="562" t="s">
        <v>64</v>
      </c>
      <c r="G195" s="562"/>
      <c r="H195" s="46">
        <v>42341</v>
      </c>
      <c r="I195" s="543" t="s">
        <v>485</v>
      </c>
      <c r="J195" s="729"/>
      <c r="K195" s="736"/>
      <c r="L195" s="727"/>
      <c r="M195" s="46">
        <v>42410</v>
      </c>
      <c r="N195" s="561" t="s">
        <v>109</v>
      </c>
      <c r="O195" s="570" t="s">
        <v>817</v>
      </c>
      <c r="P195" s="543" t="s">
        <v>820</v>
      </c>
      <c r="Q195" s="46" t="s">
        <v>819</v>
      </c>
      <c r="R195" s="455"/>
      <c r="S195" s="564" t="s">
        <v>55</v>
      </c>
      <c r="T195" s="46"/>
      <c r="U195" s="564"/>
      <c r="V195" s="155">
        <f t="shared" ref="V195" si="124">DAYS360(H195,M195,0)+1</f>
        <v>68</v>
      </c>
      <c r="W195" s="566" t="str">
        <f t="shared" ref="W195" si="125">IF(V195&gt;7,"Inoportuno",(IF(V195&lt;0,"No ha formulado PM","Oportuno")))</f>
        <v>Inoportuno</v>
      </c>
      <c r="X195" s="155" t="e">
        <f t="shared" ref="X195" si="126">DAYS360(Q195,T195,0)+1</f>
        <v>#VALUE!</v>
      </c>
      <c r="Y195" s="565"/>
    </row>
    <row r="196" spans="1:25" ht="87.75" hidden="1" customHeight="1" x14ac:dyDescent="0.2">
      <c r="A196" s="630">
        <f t="shared" si="82"/>
        <v>193</v>
      </c>
      <c r="B196" s="43" t="s">
        <v>65</v>
      </c>
      <c r="C196" s="197" t="s">
        <v>480</v>
      </c>
      <c r="D196" s="449" t="s">
        <v>45</v>
      </c>
      <c r="E196" s="453" t="s">
        <v>0</v>
      </c>
      <c r="F196" s="450" t="s">
        <v>64</v>
      </c>
      <c r="G196" s="450"/>
      <c r="H196" s="46">
        <v>42341</v>
      </c>
      <c r="I196" s="393" t="s">
        <v>486</v>
      </c>
      <c r="J196" s="450" t="s">
        <v>460</v>
      </c>
      <c r="K196" s="451" t="s">
        <v>141</v>
      </c>
      <c r="L196" s="168" t="s">
        <v>83</v>
      </c>
      <c r="M196" s="46">
        <v>42410</v>
      </c>
      <c r="N196" s="449" t="s">
        <v>54</v>
      </c>
      <c r="O196" s="570" t="s">
        <v>822</v>
      </c>
      <c r="P196" s="543" t="s">
        <v>821</v>
      </c>
      <c r="Q196" s="46">
        <v>42415</v>
      </c>
      <c r="R196" s="455"/>
      <c r="S196" s="452" t="s">
        <v>55</v>
      </c>
      <c r="T196" s="46"/>
      <c r="U196" s="452"/>
      <c r="V196" s="155">
        <f t="shared" si="114"/>
        <v>68</v>
      </c>
      <c r="W196" s="479" t="str">
        <f t="shared" si="117"/>
        <v>Inoportuno</v>
      </c>
      <c r="X196" s="155">
        <f t="shared" si="116"/>
        <v>-41804</v>
      </c>
      <c r="Y196" s="454"/>
    </row>
    <row r="197" spans="1:25" ht="87.75" hidden="1" customHeight="1" x14ac:dyDescent="0.2">
      <c r="A197" s="630">
        <f t="shared" si="82"/>
        <v>194</v>
      </c>
      <c r="B197" s="43" t="s">
        <v>65</v>
      </c>
      <c r="C197" s="197" t="s">
        <v>480</v>
      </c>
      <c r="D197" s="722" t="s">
        <v>45</v>
      </c>
      <c r="E197" s="722" t="s">
        <v>0</v>
      </c>
      <c r="F197" s="450" t="s">
        <v>64</v>
      </c>
      <c r="G197" s="450"/>
      <c r="H197" s="46">
        <v>42341</v>
      </c>
      <c r="I197" s="393" t="s">
        <v>487</v>
      </c>
      <c r="J197" s="728" t="s">
        <v>460</v>
      </c>
      <c r="K197" s="734" t="s">
        <v>141</v>
      </c>
      <c r="L197" s="725" t="s">
        <v>83</v>
      </c>
      <c r="M197" s="46">
        <v>42410</v>
      </c>
      <c r="N197" s="449" t="s">
        <v>54</v>
      </c>
      <c r="O197" s="570" t="s">
        <v>813</v>
      </c>
      <c r="P197" s="543" t="s">
        <v>823</v>
      </c>
      <c r="Q197" s="46">
        <v>42551</v>
      </c>
      <c r="R197" s="455"/>
      <c r="S197" s="452" t="s">
        <v>55</v>
      </c>
      <c r="T197" s="46"/>
      <c r="U197" s="452"/>
      <c r="V197" s="155">
        <f t="shared" si="114"/>
        <v>68</v>
      </c>
      <c r="W197" s="479" t="str">
        <f t="shared" si="117"/>
        <v>Inoportuno</v>
      </c>
      <c r="X197" s="155">
        <f t="shared" si="116"/>
        <v>-41939</v>
      </c>
      <c r="Y197" s="454"/>
    </row>
    <row r="198" spans="1:25" ht="87.75" hidden="1" customHeight="1" x14ac:dyDescent="0.2">
      <c r="A198" s="630">
        <f t="shared" ref="A198:A261" si="127">+A197+1</f>
        <v>195</v>
      </c>
      <c r="B198" s="43" t="s">
        <v>65</v>
      </c>
      <c r="C198" s="197" t="s">
        <v>480</v>
      </c>
      <c r="D198" s="724"/>
      <c r="E198" s="724"/>
      <c r="F198" s="562" t="s">
        <v>64</v>
      </c>
      <c r="G198" s="562"/>
      <c r="H198" s="46">
        <v>42341</v>
      </c>
      <c r="I198" s="393" t="s">
        <v>487</v>
      </c>
      <c r="J198" s="729"/>
      <c r="K198" s="736"/>
      <c r="L198" s="727"/>
      <c r="M198" s="46">
        <v>42410</v>
      </c>
      <c r="N198" s="561" t="s">
        <v>58</v>
      </c>
      <c r="O198" s="570" t="s">
        <v>815</v>
      </c>
      <c r="P198" s="543" t="s">
        <v>824</v>
      </c>
      <c r="Q198" s="46">
        <v>42735</v>
      </c>
      <c r="R198" s="455"/>
      <c r="S198" s="564" t="s">
        <v>55</v>
      </c>
      <c r="T198" s="46"/>
      <c r="U198" s="564"/>
      <c r="V198" s="155">
        <f t="shared" ref="V198" si="128">DAYS360(H198,M198,0)+1</f>
        <v>68</v>
      </c>
      <c r="W198" s="566" t="str">
        <f t="shared" ref="W198" si="129">IF(V198&gt;7,"Inoportuno",(IF(V198&lt;0,"No ha formulado PM","Oportuno")))</f>
        <v>Inoportuno</v>
      </c>
      <c r="X198" s="155">
        <f t="shared" ref="X198" si="130">DAYS360(Q198,T198,0)+1</f>
        <v>-42119</v>
      </c>
      <c r="Y198" s="565"/>
    </row>
    <row r="199" spans="1:25" ht="87.75" hidden="1" customHeight="1" x14ac:dyDescent="0.2">
      <c r="A199" s="630">
        <f t="shared" si="127"/>
        <v>196</v>
      </c>
      <c r="B199" s="43" t="s">
        <v>65</v>
      </c>
      <c r="C199" s="197" t="s">
        <v>480</v>
      </c>
      <c r="D199" s="722" t="s">
        <v>45</v>
      </c>
      <c r="E199" s="722" t="s">
        <v>0</v>
      </c>
      <c r="F199" s="484" t="s">
        <v>64</v>
      </c>
      <c r="G199" s="484"/>
      <c r="H199" s="46">
        <v>42341</v>
      </c>
      <c r="I199" s="393" t="s">
        <v>488</v>
      </c>
      <c r="J199" s="728" t="s">
        <v>82</v>
      </c>
      <c r="K199" s="734" t="s">
        <v>141</v>
      </c>
      <c r="L199" s="725" t="s">
        <v>83</v>
      </c>
      <c r="M199" s="46">
        <v>42348</v>
      </c>
      <c r="N199" s="478" t="s">
        <v>109</v>
      </c>
      <c r="O199" s="457" t="s">
        <v>560</v>
      </c>
      <c r="P199" s="543" t="s">
        <v>675</v>
      </c>
      <c r="Q199" s="46">
        <v>42460</v>
      </c>
      <c r="R199" s="455"/>
      <c r="S199" s="477" t="s">
        <v>55</v>
      </c>
      <c r="T199" s="46"/>
      <c r="U199" s="477"/>
      <c r="V199" s="155">
        <f t="shared" si="114"/>
        <v>8</v>
      </c>
      <c r="W199" s="479" t="str">
        <f t="shared" si="117"/>
        <v>Inoportuno</v>
      </c>
      <c r="X199" s="155">
        <f t="shared" si="116"/>
        <v>-41849</v>
      </c>
      <c r="Y199" s="482"/>
    </row>
    <row r="200" spans="1:25" ht="87.75" hidden="1" customHeight="1" x14ac:dyDescent="0.2">
      <c r="A200" s="630">
        <f t="shared" si="127"/>
        <v>197</v>
      </c>
      <c r="B200" s="43" t="s">
        <v>65</v>
      </c>
      <c r="C200" s="197" t="s">
        <v>480</v>
      </c>
      <c r="D200" s="723"/>
      <c r="E200" s="723"/>
      <c r="F200" s="484" t="s">
        <v>64</v>
      </c>
      <c r="G200" s="484"/>
      <c r="H200" s="46">
        <v>42341</v>
      </c>
      <c r="I200" s="393" t="s">
        <v>488</v>
      </c>
      <c r="J200" s="741"/>
      <c r="K200" s="735"/>
      <c r="L200" s="726"/>
      <c r="M200" s="46">
        <v>42348</v>
      </c>
      <c r="N200" s="478" t="s">
        <v>109</v>
      </c>
      <c r="O200" s="457" t="s">
        <v>560</v>
      </c>
      <c r="P200" s="535" t="s">
        <v>762</v>
      </c>
      <c r="Q200" s="46">
        <v>42460</v>
      </c>
      <c r="R200" s="455"/>
      <c r="S200" s="477" t="s">
        <v>55</v>
      </c>
      <c r="T200" s="46"/>
      <c r="U200" s="477"/>
      <c r="V200" s="155">
        <f t="shared" si="114"/>
        <v>8</v>
      </c>
      <c r="W200" s="479" t="str">
        <f t="shared" si="117"/>
        <v>Inoportuno</v>
      </c>
      <c r="X200" s="155">
        <f t="shared" si="116"/>
        <v>-41849</v>
      </c>
      <c r="Y200" s="482"/>
    </row>
    <row r="201" spans="1:25" ht="87.75" hidden="1" customHeight="1" x14ac:dyDescent="0.2">
      <c r="A201" s="630">
        <f t="shared" si="127"/>
        <v>198</v>
      </c>
      <c r="B201" s="43" t="s">
        <v>65</v>
      </c>
      <c r="C201" s="197" t="s">
        <v>480</v>
      </c>
      <c r="D201" s="723"/>
      <c r="E201" s="723"/>
      <c r="F201" s="484" t="s">
        <v>64</v>
      </c>
      <c r="G201" s="484"/>
      <c r="H201" s="46">
        <v>42341</v>
      </c>
      <c r="I201" s="393" t="s">
        <v>488</v>
      </c>
      <c r="J201" s="741"/>
      <c r="K201" s="735"/>
      <c r="L201" s="726"/>
      <c r="M201" s="46">
        <v>42348</v>
      </c>
      <c r="N201" s="478" t="s">
        <v>54</v>
      </c>
      <c r="O201" s="457" t="s">
        <v>560</v>
      </c>
      <c r="P201" s="535" t="s">
        <v>763</v>
      </c>
      <c r="Q201" s="46">
        <v>42460</v>
      </c>
      <c r="R201" s="455"/>
      <c r="S201" s="477" t="s">
        <v>55</v>
      </c>
      <c r="T201" s="46"/>
      <c r="U201" s="477"/>
      <c r="V201" s="155">
        <f t="shared" si="114"/>
        <v>8</v>
      </c>
      <c r="W201" s="479" t="str">
        <f t="shared" si="117"/>
        <v>Inoportuno</v>
      </c>
      <c r="X201" s="155">
        <f t="shared" si="116"/>
        <v>-41849</v>
      </c>
      <c r="Y201" s="482"/>
    </row>
    <row r="202" spans="1:25" ht="87.75" hidden="1" customHeight="1" x14ac:dyDescent="0.2">
      <c r="A202" s="630">
        <f t="shared" si="127"/>
        <v>199</v>
      </c>
      <c r="B202" s="43" t="s">
        <v>65</v>
      </c>
      <c r="C202" s="197" t="s">
        <v>480</v>
      </c>
      <c r="D202" s="723"/>
      <c r="E202" s="723"/>
      <c r="F202" s="484" t="s">
        <v>64</v>
      </c>
      <c r="G202" s="484"/>
      <c r="H202" s="46">
        <v>42341</v>
      </c>
      <c r="I202" s="393" t="s">
        <v>488</v>
      </c>
      <c r="J202" s="741"/>
      <c r="K202" s="735"/>
      <c r="L202" s="726"/>
      <c r="M202" s="46">
        <v>42348</v>
      </c>
      <c r="N202" s="478" t="s">
        <v>54</v>
      </c>
      <c r="O202" s="457" t="s">
        <v>560</v>
      </c>
      <c r="P202" s="535" t="s">
        <v>561</v>
      </c>
      <c r="Q202" s="46">
        <v>42460</v>
      </c>
      <c r="R202" s="455"/>
      <c r="S202" s="477" t="s">
        <v>55</v>
      </c>
      <c r="T202" s="46"/>
      <c r="U202" s="477"/>
      <c r="V202" s="155">
        <f t="shared" si="114"/>
        <v>8</v>
      </c>
      <c r="W202" s="479" t="str">
        <f t="shared" si="117"/>
        <v>Inoportuno</v>
      </c>
      <c r="X202" s="155">
        <f t="shared" si="116"/>
        <v>-41849</v>
      </c>
      <c r="Y202" s="482"/>
    </row>
    <row r="203" spans="1:25" ht="87.75" hidden="1" customHeight="1" x14ac:dyDescent="0.2">
      <c r="A203" s="630">
        <f t="shared" si="127"/>
        <v>200</v>
      </c>
      <c r="B203" s="43" t="s">
        <v>65</v>
      </c>
      <c r="C203" s="197" t="s">
        <v>480</v>
      </c>
      <c r="D203" s="723"/>
      <c r="E203" s="723"/>
      <c r="F203" s="484" t="s">
        <v>64</v>
      </c>
      <c r="G203" s="484"/>
      <c r="H203" s="46">
        <v>42341</v>
      </c>
      <c r="I203" s="393" t="s">
        <v>488</v>
      </c>
      <c r="J203" s="741"/>
      <c r="K203" s="735"/>
      <c r="L203" s="726"/>
      <c r="M203" s="46">
        <v>42348</v>
      </c>
      <c r="N203" s="478" t="s">
        <v>54</v>
      </c>
      <c r="O203" s="457" t="s">
        <v>560</v>
      </c>
      <c r="P203" s="535" t="s">
        <v>619</v>
      </c>
      <c r="Q203" s="46">
        <v>42400</v>
      </c>
      <c r="R203" s="455" t="s">
        <v>764</v>
      </c>
      <c r="S203" s="477" t="s">
        <v>55</v>
      </c>
      <c r="T203" s="46"/>
      <c r="U203" s="477"/>
      <c r="V203" s="155">
        <f t="shared" si="114"/>
        <v>8</v>
      </c>
      <c r="W203" s="479" t="str">
        <f t="shared" si="117"/>
        <v>Inoportuno</v>
      </c>
      <c r="X203" s="155">
        <f t="shared" si="116"/>
        <v>-41789</v>
      </c>
      <c r="Y203" s="482"/>
    </row>
    <row r="204" spans="1:25" ht="87.75" hidden="1" customHeight="1" x14ac:dyDescent="0.2">
      <c r="A204" s="630">
        <f t="shared" si="127"/>
        <v>201</v>
      </c>
      <c r="B204" s="43" t="s">
        <v>65</v>
      </c>
      <c r="C204" s="197" t="s">
        <v>480</v>
      </c>
      <c r="D204" s="724"/>
      <c r="E204" s="724"/>
      <c r="F204" s="450" t="s">
        <v>64</v>
      </c>
      <c r="G204" s="450"/>
      <c r="H204" s="46">
        <v>42341</v>
      </c>
      <c r="I204" s="393" t="s">
        <v>488</v>
      </c>
      <c r="J204" s="729"/>
      <c r="K204" s="736"/>
      <c r="L204" s="727"/>
      <c r="M204" s="46">
        <v>42348</v>
      </c>
      <c r="N204" s="478" t="s">
        <v>54</v>
      </c>
      <c r="O204" s="457" t="s">
        <v>560</v>
      </c>
      <c r="P204" s="535" t="s">
        <v>765</v>
      </c>
      <c r="Q204" s="46">
        <v>42460</v>
      </c>
      <c r="R204" s="455"/>
      <c r="S204" s="477" t="s">
        <v>55</v>
      </c>
      <c r="T204" s="46"/>
      <c r="U204" s="452"/>
      <c r="V204" s="155">
        <f t="shared" si="114"/>
        <v>8</v>
      </c>
      <c r="W204" s="479" t="str">
        <f t="shared" si="117"/>
        <v>Inoportuno</v>
      </c>
      <c r="X204" s="155">
        <f t="shared" si="116"/>
        <v>-41849</v>
      </c>
      <c r="Y204" s="454"/>
    </row>
    <row r="205" spans="1:25" ht="87.75" hidden="1" customHeight="1" x14ac:dyDescent="0.2">
      <c r="A205" s="630">
        <f t="shared" si="127"/>
        <v>202</v>
      </c>
      <c r="B205" s="43" t="s">
        <v>10</v>
      </c>
      <c r="C205" s="197" t="s">
        <v>527</v>
      </c>
      <c r="D205" s="478" t="s">
        <v>45</v>
      </c>
      <c r="E205" s="483" t="s">
        <v>0</v>
      </c>
      <c r="F205" s="484" t="s">
        <v>60</v>
      </c>
      <c r="G205" s="484"/>
      <c r="H205" s="46">
        <v>42349</v>
      </c>
      <c r="I205" s="393" t="s">
        <v>526</v>
      </c>
      <c r="J205" s="484" t="s">
        <v>82</v>
      </c>
      <c r="K205" s="476"/>
      <c r="L205" s="168" t="s">
        <v>84</v>
      </c>
      <c r="M205" s="46"/>
      <c r="N205" s="478"/>
      <c r="O205" s="457"/>
      <c r="P205" s="535"/>
      <c r="Q205" s="46"/>
      <c r="R205" s="455"/>
      <c r="S205" s="477"/>
      <c r="T205" s="46"/>
      <c r="U205" s="477"/>
      <c r="V205" s="155">
        <f t="shared" ref="V205" si="131">DAYS360(H205,M205,0)+1</f>
        <v>-41740</v>
      </c>
      <c r="W205" s="479" t="str">
        <f t="shared" ref="W205" si="132">IF(V205&gt;15,"Inoportuno",(IF(V205&lt;0,"No ha formulado PM","Oportuno")))</f>
        <v>No ha formulado PM</v>
      </c>
      <c r="X205" s="155">
        <f t="shared" ref="X205" si="133">DAYS360(Q205,T205,0)+1</f>
        <v>1</v>
      </c>
      <c r="Y205" s="482"/>
    </row>
    <row r="206" spans="1:25" ht="87.75" hidden="1" customHeight="1" x14ac:dyDescent="0.2">
      <c r="A206" s="630">
        <f t="shared" si="127"/>
        <v>203</v>
      </c>
      <c r="B206" s="43" t="s">
        <v>10</v>
      </c>
      <c r="C206" s="197" t="s">
        <v>527</v>
      </c>
      <c r="D206" s="478" t="s">
        <v>45</v>
      </c>
      <c r="E206" s="483" t="s">
        <v>0</v>
      </c>
      <c r="F206" s="484" t="s">
        <v>60</v>
      </c>
      <c r="G206" s="484"/>
      <c r="H206" s="46">
        <v>42349</v>
      </c>
      <c r="I206" s="393" t="s">
        <v>532</v>
      </c>
      <c r="J206" s="484" t="s">
        <v>82</v>
      </c>
      <c r="K206" s="476"/>
      <c r="L206" s="168" t="s">
        <v>84</v>
      </c>
      <c r="M206" s="46"/>
      <c r="N206" s="478"/>
      <c r="O206" s="457"/>
      <c r="P206" s="535"/>
      <c r="Q206" s="46"/>
      <c r="R206" s="455"/>
      <c r="S206" s="477"/>
      <c r="T206" s="46"/>
      <c r="U206" s="477"/>
      <c r="V206" s="155">
        <f t="shared" ref="V206:V215" si="134">DAYS360(H206,M206,0)+1</f>
        <v>-41740</v>
      </c>
      <c r="W206" s="479" t="str">
        <f t="shared" ref="W206:W215" si="135">IF(V206&gt;15,"Inoportuno",(IF(V206&lt;0,"No ha formulado PM","Oportuno")))</f>
        <v>No ha formulado PM</v>
      </c>
      <c r="X206" s="155">
        <f t="shared" ref="X206:X215" si="136">DAYS360(Q206,T206,0)+1</f>
        <v>1</v>
      </c>
      <c r="Y206" s="482"/>
    </row>
    <row r="207" spans="1:25" ht="87.75" hidden="1" customHeight="1" x14ac:dyDescent="0.2">
      <c r="A207" s="630">
        <f t="shared" si="127"/>
        <v>204</v>
      </c>
      <c r="B207" s="43" t="s">
        <v>10</v>
      </c>
      <c r="C207" s="197" t="s">
        <v>527</v>
      </c>
      <c r="D207" s="478" t="s">
        <v>45</v>
      </c>
      <c r="E207" s="483" t="s">
        <v>0</v>
      </c>
      <c r="F207" s="484" t="s">
        <v>60</v>
      </c>
      <c r="G207" s="484"/>
      <c r="H207" s="46">
        <v>42349</v>
      </c>
      <c r="I207" s="393" t="s">
        <v>533</v>
      </c>
      <c r="J207" s="484" t="s">
        <v>82</v>
      </c>
      <c r="K207" s="476"/>
      <c r="L207" s="168" t="s">
        <v>84</v>
      </c>
      <c r="M207" s="46"/>
      <c r="N207" s="478"/>
      <c r="O207" s="457"/>
      <c r="P207" s="535"/>
      <c r="Q207" s="46"/>
      <c r="R207" s="455"/>
      <c r="S207" s="477"/>
      <c r="T207" s="46"/>
      <c r="U207" s="477"/>
      <c r="V207" s="155">
        <f t="shared" si="134"/>
        <v>-41740</v>
      </c>
      <c r="W207" s="479" t="str">
        <f t="shared" si="135"/>
        <v>No ha formulado PM</v>
      </c>
      <c r="X207" s="155">
        <f t="shared" si="136"/>
        <v>1</v>
      </c>
      <c r="Y207" s="482"/>
    </row>
    <row r="208" spans="1:25" ht="87.75" hidden="1" customHeight="1" x14ac:dyDescent="0.2">
      <c r="A208" s="630">
        <f t="shared" si="127"/>
        <v>205</v>
      </c>
      <c r="B208" s="43" t="s">
        <v>10</v>
      </c>
      <c r="C208" s="197" t="s">
        <v>527</v>
      </c>
      <c r="D208" s="478" t="s">
        <v>45</v>
      </c>
      <c r="E208" s="483" t="s">
        <v>0</v>
      </c>
      <c r="F208" s="484" t="s">
        <v>60</v>
      </c>
      <c r="G208" s="484"/>
      <c r="H208" s="46">
        <v>42349</v>
      </c>
      <c r="I208" s="393" t="s">
        <v>534</v>
      </c>
      <c r="J208" s="484" t="s">
        <v>82</v>
      </c>
      <c r="K208" s="476"/>
      <c r="L208" s="168" t="s">
        <v>84</v>
      </c>
      <c r="M208" s="46"/>
      <c r="N208" s="478"/>
      <c r="O208" s="457"/>
      <c r="P208" s="535"/>
      <c r="Q208" s="46"/>
      <c r="R208" s="455"/>
      <c r="S208" s="477"/>
      <c r="T208" s="46"/>
      <c r="U208" s="477"/>
      <c r="V208" s="155">
        <f t="shared" si="134"/>
        <v>-41740</v>
      </c>
      <c r="W208" s="479" t="str">
        <f t="shared" si="135"/>
        <v>No ha formulado PM</v>
      </c>
      <c r="X208" s="155">
        <f t="shared" si="136"/>
        <v>1</v>
      </c>
      <c r="Y208" s="482"/>
    </row>
    <row r="209" spans="1:25" ht="87.75" hidden="1" customHeight="1" x14ac:dyDescent="0.2">
      <c r="A209" s="630">
        <f t="shared" si="127"/>
        <v>206</v>
      </c>
      <c r="B209" s="43" t="s">
        <v>10</v>
      </c>
      <c r="C209" s="197" t="s">
        <v>527</v>
      </c>
      <c r="D209" s="478" t="s">
        <v>45</v>
      </c>
      <c r="E209" s="483" t="s">
        <v>0</v>
      </c>
      <c r="F209" s="484" t="s">
        <v>60</v>
      </c>
      <c r="G209" s="484"/>
      <c r="H209" s="46">
        <v>42349</v>
      </c>
      <c r="I209" s="393" t="s">
        <v>535</v>
      </c>
      <c r="J209" s="484" t="s">
        <v>460</v>
      </c>
      <c r="K209" s="476"/>
      <c r="L209" s="168" t="s">
        <v>84</v>
      </c>
      <c r="M209" s="46"/>
      <c r="N209" s="478"/>
      <c r="O209" s="457"/>
      <c r="P209" s="535"/>
      <c r="Q209" s="46"/>
      <c r="R209" s="455"/>
      <c r="S209" s="477"/>
      <c r="T209" s="46"/>
      <c r="U209" s="477"/>
      <c r="V209" s="155">
        <f t="shared" si="134"/>
        <v>-41740</v>
      </c>
      <c r="W209" s="479" t="str">
        <f t="shared" si="135"/>
        <v>No ha formulado PM</v>
      </c>
      <c r="X209" s="155">
        <f t="shared" si="136"/>
        <v>1</v>
      </c>
      <c r="Y209" s="482"/>
    </row>
    <row r="210" spans="1:25" ht="87.75" hidden="1" customHeight="1" x14ac:dyDescent="0.2">
      <c r="A210" s="630">
        <f t="shared" si="127"/>
        <v>207</v>
      </c>
      <c r="B210" s="43" t="s">
        <v>10</v>
      </c>
      <c r="C210" s="197" t="s">
        <v>527</v>
      </c>
      <c r="D210" s="478" t="s">
        <v>45</v>
      </c>
      <c r="E210" s="483" t="s">
        <v>0</v>
      </c>
      <c r="F210" s="484" t="s">
        <v>60</v>
      </c>
      <c r="G210" s="484"/>
      <c r="H210" s="46">
        <v>42349</v>
      </c>
      <c r="I210" s="393" t="s">
        <v>536</v>
      </c>
      <c r="J210" s="484" t="s">
        <v>82</v>
      </c>
      <c r="K210" s="476"/>
      <c r="L210" s="168" t="s">
        <v>84</v>
      </c>
      <c r="M210" s="46"/>
      <c r="N210" s="478"/>
      <c r="O210" s="457"/>
      <c r="P210" s="535"/>
      <c r="Q210" s="46"/>
      <c r="R210" s="455"/>
      <c r="S210" s="477"/>
      <c r="T210" s="46"/>
      <c r="U210" s="477"/>
      <c r="V210" s="155">
        <f t="shared" si="134"/>
        <v>-41740</v>
      </c>
      <c r="W210" s="479" t="str">
        <f t="shared" si="135"/>
        <v>No ha formulado PM</v>
      </c>
      <c r="X210" s="155">
        <f t="shared" si="136"/>
        <v>1</v>
      </c>
      <c r="Y210" s="482"/>
    </row>
    <row r="211" spans="1:25" ht="87.75" hidden="1" customHeight="1" x14ac:dyDescent="0.2">
      <c r="A211" s="630">
        <f t="shared" si="127"/>
        <v>208</v>
      </c>
      <c r="B211" s="43" t="s">
        <v>10</v>
      </c>
      <c r="C211" s="197" t="s">
        <v>527</v>
      </c>
      <c r="D211" s="478" t="s">
        <v>45</v>
      </c>
      <c r="E211" s="483" t="s">
        <v>0</v>
      </c>
      <c r="F211" s="484" t="s">
        <v>60</v>
      </c>
      <c r="G211" s="484"/>
      <c r="H211" s="46">
        <v>42349</v>
      </c>
      <c r="I211" s="393" t="s">
        <v>537</v>
      </c>
      <c r="J211" s="484" t="s">
        <v>82</v>
      </c>
      <c r="K211" s="476"/>
      <c r="L211" s="168" t="s">
        <v>84</v>
      </c>
      <c r="M211" s="46"/>
      <c r="N211" s="478"/>
      <c r="O211" s="457"/>
      <c r="P211" s="535"/>
      <c r="Q211" s="46"/>
      <c r="R211" s="455"/>
      <c r="S211" s="477"/>
      <c r="T211" s="46"/>
      <c r="U211" s="477"/>
      <c r="V211" s="155">
        <f t="shared" si="134"/>
        <v>-41740</v>
      </c>
      <c r="W211" s="479" t="str">
        <f t="shared" si="135"/>
        <v>No ha formulado PM</v>
      </c>
      <c r="X211" s="155">
        <f t="shared" si="136"/>
        <v>1</v>
      </c>
      <c r="Y211" s="482"/>
    </row>
    <row r="212" spans="1:25" ht="87.75" hidden="1" customHeight="1" x14ac:dyDescent="0.2">
      <c r="A212" s="630">
        <f t="shared" si="127"/>
        <v>209</v>
      </c>
      <c r="B212" s="43" t="s">
        <v>10</v>
      </c>
      <c r="C212" s="197" t="s">
        <v>527</v>
      </c>
      <c r="D212" s="478" t="s">
        <v>45</v>
      </c>
      <c r="E212" s="483" t="s">
        <v>0</v>
      </c>
      <c r="F212" s="484" t="s">
        <v>60</v>
      </c>
      <c r="G212" s="484"/>
      <c r="H212" s="46">
        <v>42349</v>
      </c>
      <c r="I212" s="393" t="s">
        <v>538</v>
      </c>
      <c r="J212" s="484" t="s">
        <v>82</v>
      </c>
      <c r="K212" s="476"/>
      <c r="L212" s="168" t="s">
        <v>84</v>
      </c>
      <c r="M212" s="46"/>
      <c r="N212" s="478"/>
      <c r="O212" s="457"/>
      <c r="P212" s="535"/>
      <c r="Q212" s="46"/>
      <c r="R212" s="455"/>
      <c r="S212" s="477"/>
      <c r="T212" s="46"/>
      <c r="U212" s="477"/>
      <c r="V212" s="155">
        <f t="shared" si="134"/>
        <v>-41740</v>
      </c>
      <c r="W212" s="479" t="str">
        <f t="shared" si="135"/>
        <v>No ha formulado PM</v>
      </c>
      <c r="X212" s="155">
        <f t="shared" si="136"/>
        <v>1</v>
      </c>
      <c r="Y212" s="482"/>
    </row>
    <row r="213" spans="1:25" ht="87.75" hidden="1" customHeight="1" x14ac:dyDescent="0.2">
      <c r="A213" s="630">
        <f t="shared" si="127"/>
        <v>210</v>
      </c>
      <c r="B213" s="43" t="s">
        <v>10</v>
      </c>
      <c r="C213" s="197" t="s">
        <v>527</v>
      </c>
      <c r="D213" s="478" t="s">
        <v>45</v>
      </c>
      <c r="E213" s="483" t="s">
        <v>0</v>
      </c>
      <c r="F213" s="484" t="s">
        <v>60</v>
      </c>
      <c r="G213" s="484"/>
      <c r="H213" s="46">
        <v>42349</v>
      </c>
      <c r="I213" s="393" t="s">
        <v>539</v>
      </c>
      <c r="J213" s="484" t="s">
        <v>82</v>
      </c>
      <c r="K213" s="476"/>
      <c r="L213" s="168" t="s">
        <v>84</v>
      </c>
      <c r="M213" s="46"/>
      <c r="N213" s="478"/>
      <c r="O213" s="457"/>
      <c r="P213" s="535"/>
      <c r="Q213" s="46"/>
      <c r="R213" s="455"/>
      <c r="S213" s="477"/>
      <c r="T213" s="46"/>
      <c r="U213" s="477"/>
      <c r="V213" s="155">
        <f t="shared" si="134"/>
        <v>-41740</v>
      </c>
      <c r="W213" s="479" t="str">
        <f t="shared" si="135"/>
        <v>No ha formulado PM</v>
      </c>
      <c r="X213" s="155">
        <f t="shared" si="136"/>
        <v>1</v>
      </c>
      <c r="Y213" s="482"/>
    </row>
    <row r="214" spans="1:25" ht="87.75" hidden="1" customHeight="1" x14ac:dyDescent="0.2">
      <c r="A214" s="630">
        <f t="shared" si="127"/>
        <v>211</v>
      </c>
      <c r="B214" s="43" t="s">
        <v>10</v>
      </c>
      <c r="C214" s="197" t="s">
        <v>527</v>
      </c>
      <c r="D214" s="478" t="s">
        <v>45</v>
      </c>
      <c r="E214" s="483" t="s">
        <v>0</v>
      </c>
      <c r="F214" s="484" t="s">
        <v>60</v>
      </c>
      <c r="G214" s="484"/>
      <c r="H214" s="46">
        <v>42349</v>
      </c>
      <c r="I214" s="393" t="s">
        <v>540</v>
      </c>
      <c r="J214" s="484" t="s">
        <v>82</v>
      </c>
      <c r="K214" s="476"/>
      <c r="L214" s="168" t="s">
        <v>84</v>
      </c>
      <c r="M214" s="46"/>
      <c r="N214" s="478"/>
      <c r="O214" s="457"/>
      <c r="P214" s="535"/>
      <c r="Q214" s="46"/>
      <c r="R214" s="455"/>
      <c r="S214" s="477"/>
      <c r="T214" s="46"/>
      <c r="U214" s="477"/>
      <c r="V214" s="155">
        <f t="shared" si="134"/>
        <v>-41740</v>
      </c>
      <c r="W214" s="479" t="str">
        <f t="shared" si="135"/>
        <v>No ha formulado PM</v>
      </c>
      <c r="X214" s="155">
        <f t="shared" si="136"/>
        <v>1</v>
      </c>
      <c r="Y214" s="482"/>
    </row>
    <row r="215" spans="1:25" ht="87.75" hidden="1" customHeight="1" x14ac:dyDescent="0.2">
      <c r="A215" s="630">
        <f t="shared" si="127"/>
        <v>212</v>
      </c>
      <c r="B215" s="43" t="s">
        <v>10</v>
      </c>
      <c r="C215" s="197" t="s">
        <v>527</v>
      </c>
      <c r="D215" s="478" t="s">
        <v>45</v>
      </c>
      <c r="E215" s="483" t="s">
        <v>0</v>
      </c>
      <c r="F215" s="484" t="s">
        <v>60</v>
      </c>
      <c r="G215" s="484"/>
      <c r="H215" s="46">
        <v>42349</v>
      </c>
      <c r="I215" s="393" t="s">
        <v>541</v>
      </c>
      <c r="J215" s="484" t="s">
        <v>460</v>
      </c>
      <c r="K215" s="544"/>
      <c r="L215" s="168" t="s">
        <v>84</v>
      </c>
      <c r="M215" s="46"/>
      <c r="N215" s="478"/>
      <c r="O215" s="457"/>
      <c r="P215" s="535"/>
      <c r="Q215" s="46"/>
      <c r="R215" s="455"/>
      <c r="S215" s="477"/>
      <c r="T215" s="46"/>
      <c r="U215" s="477"/>
      <c r="V215" s="155">
        <f t="shared" si="134"/>
        <v>-41740</v>
      </c>
      <c r="W215" s="479" t="str">
        <f t="shared" si="135"/>
        <v>No ha formulado PM</v>
      </c>
      <c r="X215" s="155">
        <f t="shared" si="136"/>
        <v>1</v>
      </c>
      <c r="Y215" s="482"/>
    </row>
    <row r="216" spans="1:25" ht="68.25" hidden="1" customHeight="1" x14ac:dyDescent="0.2">
      <c r="A216" s="630">
        <f t="shared" si="127"/>
        <v>213</v>
      </c>
      <c r="B216" s="43" t="s">
        <v>2</v>
      </c>
      <c r="C216" s="197" t="s">
        <v>544</v>
      </c>
      <c r="D216" s="722" t="s">
        <v>45</v>
      </c>
      <c r="E216" s="722" t="s">
        <v>0</v>
      </c>
      <c r="F216" s="484" t="s">
        <v>62</v>
      </c>
      <c r="G216" s="484"/>
      <c r="H216" s="46">
        <v>42353</v>
      </c>
      <c r="I216" s="393" t="s">
        <v>676</v>
      </c>
      <c r="J216" s="728" t="s">
        <v>460</v>
      </c>
      <c r="K216" s="734" t="s">
        <v>141</v>
      </c>
      <c r="L216" s="725" t="s">
        <v>83</v>
      </c>
      <c r="M216" s="46">
        <v>42404</v>
      </c>
      <c r="N216" s="478" t="s">
        <v>109</v>
      </c>
      <c r="O216" s="393" t="s">
        <v>436</v>
      </c>
      <c r="P216" s="569" t="s">
        <v>766</v>
      </c>
      <c r="Q216" s="357">
        <v>42459</v>
      </c>
      <c r="R216" s="455"/>
      <c r="S216" s="477" t="s">
        <v>55</v>
      </c>
      <c r="T216" s="46"/>
      <c r="U216" s="477"/>
      <c r="V216" s="155">
        <f t="shared" ref="V216:V238" si="137">DAYS360(H216,M216,0)+1</f>
        <v>50</v>
      </c>
      <c r="W216" s="479" t="str">
        <f t="shared" ref="W216:W238" si="138">IF(V216&gt;15,"Inoportuno",(IF(V216&lt;0,"No ha formulado PM","Oportuno")))</f>
        <v>Inoportuno</v>
      </c>
      <c r="X216" s="155">
        <f t="shared" ref="X216:X238" si="139">DAYS360(Q216,T216,0)+1</f>
        <v>-41849</v>
      </c>
      <c r="Y216" s="482"/>
    </row>
    <row r="217" spans="1:25" ht="68.25" hidden="1" customHeight="1" x14ac:dyDescent="0.2">
      <c r="A217" s="630">
        <f t="shared" si="127"/>
        <v>214</v>
      </c>
      <c r="B217" s="43" t="s">
        <v>2</v>
      </c>
      <c r="C217" s="197" t="s">
        <v>544</v>
      </c>
      <c r="D217" s="724"/>
      <c r="E217" s="724"/>
      <c r="F217" s="548" t="s">
        <v>62</v>
      </c>
      <c r="G217" s="548"/>
      <c r="H217" s="46">
        <v>42353</v>
      </c>
      <c r="I217" s="393" t="s">
        <v>545</v>
      </c>
      <c r="J217" s="729"/>
      <c r="K217" s="736"/>
      <c r="L217" s="727"/>
      <c r="M217" s="46">
        <v>42404</v>
      </c>
      <c r="N217" s="547" t="s">
        <v>54</v>
      </c>
      <c r="O217" s="393" t="s">
        <v>436</v>
      </c>
      <c r="P217" s="535" t="s">
        <v>767</v>
      </c>
      <c r="Q217" s="357">
        <v>42459</v>
      </c>
      <c r="R217" s="455"/>
      <c r="S217" s="546" t="s">
        <v>55</v>
      </c>
      <c r="T217" s="46"/>
      <c r="U217" s="546"/>
      <c r="V217" s="155">
        <f t="shared" ref="V217" si="140">DAYS360(H217,M217,0)+1</f>
        <v>50</v>
      </c>
      <c r="W217" s="550" t="str">
        <f t="shared" ref="W217" si="141">IF(V217&gt;15,"Inoportuno",(IF(V217&lt;0,"No ha formulado PM","Oportuno")))</f>
        <v>Inoportuno</v>
      </c>
      <c r="X217" s="155">
        <f t="shared" ref="X217" si="142">DAYS360(Q217,T217,0)+1</f>
        <v>-41849</v>
      </c>
      <c r="Y217" s="549"/>
    </row>
    <row r="218" spans="1:25" ht="87.75" hidden="1" customHeight="1" x14ac:dyDescent="0.2">
      <c r="A218" s="630">
        <f t="shared" si="127"/>
        <v>215</v>
      </c>
      <c r="B218" s="43" t="s">
        <v>2</v>
      </c>
      <c r="C218" s="197" t="s">
        <v>544</v>
      </c>
      <c r="D218" s="722" t="s">
        <v>45</v>
      </c>
      <c r="E218" s="722" t="s">
        <v>0</v>
      </c>
      <c r="F218" s="484" t="s">
        <v>62</v>
      </c>
      <c r="G218" s="484"/>
      <c r="H218" s="46">
        <v>42353</v>
      </c>
      <c r="I218" s="393" t="s">
        <v>546</v>
      </c>
      <c r="J218" s="728" t="s">
        <v>460</v>
      </c>
      <c r="K218" s="734" t="s">
        <v>141</v>
      </c>
      <c r="L218" s="725" t="s">
        <v>83</v>
      </c>
      <c r="M218" s="46">
        <v>42404</v>
      </c>
      <c r="N218" s="478" t="s">
        <v>109</v>
      </c>
      <c r="O218" s="393" t="s">
        <v>436</v>
      </c>
      <c r="P218" s="535" t="s">
        <v>582</v>
      </c>
      <c r="Q218" s="357">
        <v>42459</v>
      </c>
      <c r="R218" s="455"/>
      <c r="S218" s="477" t="s">
        <v>55</v>
      </c>
      <c r="T218" s="46"/>
      <c r="U218" s="477"/>
      <c r="V218" s="155">
        <f t="shared" si="137"/>
        <v>50</v>
      </c>
      <c r="W218" s="479" t="str">
        <f t="shared" si="138"/>
        <v>Inoportuno</v>
      </c>
      <c r="X218" s="155">
        <f t="shared" si="139"/>
        <v>-41849</v>
      </c>
      <c r="Y218" s="482"/>
    </row>
    <row r="219" spans="1:25" ht="87.75" hidden="1" customHeight="1" x14ac:dyDescent="0.2">
      <c r="A219" s="630">
        <f t="shared" si="127"/>
        <v>216</v>
      </c>
      <c r="B219" s="43" t="s">
        <v>2</v>
      </c>
      <c r="C219" s="197" t="s">
        <v>544</v>
      </c>
      <c r="D219" s="724"/>
      <c r="E219" s="724"/>
      <c r="F219" s="548" t="s">
        <v>62</v>
      </c>
      <c r="G219" s="548"/>
      <c r="H219" s="46">
        <v>42353</v>
      </c>
      <c r="I219" s="393" t="s">
        <v>546</v>
      </c>
      <c r="J219" s="729"/>
      <c r="K219" s="736"/>
      <c r="L219" s="727"/>
      <c r="M219" s="46">
        <v>42404</v>
      </c>
      <c r="N219" s="547" t="s">
        <v>54</v>
      </c>
      <c r="O219" s="393" t="s">
        <v>436</v>
      </c>
      <c r="P219" s="535" t="s">
        <v>663</v>
      </c>
      <c r="Q219" s="357">
        <v>42459</v>
      </c>
      <c r="R219" s="455"/>
      <c r="S219" s="546" t="s">
        <v>55</v>
      </c>
      <c r="T219" s="46"/>
      <c r="U219" s="546"/>
      <c r="V219" s="155">
        <f t="shared" ref="V219" si="143">DAYS360(H219,M219,0)+1</f>
        <v>50</v>
      </c>
      <c r="W219" s="550" t="str">
        <f t="shared" ref="W219" si="144">IF(V219&gt;15,"Inoportuno",(IF(V219&lt;0,"No ha formulado PM","Oportuno")))</f>
        <v>Inoportuno</v>
      </c>
      <c r="X219" s="155">
        <f t="shared" ref="X219" si="145">DAYS360(Q219,T219,0)+1</f>
        <v>-41849</v>
      </c>
      <c r="Y219" s="549"/>
    </row>
    <row r="220" spans="1:25" ht="87.75" hidden="1" customHeight="1" x14ac:dyDescent="0.2">
      <c r="A220" s="630">
        <f t="shared" si="127"/>
        <v>217</v>
      </c>
      <c r="B220" s="43" t="s">
        <v>2</v>
      </c>
      <c r="C220" s="197" t="s">
        <v>544</v>
      </c>
      <c r="D220" s="722" t="s">
        <v>45</v>
      </c>
      <c r="E220" s="722" t="s">
        <v>0</v>
      </c>
      <c r="F220" s="484" t="s">
        <v>62</v>
      </c>
      <c r="G220" s="484"/>
      <c r="H220" s="46">
        <v>42353</v>
      </c>
      <c r="I220" s="393" t="s">
        <v>547</v>
      </c>
      <c r="J220" s="728" t="s">
        <v>460</v>
      </c>
      <c r="K220" s="734" t="s">
        <v>141</v>
      </c>
      <c r="L220" s="725" t="s">
        <v>83</v>
      </c>
      <c r="M220" s="46">
        <v>42404</v>
      </c>
      <c r="N220" s="478" t="s">
        <v>109</v>
      </c>
      <c r="O220" s="393" t="s">
        <v>436</v>
      </c>
      <c r="P220" s="535" t="s">
        <v>768</v>
      </c>
      <c r="Q220" s="46">
        <v>42459</v>
      </c>
      <c r="R220" s="455"/>
      <c r="S220" s="477" t="s">
        <v>55</v>
      </c>
      <c r="T220" s="46"/>
      <c r="U220" s="477"/>
      <c r="V220" s="155">
        <f t="shared" si="137"/>
        <v>50</v>
      </c>
      <c r="W220" s="479" t="str">
        <f t="shared" si="138"/>
        <v>Inoportuno</v>
      </c>
      <c r="X220" s="155">
        <f t="shared" si="139"/>
        <v>-41849</v>
      </c>
      <c r="Y220" s="482"/>
    </row>
    <row r="221" spans="1:25" ht="87.75" hidden="1" customHeight="1" x14ac:dyDescent="0.2">
      <c r="A221" s="630">
        <f t="shared" si="127"/>
        <v>218</v>
      </c>
      <c r="B221" s="43" t="s">
        <v>2</v>
      </c>
      <c r="C221" s="197" t="s">
        <v>544</v>
      </c>
      <c r="D221" s="724"/>
      <c r="E221" s="724"/>
      <c r="F221" s="548" t="s">
        <v>62</v>
      </c>
      <c r="G221" s="548"/>
      <c r="H221" s="46">
        <v>42353</v>
      </c>
      <c r="I221" s="393" t="s">
        <v>547</v>
      </c>
      <c r="J221" s="729"/>
      <c r="K221" s="736"/>
      <c r="L221" s="727"/>
      <c r="M221" s="46">
        <v>42404</v>
      </c>
      <c r="N221" s="547" t="s">
        <v>54</v>
      </c>
      <c r="O221" s="393" t="s">
        <v>436</v>
      </c>
      <c r="P221" s="535" t="s">
        <v>769</v>
      </c>
      <c r="Q221" s="46">
        <v>42459</v>
      </c>
      <c r="R221" s="455"/>
      <c r="S221" s="546" t="s">
        <v>55</v>
      </c>
      <c r="T221" s="46"/>
      <c r="U221" s="546"/>
      <c r="V221" s="155">
        <f t="shared" ref="V221" si="146">DAYS360(H221,M221,0)+1</f>
        <v>50</v>
      </c>
      <c r="W221" s="550" t="str">
        <f t="shared" ref="W221" si="147">IF(V221&gt;15,"Inoportuno",(IF(V221&lt;0,"No ha formulado PM","Oportuno")))</f>
        <v>Inoportuno</v>
      </c>
      <c r="X221" s="155">
        <f t="shared" ref="X221" si="148">DAYS360(Q221,T221,0)+1</f>
        <v>-41849</v>
      </c>
      <c r="Y221" s="549"/>
    </row>
    <row r="222" spans="1:25" ht="87.75" hidden="1" customHeight="1" x14ac:dyDescent="0.2">
      <c r="A222" s="630">
        <f t="shared" si="127"/>
        <v>219</v>
      </c>
      <c r="B222" s="43" t="s">
        <v>2</v>
      </c>
      <c r="C222" s="197" t="s">
        <v>544</v>
      </c>
      <c r="D222" s="478" t="s">
        <v>45</v>
      </c>
      <c r="E222" s="483" t="s">
        <v>0</v>
      </c>
      <c r="F222" s="484" t="s">
        <v>62</v>
      </c>
      <c r="G222" s="484"/>
      <c r="H222" s="46">
        <v>42353</v>
      </c>
      <c r="I222" s="393" t="s">
        <v>548</v>
      </c>
      <c r="J222" s="484" t="s">
        <v>82</v>
      </c>
      <c r="K222" s="476" t="s">
        <v>141</v>
      </c>
      <c r="L222" s="168" t="s">
        <v>83</v>
      </c>
      <c r="M222" s="46">
        <v>42404</v>
      </c>
      <c r="N222" s="478" t="s">
        <v>54</v>
      </c>
      <c r="O222" s="393" t="s">
        <v>436</v>
      </c>
      <c r="P222" s="535" t="s">
        <v>770</v>
      </c>
      <c r="Q222" s="46">
        <v>42459</v>
      </c>
      <c r="R222" s="455"/>
      <c r="S222" s="477" t="s">
        <v>55</v>
      </c>
      <c r="T222" s="46"/>
      <c r="U222" s="477"/>
      <c r="V222" s="155">
        <f t="shared" si="137"/>
        <v>50</v>
      </c>
      <c r="W222" s="479" t="str">
        <f t="shared" si="138"/>
        <v>Inoportuno</v>
      </c>
      <c r="X222" s="155">
        <f t="shared" si="139"/>
        <v>-41849</v>
      </c>
      <c r="Y222" s="482"/>
    </row>
    <row r="223" spans="1:25" ht="87.75" hidden="1" customHeight="1" x14ac:dyDescent="0.2">
      <c r="A223" s="630">
        <f t="shared" si="127"/>
        <v>220</v>
      </c>
      <c r="B223" s="43" t="s">
        <v>2</v>
      </c>
      <c r="C223" s="197" t="s">
        <v>544</v>
      </c>
      <c r="D223" s="722" t="s">
        <v>45</v>
      </c>
      <c r="E223" s="722" t="s">
        <v>0</v>
      </c>
      <c r="F223" s="484" t="s">
        <v>62</v>
      </c>
      <c r="G223" s="484"/>
      <c r="H223" s="46">
        <v>42353</v>
      </c>
      <c r="I223" s="393" t="s">
        <v>549</v>
      </c>
      <c r="J223" s="728" t="s">
        <v>460</v>
      </c>
      <c r="K223" s="734" t="s">
        <v>141</v>
      </c>
      <c r="L223" s="725" t="s">
        <v>83</v>
      </c>
      <c r="M223" s="46">
        <v>42404</v>
      </c>
      <c r="N223" s="478" t="s">
        <v>109</v>
      </c>
      <c r="O223" s="393" t="s">
        <v>436</v>
      </c>
      <c r="P223" s="535" t="s">
        <v>771</v>
      </c>
      <c r="Q223" s="46">
        <v>42551</v>
      </c>
      <c r="R223" s="455"/>
      <c r="S223" s="477" t="s">
        <v>55</v>
      </c>
      <c r="T223" s="46"/>
      <c r="U223" s="477"/>
      <c r="V223" s="155">
        <f t="shared" si="137"/>
        <v>50</v>
      </c>
      <c r="W223" s="479" t="str">
        <f t="shared" si="138"/>
        <v>Inoportuno</v>
      </c>
      <c r="X223" s="155">
        <f t="shared" si="139"/>
        <v>-41939</v>
      </c>
      <c r="Y223" s="482"/>
    </row>
    <row r="224" spans="1:25" ht="87.75" hidden="1" customHeight="1" x14ac:dyDescent="0.2">
      <c r="A224" s="630">
        <f t="shared" si="127"/>
        <v>221</v>
      </c>
      <c r="B224" s="43" t="s">
        <v>2</v>
      </c>
      <c r="C224" s="197" t="s">
        <v>544</v>
      </c>
      <c r="D224" s="723"/>
      <c r="E224" s="723"/>
      <c r="F224" s="548" t="s">
        <v>62</v>
      </c>
      <c r="G224" s="548"/>
      <c r="H224" s="46">
        <v>42353</v>
      </c>
      <c r="I224" s="393" t="s">
        <v>549</v>
      </c>
      <c r="J224" s="741"/>
      <c r="K224" s="735"/>
      <c r="L224" s="726"/>
      <c r="M224" s="46">
        <v>42404</v>
      </c>
      <c r="N224" s="547" t="s">
        <v>109</v>
      </c>
      <c r="O224" s="393" t="s">
        <v>436</v>
      </c>
      <c r="P224" s="535" t="s">
        <v>772</v>
      </c>
      <c r="Q224" s="46">
        <v>42551</v>
      </c>
      <c r="R224" s="455"/>
      <c r="S224" s="546" t="s">
        <v>55</v>
      </c>
      <c r="T224" s="46"/>
      <c r="U224" s="546"/>
      <c r="V224" s="155">
        <f t="shared" ref="V224:V225" si="149">DAYS360(H224,M224,0)+1</f>
        <v>50</v>
      </c>
      <c r="W224" s="550" t="str">
        <f t="shared" ref="W224:W225" si="150">IF(V224&gt;15,"Inoportuno",(IF(V224&lt;0,"No ha formulado PM","Oportuno")))</f>
        <v>Inoportuno</v>
      </c>
      <c r="X224" s="155">
        <f t="shared" ref="X224:X225" si="151">DAYS360(Q224,T224,0)+1</f>
        <v>-41939</v>
      </c>
      <c r="Y224" s="549"/>
    </row>
    <row r="225" spans="1:25" ht="87.75" hidden="1" customHeight="1" x14ac:dyDescent="0.2">
      <c r="A225" s="630">
        <f t="shared" si="127"/>
        <v>222</v>
      </c>
      <c r="B225" s="43" t="s">
        <v>2</v>
      </c>
      <c r="C225" s="197" t="s">
        <v>544</v>
      </c>
      <c r="D225" s="724"/>
      <c r="E225" s="724"/>
      <c r="F225" s="548" t="s">
        <v>62</v>
      </c>
      <c r="G225" s="548"/>
      <c r="H225" s="46">
        <v>42353</v>
      </c>
      <c r="I225" s="393" t="s">
        <v>549</v>
      </c>
      <c r="J225" s="729"/>
      <c r="K225" s="736"/>
      <c r="L225" s="727"/>
      <c r="M225" s="46">
        <v>42404</v>
      </c>
      <c r="N225" s="547" t="s">
        <v>54</v>
      </c>
      <c r="O225" s="393" t="s">
        <v>436</v>
      </c>
      <c r="P225" s="535" t="s">
        <v>773</v>
      </c>
      <c r="Q225" s="46">
        <v>42551</v>
      </c>
      <c r="R225" s="455"/>
      <c r="S225" s="546" t="s">
        <v>55</v>
      </c>
      <c r="T225" s="46"/>
      <c r="U225" s="546"/>
      <c r="V225" s="155">
        <f t="shared" si="149"/>
        <v>50</v>
      </c>
      <c r="W225" s="550" t="str">
        <f t="shared" si="150"/>
        <v>Inoportuno</v>
      </c>
      <c r="X225" s="155">
        <f t="shared" si="151"/>
        <v>-41939</v>
      </c>
      <c r="Y225" s="549"/>
    </row>
    <row r="226" spans="1:25" ht="87.75" hidden="1" customHeight="1" x14ac:dyDescent="0.2">
      <c r="A226" s="630">
        <f t="shared" si="127"/>
        <v>223</v>
      </c>
      <c r="B226" s="43" t="s">
        <v>2</v>
      </c>
      <c r="C226" s="197" t="s">
        <v>544</v>
      </c>
      <c r="D226" s="722" t="s">
        <v>45</v>
      </c>
      <c r="E226" s="722" t="s">
        <v>0</v>
      </c>
      <c r="F226" s="484" t="s">
        <v>62</v>
      </c>
      <c r="G226" s="484"/>
      <c r="H226" s="46">
        <v>42353</v>
      </c>
      <c r="I226" s="393" t="s">
        <v>550</v>
      </c>
      <c r="J226" s="728" t="s">
        <v>460</v>
      </c>
      <c r="K226" s="734" t="s">
        <v>141</v>
      </c>
      <c r="L226" s="725" t="s">
        <v>83</v>
      </c>
      <c r="M226" s="46">
        <v>42404</v>
      </c>
      <c r="N226" s="478" t="s">
        <v>109</v>
      </c>
      <c r="O226" s="393" t="s">
        <v>436</v>
      </c>
      <c r="P226" s="535" t="s">
        <v>664</v>
      </c>
      <c r="Q226" s="357">
        <v>42459</v>
      </c>
      <c r="R226" s="455"/>
      <c r="S226" s="477" t="s">
        <v>55</v>
      </c>
      <c r="T226" s="46"/>
      <c r="U226" s="477"/>
      <c r="V226" s="155">
        <f t="shared" si="137"/>
        <v>50</v>
      </c>
      <c r="W226" s="479" t="str">
        <f t="shared" si="138"/>
        <v>Inoportuno</v>
      </c>
      <c r="X226" s="155">
        <f t="shared" si="139"/>
        <v>-41849</v>
      </c>
      <c r="Y226" s="482"/>
    </row>
    <row r="227" spans="1:25" ht="87.75" hidden="1" customHeight="1" x14ac:dyDescent="0.2">
      <c r="A227" s="630">
        <f t="shared" si="127"/>
        <v>224</v>
      </c>
      <c r="B227" s="43" t="s">
        <v>2</v>
      </c>
      <c r="C227" s="197" t="s">
        <v>544</v>
      </c>
      <c r="D227" s="724"/>
      <c r="E227" s="724"/>
      <c r="F227" s="548" t="s">
        <v>62</v>
      </c>
      <c r="G227" s="548"/>
      <c r="H227" s="46">
        <v>42353</v>
      </c>
      <c r="I227" s="393" t="s">
        <v>550</v>
      </c>
      <c r="J227" s="729"/>
      <c r="K227" s="736"/>
      <c r="L227" s="727"/>
      <c r="M227" s="46">
        <v>42404</v>
      </c>
      <c r="N227" s="547" t="s">
        <v>54</v>
      </c>
      <c r="O227" s="393" t="s">
        <v>436</v>
      </c>
      <c r="P227" s="535" t="s">
        <v>774</v>
      </c>
      <c r="Q227" s="357">
        <v>42459</v>
      </c>
      <c r="R227" s="455"/>
      <c r="S227" s="546" t="s">
        <v>55</v>
      </c>
      <c r="T227" s="46"/>
      <c r="U227" s="546"/>
      <c r="V227" s="155">
        <f t="shared" ref="V227" si="152">DAYS360(H227,M227,0)+1</f>
        <v>50</v>
      </c>
      <c r="W227" s="550" t="str">
        <f t="shared" ref="W227" si="153">IF(V227&gt;15,"Inoportuno",(IF(V227&lt;0,"No ha formulado PM","Oportuno")))</f>
        <v>Inoportuno</v>
      </c>
      <c r="X227" s="155">
        <f t="shared" ref="X227" si="154">DAYS360(Q227,T227,0)+1</f>
        <v>-41849</v>
      </c>
      <c r="Y227" s="549"/>
    </row>
    <row r="228" spans="1:25" ht="87.75" hidden="1" customHeight="1" x14ac:dyDescent="0.2">
      <c r="A228" s="630">
        <f t="shared" si="127"/>
        <v>225</v>
      </c>
      <c r="B228" s="43" t="s">
        <v>2</v>
      </c>
      <c r="C228" s="197" t="s">
        <v>544</v>
      </c>
      <c r="D228" s="722" t="s">
        <v>45</v>
      </c>
      <c r="E228" s="722" t="s">
        <v>0</v>
      </c>
      <c r="F228" s="484" t="s">
        <v>62</v>
      </c>
      <c r="G228" s="484"/>
      <c r="H228" s="46">
        <v>42353</v>
      </c>
      <c r="I228" s="393" t="s">
        <v>551</v>
      </c>
      <c r="J228" s="728" t="s">
        <v>460</v>
      </c>
      <c r="K228" s="734" t="s">
        <v>141</v>
      </c>
      <c r="L228" s="725" t="s">
        <v>83</v>
      </c>
      <c r="M228" s="46">
        <v>42404</v>
      </c>
      <c r="N228" s="478" t="s">
        <v>109</v>
      </c>
      <c r="O228" s="393" t="s">
        <v>436</v>
      </c>
      <c r="P228" s="535" t="s">
        <v>583</v>
      </c>
      <c r="Q228" s="357">
        <v>42368</v>
      </c>
      <c r="R228" s="455"/>
      <c r="S228" s="477" t="s">
        <v>55</v>
      </c>
      <c r="T228" s="46"/>
      <c r="U228" s="477"/>
      <c r="V228" s="155">
        <f t="shared" si="137"/>
        <v>50</v>
      </c>
      <c r="W228" s="479" t="str">
        <f t="shared" si="138"/>
        <v>Inoportuno</v>
      </c>
      <c r="X228" s="155">
        <f t="shared" si="139"/>
        <v>-41759</v>
      </c>
      <c r="Y228" s="482"/>
    </row>
    <row r="229" spans="1:25" ht="87.75" hidden="1" customHeight="1" x14ac:dyDescent="0.2">
      <c r="A229" s="630">
        <f t="shared" si="127"/>
        <v>226</v>
      </c>
      <c r="B229" s="43" t="s">
        <v>2</v>
      </c>
      <c r="C229" s="197" t="s">
        <v>544</v>
      </c>
      <c r="D229" s="724"/>
      <c r="E229" s="724"/>
      <c r="F229" s="548" t="s">
        <v>62</v>
      </c>
      <c r="G229" s="548"/>
      <c r="H229" s="46">
        <v>42353</v>
      </c>
      <c r="I229" s="393" t="s">
        <v>551</v>
      </c>
      <c r="J229" s="729"/>
      <c r="K229" s="736"/>
      <c r="L229" s="727"/>
      <c r="M229" s="46">
        <v>42404</v>
      </c>
      <c r="N229" s="547" t="s">
        <v>54</v>
      </c>
      <c r="O229" s="393" t="s">
        <v>436</v>
      </c>
      <c r="P229" s="535" t="s">
        <v>665</v>
      </c>
      <c r="Q229" s="357">
        <v>42459</v>
      </c>
      <c r="R229" s="455"/>
      <c r="S229" s="546" t="s">
        <v>55</v>
      </c>
      <c r="T229" s="46"/>
      <c r="U229" s="546"/>
      <c r="V229" s="155">
        <f t="shared" ref="V229" si="155">DAYS360(H229,M229,0)+1</f>
        <v>50</v>
      </c>
      <c r="W229" s="550" t="str">
        <f t="shared" ref="W229" si="156">IF(V229&gt;15,"Inoportuno",(IF(V229&lt;0,"No ha formulado PM","Oportuno")))</f>
        <v>Inoportuno</v>
      </c>
      <c r="X229" s="155">
        <f t="shared" ref="X229" si="157">DAYS360(Q229,T229,0)+1</f>
        <v>-41849</v>
      </c>
      <c r="Y229" s="549"/>
    </row>
    <row r="230" spans="1:25" ht="87.75" hidden="1" customHeight="1" x14ac:dyDescent="0.2">
      <c r="A230" s="630">
        <f t="shared" si="127"/>
        <v>227</v>
      </c>
      <c r="B230" s="43" t="s">
        <v>2</v>
      </c>
      <c r="C230" s="197" t="s">
        <v>544</v>
      </c>
      <c r="D230" s="722" t="s">
        <v>45</v>
      </c>
      <c r="E230" s="722" t="s">
        <v>0</v>
      </c>
      <c r="F230" s="484" t="s">
        <v>62</v>
      </c>
      <c r="G230" s="484"/>
      <c r="H230" s="46">
        <v>42353</v>
      </c>
      <c r="I230" s="393" t="s">
        <v>552</v>
      </c>
      <c r="J230" s="728" t="s">
        <v>460</v>
      </c>
      <c r="K230" s="734" t="s">
        <v>141</v>
      </c>
      <c r="L230" s="725" t="s">
        <v>83</v>
      </c>
      <c r="M230" s="46">
        <v>42404</v>
      </c>
      <c r="N230" s="478" t="s">
        <v>109</v>
      </c>
      <c r="O230" s="393" t="s">
        <v>436</v>
      </c>
      <c r="P230" s="535" t="s">
        <v>666</v>
      </c>
      <c r="Q230" s="46">
        <v>42490</v>
      </c>
      <c r="R230" s="455"/>
      <c r="S230" s="477" t="s">
        <v>55</v>
      </c>
      <c r="T230" s="46"/>
      <c r="U230" s="477"/>
      <c r="V230" s="155">
        <f t="shared" si="137"/>
        <v>50</v>
      </c>
      <c r="W230" s="479" t="str">
        <f t="shared" si="138"/>
        <v>Inoportuno</v>
      </c>
      <c r="X230" s="155">
        <f t="shared" si="139"/>
        <v>-41879</v>
      </c>
      <c r="Y230" s="482"/>
    </row>
    <row r="231" spans="1:25" ht="87.75" hidden="1" customHeight="1" x14ac:dyDescent="0.2">
      <c r="A231" s="630">
        <f t="shared" si="127"/>
        <v>228</v>
      </c>
      <c r="B231" s="43" t="s">
        <v>2</v>
      </c>
      <c r="C231" s="197" t="s">
        <v>544</v>
      </c>
      <c r="D231" s="724"/>
      <c r="E231" s="724"/>
      <c r="F231" s="548" t="s">
        <v>62</v>
      </c>
      <c r="G231" s="548"/>
      <c r="H231" s="46">
        <v>42353</v>
      </c>
      <c r="I231" s="393" t="s">
        <v>552</v>
      </c>
      <c r="J231" s="729"/>
      <c r="K231" s="736"/>
      <c r="L231" s="727"/>
      <c r="M231" s="46">
        <v>42404</v>
      </c>
      <c r="N231" s="547" t="s">
        <v>54</v>
      </c>
      <c r="O231" s="393" t="s">
        <v>436</v>
      </c>
      <c r="P231" s="535" t="s">
        <v>775</v>
      </c>
      <c r="Q231" s="46">
        <v>42490</v>
      </c>
      <c r="R231" s="455"/>
      <c r="S231" s="546" t="s">
        <v>55</v>
      </c>
      <c r="T231" s="46"/>
      <c r="U231" s="546"/>
      <c r="V231" s="155">
        <f t="shared" ref="V231" si="158">DAYS360(H231,M231,0)+1</f>
        <v>50</v>
      </c>
      <c r="W231" s="550" t="str">
        <f t="shared" ref="W231" si="159">IF(V231&gt;15,"Inoportuno",(IF(V231&lt;0,"No ha formulado PM","Oportuno")))</f>
        <v>Inoportuno</v>
      </c>
      <c r="X231" s="155">
        <f t="shared" ref="X231" si="160">DAYS360(Q231,T231,0)+1</f>
        <v>-41879</v>
      </c>
      <c r="Y231" s="549"/>
    </row>
    <row r="232" spans="1:25" ht="87.75" hidden="1" customHeight="1" x14ac:dyDescent="0.2">
      <c r="A232" s="630">
        <f t="shared" si="127"/>
        <v>229</v>
      </c>
      <c r="B232" s="43" t="s">
        <v>2</v>
      </c>
      <c r="C232" s="197" t="s">
        <v>544</v>
      </c>
      <c r="D232" s="722" t="s">
        <v>45</v>
      </c>
      <c r="E232" s="722" t="s">
        <v>0</v>
      </c>
      <c r="F232" s="484" t="s">
        <v>62</v>
      </c>
      <c r="G232" s="484"/>
      <c r="H232" s="46">
        <v>42353</v>
      </c>
      <c r="I232" s="393" t="s">
        <v>553</v>
      </c>
      <c r="J232" s="728" t="s">
        <v>460</v>
      </c>
      <c r="K232" s="734" t="s">
        <v>141</v>
      </c>
      <c r="L232" s="725" t="s">
        <v>83</v>
      </c>
      <c r="M232" s="46">
        <v>42404</v>
      </c>
      <c r="N232" s="478" t="s">
        <v>109</v>
      </c>
      <c r="O232" s="393" t="s">
        <v>436</v>
      </c>
      <c r="P232" s="535" t="s">
        <v>776</v>
      </c>
      <c r="Q232" s="46">
        <v>42459</v>
      </c>
      <c r="R232" s="455"/>
      <c r="S232" s="546" t="s">
        <v>55</v>
      </c>
      <c r="T232" s="46"/>
      <c r="U232" s="477"/>
      <c r="V232" s="155">
        <f t="shared" si="137"/>
        <v>50</v>
      </c>
      <c r="W232" s="479" t="str">
        <f t="shared" si="138"/>
        <v>Inoportuno</v>
      </c>
      <c r="X232" s="155">
        <f t="shared" si="139"/>
        <v>-41849</v>
      </c>
      <c r="Y232" s="482"/>
    </row>
    <row r="233" spans="1:25" ht="87.75" hidden="1" customHeight="1" x14ac:dyDescent="0.2">
      <c r="A233" s="630">
        <f t="shared" si="127"/>
        <v>230</v>
      </c>
      <c r="B233" s="43" t="s">
        <v>2</v>
      </c>
      <c r="C233" s="197" t="s">
        <v>544</v>
      </c>
      <c r="D233" s="724"/>
      <c r="E233" s="724"/>
      <c r="F233" s="548" t="s">
        <v>62</v>
      </c>
      <c r="G233" s="548"/>
      <c r="H233" s="46">
        <v>42353</v>
      </c>
      <c r="I233" s="393" t="s">
        <v>553</v>
      </c>
      <c r="J233" s="729"/>
      <c r="K233" s="736"/>
      <c r="L233" s="727"/>
      <c r="M233" s="46">
        <v>42404</v>
      </c>
      <c r="N233" s="547" t="s">
        <v>54</v>
      </c>
      <c r="O233" s="393" t="s">
        <v>436</v>
      </c>
      <c r="P233" s="535" t="s">
        <v>777</v>
      </c>
      <c r="Q233" s="46">
        <v>42459</v>
      </c>
      <c r="R233" s="455"/>
      <c r="S233" s="546" t="s">
        <v>55</v>
      </c>
      <c r="T233" s="46"/>
      <c r="U233" s="546"/>
      <c r="V233" s="155">
        <f t="shared" ref="V233" si="161">DAYS360(H233,M233,0)+1</f>
        <v>50</v>
      </c>
      <c r="W233" s="550" t="str">
        <f t="shared" ref="W233" si="162">IF(V233&gt;15,"Inoportuno",(IF(V233&lt;0,"No ha formulado PM","Oportuno")))</f>
        <v>Inoportuno</v>
      </c>
      <c r="X233" s="155">
        <f t="shared" ref="X233" si="163">DAYS360(Q233,T233,0)+1</f>
        <v>-41849</v>
      </c>
      <c r="Y233" s="549"/>
    </row>
    <row r="234" spans="1:25" ht="87.75" hidden="1" customHeight="1" x14ac:dyDescent="0.2">
      <c r="A234" s="630">
        <f t="shared" si="127"/>
        <v>231</v>
      </c>
      <c r="B234" s="43" t="s">
        <v>2</v>
      </c>
      <c r="C234" s="197" t="s">
        <v>544</v>
      </c>
      <c r="D234" s="722" t="s">
        <v>45</v>
      </c>
      <c r="E234" s="722" t="s">
        <v>0</v>
      </c>
      <c r="F234" s="484" t="s">
        <v>62</v>
      </c>
      <c r="G234" s="484"/>
      <c r="H234" s="46">
        <v>42353</v>
      </c>
      <c r="I234" s="393" t="s">
        <v>554</v>
      </c>
      <c r="J234" s="728" t="s">
        <v>460</v>
      </c>
      <c r="K234" s="734" t="s">
        <v>141</v>
      </c>
      <c r="L234" s="725" t="s">
        <v>83</v>
      </c>
      <c r="M234" s="46">
        <v>42404</v>
      </c>
      <c r="N234" s="478" t="s">
        <v>109</v>
      </c>
      <c r="O234" s="393" t="s">
        <v>436</v>
      </c>
      <c r="P234" s="535" t="s">
        <v>778</v>
      </c>
      <c r="Q234" s="46">
        <v>42459</v>
      </c>
      <c r="R234" s="455"/>
      <c r="S234" s="546" t="s">
        <v>55</v>
      </c>
      <c r="T234" s="46"/>
      <c r="U234" s="477"/>
      <c r="V234" s="155">
        <f t="shared" si="137"/>
        <v>50</v>
      </c>
      <c r="W234" s="479" t="str">
        <f t="shared" si="138"/>
        <v>Inoportuno</v>
      </c>
      <c r="X234" s="155">
        <f t="shared" si="139"/>
        <v>-41849</v>
      </c>
      <c r="Y234" s="482"/>
    </row>
    <row r="235" spans="1:25" ht="87.75" hidden="1" customHeight="1" x14ac:dyDescent="0.2">
      <c r="A235" s="630">
        <f t="shared" si="127"/>
        <v>232</v>
      </c>
      <c r="B235" s="43" t="s">
        <v>2</v>
      </c>
      <c r="C235" s="197" t="s">
        <v>544</v>
      </c>
      <c r="D235" s="723"/>
      <c r="E235" s="723"/>
      <c r="F235" s="548" t="s">
        <v>62</v>
      </c>
      <c r="G235" s="548"/>
      <c r="H235" s="46">
        <v>42353</v>
      </c>
      <c r="I235" s="393" t="s">
        <v>554</v>
      </c>
      <c r="J235" s="741"/>
      <c r="K235" s="735"/>
      <c r="L235" s="726"/>
      <c r="M235" s="46">
        <v>42404</v>
      </c>
      <c r="N235" s="547" t="s">
        <v>109</v>
      </c>
      <c r="O235" s="393" t="s">
        <v>436</v>
      </c>
      <c r="P235" s="535" t="s">
        <v>667</v>
      </c>
      <c r="Q235" s="46">
        <v>42459</v>
      </c>
      <c r="R235" s="455"/>
      <c r="S235" s="546" t="s">
        <v>55</v>
      </c>
      <c r="T235" s="46"/>
      <c r="U235" s="546"/>
      <c r="V235" s="155">
        <f t="shared" ref="V235:V237" si="164">DAYS360(H235,M235,0)+1</f>
        <v>50</v>
      </c>
      <c r="W235" s="550" t="str">
        <f t="shared" ref="W235:W237" si="165">IF(V235&gt;15,"Inoportuno",(IF(V235&lt;0,"No ha formulado PM","Oportuno")))</f>
        <v>Inoportuno</v>
      </c>
      <c r="X235" s="155">
        <f t="shared" ref="X235:X237" si="166">DAYS360(Q235,T235,0)+1</f>
        <v>-41849</v>
      </c>
      <c r="Y235" s="549"/>
    </row>
    <row r="236" spans="1:25" ht="87.75" hidden="1" customHeight="1" x14ac:dyDescent="0.2">
      <c r="A236" s="630">
        <f t="shared" si="127"/>
        <v>233</v>
      </c>
      <c r="B236" s="43" t="s">
        <v>2</v>
      </c>
      <c r="C236" s="197" t="s">
        <v>544</v>
      </c>
      <c r="D236" s="724"/>
      <c r="E236" s="724"/>
      <c r="F236" s="548" t="s">
        <v>62</v>
      </c>
      <c r="G236" s="548"/>
      <c r="H236" s="46">
        <v>42353</v>
      </c>
      <c r="I236" s="393" t="s">
        <v>554</v>
      </c>
      <c r="J236" s="729"/>
      <c r="K236" s="736"/>
      <c r="L236" s="727"/>
      <c r="M236" s="46">
        <v>42404</v>
      </c>
      <c r="N236" s="547" t="s">
        <v>54</v>
      </c>
      <c r="O236" s="393" t="s">
        <v>436</v>
      </c>
      <c r="P236" s="535" t="s">
        <v>779</v>
      </c>
      <c r="Q236" s="46">
        <v>42459</v>
      </c>
      <c r="R236" s="455"/>
      <c r="S236" s="546" t="s">
        <v>55</v>
      </c>
      <c r="T236" s="46"/>
      <c r="U236" s="546"/>
      <c r="V236" s="155">
        <f t="shared" si="164"/>
        <v>50</v>
      </c>
      <c r="W236" s="550" t="str">
        <f t="shared" si="165"/>
        <v>Inoportuno</v>
      </c>
      <c r="X236" s="155">
        <f t="shared" si="166"/>
        <v>-41849</v>
      </c>
      <c r="Y236" s="549"/>
    </row>
    <row r="237" spans="1:25" ht="87.75" hidden="1" customHeight="1" x14ac:dyDescent="0.2">
      <c r="A237" s="630">
        <f t="shared" si="127"/>
        <v>234</v>
      </c>
      <c r="B237" s="43" t="s">
        <v>2</v>
      </c>
      <c r="C237" s="197" t="s">
        <v>544</v>
      </c>
      <c r="D237" s="722" t="s">
        <v>45</v>
      </c>
      <c r="E237" s="722" t="s">
        <v>0</v>
      </c>
      <c r="F237" s="548" t="s">
        <v>62</v>
      </c>
      <c r="G237" s="548"/>
      <c r="H237" s="46">
        <v>42353</v>
      </c>
      <c r="I237" s="393" t="s">
        <v>555</v>
      </c>
      <c r="J237" s="728" t="s">
        <v>460</v>
      </c>
      <c r="K237" s="734" t="s">
        <v>141</v>
      </c>
      <c r="L237" s="725" t="s">
        <v>83</v>
      </c>
      <c r="M237" s="46">
        <v>42404</v>
      </c>
      <c r="N237" s="547" t="s">
        <v>109</v>
      </c>
      <c r="O237" s="393" t="s">
        <v>436</v>
      </c>
      <c r="P237" s="535" t="s">
        <v>584</v>
      </c>
      <c r="Q237" s="357">
        <v>42459</v>
      </c>
      <c r="R237" s="455"/>
      <c r="S237" s="546" t="s">
        <v>55</v>
      </c>
      <c r="T237" s="46"/>
      <c r="U237" s="546"/>
      <c r="V237" s="155">
        <f t="shared" si="164"/>
        <v>50</v>
      </c>
      <c r="W237" s="550" t="str">
        <f t="shared" si="165"/>
        <v>Inoportuno</v>
      </c>
      <c r="X237" s="155">
        <f t="shared" si="166"/>
        <v>-41849</v>
      </c>
      <c r="Y237" s="549"/>
    </row>
    <row r="238" spans="1:25" ht="17.25" hidden="1" customHeight="1" x14ac:dyDescent="0.2">
      <c r="A238" s="630">
        <f t="shared" si="127"/>
        <v>235</v>
      </c>
      <c r="B238" s="43" t="s">
        <v>2</v>
      </c>
      <c r="C238" s="197" t="s">
        <v>544</v>
      </c>
      <c r="D238" s="724"/>
      <c r="E238" s="724"/>
      <c r="F238" s="484" t="s">
        <v>62</v>
      </c>
      <c r="G238" s="484"/>
      <c r="H238" s="46">
        <v>42353</v>
      </c>
      <c r="I238" s="393" t="s">
        <v>555</v>
      </c>
      <c r="J238" s="729"/>
      <c r="K238" s="736"/>
      <c r="L238" s="727"/>
      <c r="M238" s="46">
        <v>42404</v>
      </c>
      <c r="N238" s="501" t="s">
        <v>54</v>
      </c>
      <c r="O238" s="393" t="s">
        <v>436</v>
      </c>
      <c r="P238" s="535" t="s">
        <v>668</v>
      </c>
      <c r="Q238" s="357">
        <v>42459</v>
      </c>
      <c r="R238" s="455"/>
      <c r="S238" s="477" t="s">
        <v>55</v>
      </c>
      <c r="T238" s="46"/>
      <c r="U238" s="477"/>
      <c r="V238" s="155">
        <f t="shared" si="137"/>
        <v>50</v>
      </c>
      <c r="W238" s="479" t="str">
        <f t="shared" si="138"/>
        <v>Inoportuno</v>
      </c>
      <c r="X238" s="155">
        <f t="shared" si="139"/>
        <v>-41849</v>
      </c>
      <c r="Y238" s="482"/>
    </row>
    <row r="239" spans="1:25" ht="132" customHeight="1" x14ac:dyDescent="0.2">
      <c r="A239" s="685">
        <f t="shared" si="127"/>
        <v>236</v>
      </c>
      <c r="B239" s="43" t="s">
        <v>25</v>
      </c>
      <c r="C239" s="684" t="s">
        <v>528</v>
      </c>
      <c r="D239" s="722" t="s">
        <v>45</v>
      </c>
      <c r="E239" s="722" t="s">
        <v>0</v>
      </c>
      <c r="F239" s="536" t="s">
        <v>63</v>
      </c>
      <c r="G239" s="484"/>
      <c r="H239" s="697">
        <v>42361</v>
      </c>
      <c r="I239" s="393" t="s">
        <v>512</v>
      </c>
      <c r="J239" s="722" t="s">
        <v>460</v>
      </c>
      <c r="K239" s="722" t="s">
        <v>141</v>
      </c>
      <c r="L239" s="725" t="s">
        <v>83</v>
      </c>
      <c r="M239" s="697">
        <v>42368</v>
      </c>
      <c r="N239" s="684" t="s">
        <v>54</v>
      </c>
      <c r="O239" s="345" t="s">
        <v>563</v>
      </c>
      <c r="P239" s="543" t="s">
        <v>780</v>
      </c>
      <c r="Q239" s="699">
        <v>42506</v>
      </c>
      <c r="R239" s="543" t="s">
        <v>1183</v>
      </c>
      <c r="S239" s="685" t="s">
        <v>55</v>
      </c>
      <c r="T239" s="697"/>
      <c r="U239" s="685"/>
      <c r="V239" s="155">
        <f t="shared" ref="V239" si="167">DAYS360(H239,M239,0)+1</f>
        <v>8</v>
      </c>
      <c r="W239" s="687" t="str">
        <f t="shared" ref="W239" si="168">IF(V239&gt;15,"Inoportuno",(IF(V239&lt;0,"No ha formulado PM","Oportuno")))</f>
        <v>Oportuno</v>
      </c>
      <c r="X239" s="155">
        <f t="shared" ref="X239" si="169">DAYS360(Q239,T239,0)+1</f>
        <v>-41895</v>
      </c>
      <c r="Y239" s="685"/>
    </row>
    <row r="240" spans="1:25" ht="87.75" customHeight="1" x14ac:dyDescent="0.2">
      <c r="A240" s="685">
        <f t="shared" si="127"/>
        <v>237</v>
      </c>
      <c r="B240" s="43" t="s">
        <v>25</v>
      </c>
      <c r="C240" s="684" t="s">
        <v>528</v>
      </c>
      <c r="D240" s="724"/>
      <c r="E240" s="724"/>
      <c r="F240" s="536" t="s">
        <v>63</v>
      </c>
      <c r="G240" s="536"/>
      <c r="H240" s="697">
        <v>42361</v>
      </c>
      <c r="I240" s="393" t="s">
        <v>512</v>
      </c>
      <c r="J240" s="724"/>
      <c r="K240" s="724"/>
      <c r="L240" s="727"/>
      <c r="M240" s="697">
        <v>42368</v>
      </c>
      <c r="N240" s="684" t="s">
        <v>54</v>
      </c>
      <c r="O240" s="345" t="s">
        <v>563</v>
      </c>
      <c r="P240" s="543" t="s">
        <v>628</v>
      </c>
      <c r="Q240" s="699">
        <v>42566</v>
      </c>
      <c r="R240" s="543" t="s">
        <v>1184</v>
      </c>
      <c r="S240" s="685" t="s">
        <v>55</v>
      </c>
      <c r="T240" s="697"/>
      <c r="U240" s="685"/>
      <c r="V240" s="155">
        <f t="shared" ref="V240" si="170">DAYS360(H240,M240,0)+1</f>
        <v>8</v>
      </c>
      <c r="W240" s="687" t="str">
        <f t="shared" ref="W240" si="171">IF(V240&gt;15,"Inoportuno",(IF(V240&lt;0,"No ha formulado PM","Oportuno")))</f>
        <v>Oportuno</v>
      </c>
      <c r="X240" s="155">
        <f t="shared" ref="X240" si="172">DAYS360(Q240,T240,0)+1</f>
        <v>-41954</v>
      </c>
      <c r="Y240" s="685"/>
    </row>
    <row r="241" spans="1:25" ht="87.75" customHeight="1" x14ac:dyDescent="0.2">
      <c r="A241" s="685">
        <f t="shared" si="127"/>
        <v>238</v>
      </c>
      <c r="B241" s="43" t="s">
        <v>25</v>
      </c>
      <c r="C241" s="684" t="s">
        <v>528</v>
      </c>
      <c r="D241" s="684" t="s">
        <v>45</v>
      </c>
      <c r="E241" s="689" t="s">
        <v>0</v>
      </c>
      <c r="F241" s="484" t="s">
        <v>63</v>
      </c>
      <c r="G241" s="484"/>
      <c r="H241" s="697">
        <v>42361</v>
      </c>
      <c r="I241" s="393" t="s">
        <v>781</v>
      </c>
      <c r="J241" s="684" t="s">
        <v>460</v>
      </c>
      <c r="K241" s="683" t="s">
        <v>141</v>
      </c>
      <c r="L241" s="168" t="s">
        <v>83</v>
      </c>
      <c r="M241" s="697">
        <v>42368</v>
      </c>
      <c r="N241" s="684" t="s">
        <v>54</v>
      </c>
      <c r="O241" s="345" t="s">
        <v>563</v>
      </c>
      <c r="P241" s="543" t="s">
        <v>782</v>
      </c>
      <c r="Q241" s="698">
        <v>42429</v>
      </c>
      <c r="R241" s="543" t="s">
        <v>1165</v>
      </c>
      <c r="S241" s="685" t="s">
        <v>59</v>
      </c>
      <c r="T241" s="697">
        <v>42581</v>
      </c>
      <c r="U241" s="685"/>
      <c r="V241" s="155">
        <f t="shared" ref="V241:V248" si="173">DAYS360(H241,M241,0)+1</f>
        <v>8</v>
      </c>
      <c r="W241" s="687" t="str">
        <f t="shared" ref="W241:W248" si="174">IF(V241&gt;15,"Inoportuno",(IF(V241&lt;0,"No ha formulado PM","Oportuno")))</f>
        <v>Oportuno</v>
      </c>
      <c r="X241" s="155">
        <f t="shared" ref="X241:X248" si="175">DAYS360(Q241,T241,0)+1</f>
        <v>151</v>
      </c>
      <c r="Y241" s="685"/>
    </row>
    <row r="242" spans="1:25" ht="172.5" customHeight="1" x14ac:dyDescent="0.2">
      <c r="A242" s="685">
        <f t="shared" si="127"/>
        <v>239</v>
      </c>
      <c r="B242" s="43" t="s">
        <v>25</v>
      </c>
      <c r="C242" s="684" t="s">
        <v>528</v>
      </c>
      <c r="D242" s="722" t="s">
        <v>45</v>
      </c>
      <c r="E242" s="722" t="s">
        <v>0</v>
      </c>
      <c r="F242" s="484" t="s">
        <v>63</v>
      </c>
      <c r="G242" s="484"/>
      <c r="H242" s="697">
        <v>42361</v>
      </c>
      <c r="I242" s="393" t="s">
        <v>513</v>
      </c>
      <c r="J242" s="722" t="s">
        <v>460</v>
      </c>
      <c r="K242" s="722" t="s">
        <v>141</v>
      </c>
      <c r="L242" s="725" t="s">
        <v>83</v>
      </c>
      <c r="M242" s="697">
        <v>42368</v>
      </c>
      <c r="N242" s="684" t="s">
        <v>54</v>
      </c>
      <c r="O242" s="345" t="s">
        <v>564</v>
      </c>
      <c r="P242" s="543" t="s">
        <v>783</v>
      </c>
      <c r="Q242" s="698">
        <v>42490</v>
      </c>
      <c r="R242" s="543" t="s">
        <v>1175</v>
      </c>
      <c r="S242" s="685" t="s">
        <v>59</v>
      </c>
      <c r="T242" s="697">
        <v>42581</v>
      </c>
      <c r="U242" s="685" t="s">
        <v>1157</v>
      </c>
      <c r="V242" s="155">
        <f t="shared" si="173"/>
        <v>8</v>
      </c>
      <c r="W242" s="687" t="str">
        <f t="shared" si="174"/>
        <v>Oportuno</v>
      </c>
      <c r="X242" s="155">
        <f t="shared" si="175"/>
        <v>91</v>
      </c>
      <c r="Y242" s="685"/>
    </row>
    <row r="243" spans="1:25" ht="117.75" customHeight="1" x14ac:dyDescent="0.2">
      <c r="A243" s="685">
        <f t="shared" si="127"/>
        <v>240</v>
      </c>
      <c r="B243" s="43" t="s">
        <v>25</v>
      </c>
      <c r="C243" s="684" t="s">
        <v>528</v>
      </c>
      <c r="D243" s="724"/>
      <c r="E243" s="724"/>
      <c r="F243" s="536" t="s">
        <v>63</v>
      </c>
      <c r="G243" s="536"/>
      <c r="H243" s="697">
        <v>42361</v>
      </c>
      <c r="I243" s="393" t="s">
        <v>513</v>
      </c>
      <c r="J243" s="724"/>
      <c r="K243" s="724"/>
      <c r="L243" s="727"/>
      <c r="M243" s="697">
        <v>42368</v>
      </c>
      <c r="N243" s="684" t="s">
        <v>54</v>
      </c>
      <c r="O243" s="345" t="s">
        <v>564</v>
      </c>
      <c r="P243" s="543" t="s">
        <v>629</v>
      </c>
      <c r="Q243" s="698">
        <v>42734</v>
      </c>
      <c r="R243" s="543" t="s">
        <v>1191</v>
      </c>
      <c r="S243" s="685" t="s">
        <v>59</v>
      </c>
      <c r="T243" s="697">
        <v>42612</v>
      </c>
      <c r="U243" s="685"/>
      <c r="V243" s="155">
        <f t="shared" ref="V243" si="176">DAYS360(H243,M243,0)+1</f>
        <v>8</v>
      </c>
      <c r="W243" s="687" t="str">
        <f t="shared" ref="W243" si="177">IF(V243&gt;15,"Inoportuno",(IF(V243&lt;0,"No ha formulado PM","Oportuno")))</f>
        <v>Oportuno</v>
      </c>
      <c r="X243" s="155">
        <f t="shared" ref="X243" si="178">DAYS360(Q243,T243,0)+1</f>
        <v>-119</v>
      </c>
      <c r="Y243" s="685"/>
    </row>
    <row r="244" spans="1:25" ht="107.25" customHeight="1" x14ac:dyDescent="0.2">
      <c r="A244" s="685">
        <f t="shared" si="127"/>
        <v>241</v>
      </c>
      <c r="B244" s="43" t="s">
        <v>25</v>
      </c>
      <c r="C244" s="684" t="s">
        <v>528</v>
      </c>
      <c r="D244" s="684" t="s">
        <v>45</v>
      </c>
      <c r="E244" s="689" t="s">
        <v>0</v>
      </c>
      <c r="F244" s="484" t="s">
        <v>63</v>
      </c>
      <c r="G244" s="484"/>
      <c r="H244" s="697">
        <v>42361</v>
      </c>
      <c r="I244" s="393" t="s">
        <v>784</v>
      </c>
      <c r="J244" s="684" t="s">
        <v>460</v>
      </c>
      <c r="K244" s="683" t="s">
        <v>142</v>
      </c>
      <c r="L244" s="168" t="s">
        <v>83</v>
      </c>
      <c r="M244" s="697">
        <v>42368</v>
      </c>
      <c r="N244" s="684" t="s">
        <v>109</v>
      </c>
      <c r="O244" s="345" t="s">
        <v>785</v>
      </c>
      <c r="P244" s="543" t="s">
        <v>786</v>
      </c>
      <c r="Q244" s="698">
        <v>42369</v>
      </c>
      <c r="R244" s="543" t="s">
        <v>1185</v>
      </c>
      <c r="S244" s="685" t="s">
        <v>59</v>
      </c>
      <c r="T244" s="697">
        <v>42451</v>
      </c>
      <c r="U244" s="684" t="s">
        <v>1161</v>
      </c>
      <c r="V244" s="155">
        <f t="shared" si="173"/>
        <v>8</v>
      </c>
      <c r="W244" s="687" t="str">
        <f t="shared" si="174"/>
        <v>Oportuno</v>
      </c>
      <c r="X244" s="155">
        <f t="shared" si="175"/>
        <v>83</v>
      </c>
      <c r="Y244" s="685"/>
    </row>
    <row r="245" spans="1:25" ht="135.75" customHeight="1" x14ac:dyDescent="0.2">
      <c r="A245" s="685">
        <f t="shared" si="127"/>
        <v>242</v>
      </c>
      <c r="B245" s="43" t="s">
        <v>25</v>
      </c>
      <c r="C245" s="684" t="s">
        <v>528</v>
      </c>
      <c r="D245" s="684" t="s">
        <v>45</v>
      </c>
      <c r="E245" s="689" t="s">
        <v>0</v>
      </c>
      <c r="F245" s="484" t="s">
        <v>63</v>
      </c>
      <c r="G245" s="484"/>
      <c r="H245" s="697">
        <v>42361</v>
      </c>
      <c r="I245" s="393" t="s">
        <v>787</v>
      </c>
      <c r="J245" s="684" t="s">
        <v>82</v>
      </c>
      <c r="K245" s="683" t="s">
        <v>141</v>
      </c>
      <c r="L245" s="168" t="s">
        <v>83</v>
      </c>
      <c r="M245" s="697">
        <v>42368</v>
      </c>
      <c r="N245" s="684" t="s">
        <v>54</v>
      </c>
      <c r="O245" s="345" t="s">
        <v>563</v>
      </c>
      <c r="P245" s="543" t="s">
        <v>1158</v>
      </c>
      <c r="Q245" s="357">
        <v>42520</v>
      </c>
      <c r="R245" s="543" t="s">
        <v>1170</v>
      </c>
      <c r="S245" s="685" t="s">
        <v>59</v>
      </c>
      <c r="T245" s="46">
        <v>42581</v>
      </c>
      <c r="U245" s="685"/>
      <c r="V245" s="155">
        <f t="shared" si="173"/>
        <v>8</v>
      </c>
      <c r="W245" s="687" t="str">
        <f t="shared" si="174"/>
        <v>Oportuno</v>
      </c>
      <c r="X245" s="155">
        <f t="shared" si="175"/>
        <v>61</v>
      </c>
      <c r="Y245" s="685"/>
    </row>
    <row r="246" spans="1:25" ht="141.75" customHeight="1" x14ac:dyDescent="0.2">
      <c r="A246" s="685">
        <f t="shared" si="127"/>
        <v>243</v>
      </c>
      <c r="B246" s="43" t="s">
        <v>25</v>
      </c>
      <c r="C246" s="684" t="s">
        <v>528</v>
      </c>
      <c r="D246" s="684" t="s">
        <v>45</v>
      </c>
      <c r="E246" s="689" t="s">
        <v>0</v>
      </c>
      <c r="F246" s="484" t="s">
        <v>63</v>
      </c>
      <c r="G246" s="484"/>
      <c r="H246" s="697">
        <v>42361</v>
      </c>
      <c r="I246" s="393" t="s">
        <v>788</v>
      </c>
      <c r="J246" s="684" t="s">
        <v>82</v>
      </c>
      <c r="K246" s="683" t="s">
        <v>141</v>
      </c>
      <c r="L246" s="168" t="s">
        <v>83</v>
      </c>
      <c r="M246" s="697">
        <v>42368</v>
      </c>
      <c r="N246" s="684" t="s">
        <v>54</v>
      </c>
      <c r="O246" s="345" t="s">
        <v>565</v>
      </c>
      <c r="P246" s="543" t="s">
        <v>789</v>
      </c>
      <c r="Q246" s="701">
        <v>42520</v>
      </c>
      <c r="R246" s="543" t="s">
        <v>1171</v>
      </c>
      <c r="S246" s="685" t="s">
        <v>55</v>
      </c>
      <c r="T246" s="697"/>
      <c r="U246" s="685"/>
      <c r="V246" s="155">
        <f t="shared" si="173"/>
        <v>8</v>
      </c>
      <c r="W246" s="687" t="str">
        <f t="shared" si="174"/>
        <v>Oportuno</v>
      </c>
      <c r="X246" s="155">
        <f t="shared" si="175"/>
        <v>-41909</v>
      </c>
      <c r="Y246" s="685"/>
    </row>
    <row r="247" spans="1:25" ht="126" customHeight="1" x14ac:dyDescent="0.2">
      <c r="A247" s="685">
        <f t="shared" si="127"/>
        <v>244</v>
      </c>
      <c r="B247" s="43" t="s">
        <v>25</v>
      </c>
      <c r="C247" s="684" t="s">
        <v>528</v>
      </c>
      <c r="D247" s="722" t="s">
        <v>45</v>
      </c>
      <c r="E247" s="722" t="s">
        <v>0</v>
      </c>
      <c r="F247" s="484" t="s">
        <v>63</v>
      </c>
      <c r="G247" s="484"/>
      <c r="H247" s="697">
        <v>42361</v>
      </c>
      <c r="I247" s="393" t="s">
        <v>790</v>
      </c>
      <c r="J247" s="722" t="s">
        <v>460</v>
      </c>
      <c r="K247" s="722" t="s">
        <v>141</v>
      </c>
      <c r="L247" s="725" t="s">
        <v>83</v>
      </c>
      <c r="M247" s="697">
        <v>42368</v>
      </c>
      <c r="N247" s="684" t="s">
        <v>54</v>
      </c>
      <c r="O247" s="345" t="s">
        <v>563</v>
      </c>
      <c r="P247" s="543" t="s">
        <v>791</v>
      </c>
      <c r="Q247" s="698">
        <v>42551</v>
      </c>
      <c r="R247" s="543" t="s">
        <v>1186</v>
      </c>
      <c r="S247" s="685" t="s">
        <v>55</v>
      </c>
      <c r="T247" s="697"/>
      <c r="U247" s="685"/>
      <c r="V247" s="155">
        <f t="shared" ref="V247" si="179">DAYS360(H247,M247,0)+1</f>
        <v>8</v>
      </c>
      <c r="W247" s="687" t="str">
        <f t="shared" ref="W247" si="180">IF(V247&gt;15,"Inoportuno",(IF(V247&lt;0,"No ha formulado PM","Oportuno")))</f>
        <v>Oportuno</v>
      </c>
      <c r="X247" s="155">
        <f t="shared" ref="X247" si="181">DAYS360(Q247,T247,0)+1</f>
        <v>-41939</v>
      </c>
      <c r="Y247" s="685"/>
    </row>
    <row r="248" spans="1:25" ht="87" customHeight="1" x14ac:dyDescent="0.2">
      <c r="A248" s="685">
        <f t="shared" si="127"/>
        <v>245</v>
      </c>
      <c r="B248" s="43" t="s">
        <v>25</v>
      </c>
      <c r="C248" s="684" t="s">
        <v>528</v>
      </c>
      <c r="D248" s="724"/>
      <c r="E248" s="724"/>
      <c r="F248" s="484" t="s">
        <v>63</v>
      </c>
      <c r="G248" s="484"/>
      <c r="H248" s="697">
        <v>42361</v>
      </c>
      <c r="I248" s="393" t="s">
        <v>790</v>
      </c>
      <c r="J248" s="724"/>
      <c r="K248" s="724"/>
      <c r="L248" s="727"/>
      <c r="M248" s="697">
        <v>42368</v>
      </c>
      <c r="N248" s="684" t="s">
        <v>54</v>
      </c>
      <c r="O248" s="345" t="s">
        <v>566</v>
      </c>
      <c r="P248" s="543" t="s">
        <v>792</v>
      </c>
      <c r="Q248" s="698">
        <v>42551</v>
      </c>
      <c r="R248" s="543" t="s">
        <v>1187</v>
      </c>
      <c r="S248" s="685" t="s">
        <v>55</v>
      </c>
      <c r="T248" s="697"/>
      <c r="U248" s="685"/>
      <c r="V248" s="155">
        <f t="shared" si="173"/>
        <v>8</v>
      </c>
      <c r="W248" s="687" t="str">
        <f t="shared" si="174"/>
        <v>Oportuno</v>
      </c>
      <c r="X248" s="155">
        <f t="shared" si="175"/>
        <v>-41939</v>
      </c>
      <c r="Y248" s="685"/>
    </row>
    <row r="249" spans="1:25" ht="58.5" hidden="1" customHeight="1" x14ac:dyDescent="0.2">
      <c r="A249" s="630">
        <f t="shared" si="127"/>
        <v>246</v>
      </c>
      <c r="B249" s="43" t="s">
        <v>53</v>
      </c>
      <c r="C249" s="197" t="s">
        <v>514</v>
      </c>
      <c r="D249" s="478" t="s">
        <v>45</v>
      </c>
      <c r="E249" s="483" t="s">
        <v>225</v>
      </c>
      <c r="F249" s="484" t="s">
        <v>63</v>
      </c>
      <c r="G249" s="484"/>
      <c r="H249" s="46">
        <v>42361</v>
      </c>
      <c r="I249" s="197" t="s">
        <v>515</v>
      </c>
      <c r="J249" s="45" t="s">
        <v>82</v>
      </c>
      <c r="K249" s="434"/>
      <c r="L249" s="168" t="s">
        <v>84</v>
      </c>
      <c r="M249" s="46"/>
      <c r="N249" s="436"/>
      <c r="O249" s="436"/>
      <c r="P249" s="535"/>
      <c r="Q249" s="46"/>
      <c r="R249" s="154"/>
      <c r="S249" s="435"/>
      <c r="T249" s="46"/>
      <c r="U249" s="435"/>
      <c r="V249" s="155">
        <f t="shared" si="114"/>
        <v>-41752</v>
      </c>
      <c r="W249" s="437" t="str">
        <f t="shared" si="115"/>
        <v>No ha formulado PM</v>
      </c>
      <c r="X249" s="155">
        <f t="shared" si="116"/>
        <v>1</v>
      </c>
      <c r="Y249" s="438"/>
    </row>
    <row r="250" spans="1:25" ht="58.5" hidden="1" customHeight="1" x14ac:dyDescent="0.2">
      <c r="A250" s="630">
        <f t="shared" si="127"/>
        <v>247</v>
      </c>
      <c r="B250" s="43" t="s">
        <v>53</v>
      </c>
      <c r="C250" s="197" t="s">
        <v>514</v>
      </c>
      <c r="D250" s="478" t="s">
        <v>45</v>
      </c>
      <c r="E250" s="483" t="s">
        <v>225</v>
      </c>
      <c r="F250" s="484" t="s">
        <v>63</v>
      </c>
      <c r="G250" s="484"/>
      <c r="H250" s="46">
        <v>42361</v>
      </c>
      <c r="I250" s="197" t="s">
        <v>516</v>
      </c>
      <c r="J250" s="45" t="s">
        <v>460</v>
      </c>
      <c r="K250" s="434"/>
      <c r="L250" s="168" t="s">
        <v>84</v>
      </c>
      <c r="M250" s="46"/>
      <c r="N250" s="436"/>
      <c r="O250" s="436"/>
      <c r="P250" s="535"/>
      <c r="Q250" s="46"/>
      <c r="R250" s="154"/>
      <c r="S250" s="435"/>
      <c r="T250" s="46"/>
      <c r="U250" s="435"/>
      <c r="V250" s="155">
        <f t="shared" si="114"/>
        <v>-41752</v>
      </c>
      <c r="W250" s="437" t="str">
        <f t="shared" si="115"/>
        <v>No ha formulado PM</v>
      </c>
      <c r="X250" s="155">
        <f t="shared" si="116"/>
        <v>1</v>
      </c>
      <c r="Y250" s="438"/>
    </row>
    <row r="251" spans="1:25" ht="58.5" hidden="1" customHeight="1" x14ac:dyDescent="0.2">
      <c r="A251" s="630">
        <f t="shared" si="127"/>
        <v>248</v>
      </c>
      <c r="B251" s="43" t="s">
        <v>53</v>
      </c>
      <c r="C251" s="197" t="s">
        <v>514</v>
      </c>
      <c r="D251" s="478" t="s">
        <v>45</v>
      </c>
      <c r="E251" s="483" t="s">
        <v>225</v>
      </c>
      <c r="F251" s="484" t="s">
        <v>63</v>
      </c>
      <c r="G251" s="484"/>
      <c r="H251" s="46">
        <v>42361</v>
      </c>
      <c r="I251" s="197" t="s">
        <v>517</v>
      </c>
      <c r="J251" s="45" t="s">
        <v>82</v>
      </c>
      <c r="K251" s="434"/>
      <c r="L251" s="168" t="s">
        <v>84</v>
      </c>
      <c r="M251" s="46"/>
      <c r="N251" s="436"/>
      <c r="O251" s="436"/>
      <c r="P251" s="535"/>
      <c r="Q251" s="46"/>
      <c r="R251" s="154"/>
      <c r="S251" s="435"/>
      <c r="T251" s="46"/>
      <c r="U251" s="435"/>
      <c r="V251" s="155">
        <f t="shared" si="114"/>
        <v>-41752</v>
      </c>
      <c r="W251" s="437" t="str">
        <f t="shared" si="115"/>
        <v>No ha formulado PM</v>
      </c>
      <c r="X251" s="155">
        <f t="shared" si="116"/>
        <v>1</v>
      </c>
      <c r="Y251" s="438"/>
    </row>
    <row r="252" spans="1:25" ht="58.5" hidden="1" customHeight="1" x14ac:dyDescent="0.2">
      <c r="A252" s="630">
        <f t="shared" si="127"/>
        <v>249</v>
      </c>
      <c r="B252" s="43" t="s">
        <v>53</v>
      </c>
      <c r="C252" s="197" t="s">
        <v>514</v>
      </c>
      <c r="D252" s="478" t="s">
        <v>45</v>
      </c>
      <c r="E252" s="483" t="s">
        <v>225</v>
      </c>
      <c r="F252" s="484" t="s">
        <v>63</v>
      </c>
      <c r="G252" s="484"/>
      <c r="H252" s="46">
        <v>42361</v>
      </c>
      <c r="I252" s="197" t="s">
        <v>518</v>
      </c>
      <c r="J252" s="45" t="s">
        <v>460</v>
      </c>
      <c r="K252" s="434"/>
      <c r="L252" s="168" t="s">
        <v>84</v>
      </c>
      <c r="M252" s="46"/>
      <c r="N252" s="436"/>
      <c r="O252" s="436"/>
      <c r="P252" s="535"/>
      <c r="Q252" s="46"/>
      <c r="R252" s="154"/>
      <c r="S252" s="435"/>
      <c r="T252" s="46"/>
      <c r="U252" s="435"/>
      <c r="V252" s="155">
        <f t="shared" si="114"/>
        <v>-41752</v>
      </c>
      <c r="W252" s="437" t="str">
        <f t="shared" si="115"/>
        <v>No ha formulado PM</v>
      </c>
      <c r="X252" s="155">
        <f t="shared" si="116"/>
        <v>1</v>
      </c>
      <c r="Y252" s="438"/>
    </row>
    <row r="253" spans="1:25" ht="112.5" hidden="1" customHeight="1" x14ac:dyDescent="0.2">
      <c r="A253" s="630">
        <f t="shared" si="127"/>
        <v>250</v>
      </c>
      <c r="B253" s="43" t="s">
        <v>53</v>
      </c>
      <c r="C253" s="197" t="s">
        <v>514</v>
      </c>
      <c r="D253" s="478" t="s">
        <v>45</v>
      </c>
      <c r="E253" s="483" t="s">
        <v>225</v>
      </c>
      <c r="F253" s="484" t="s">
        <v>63</v>
      </c>
      <c r="G253" s="484"/>
      <c r="H253" s="46">
        <v>42361</v>
      </c>
      <c r="I253" s="197" t="s">
        <v>519</v>
      </c>
      <c r="J253" s="45" t="s">
        <v>460</v>
      </c>
      <c r="K253" s="434"/>
      <c r="L253" s="168" t="s">
        <v>84</v>
      </c>
      <c r="M253" s="46"/>
      <c r="N253" s="436"/>
      <c r="O253" s="436"/>
      <c r="P253" s="535"/>
      <c r="Q253" s="46"/>
      <c r="R253" s="154"/>
      <c r="S253" s="435"/>
      <c r="T253" s="46"/>
      <c r="U253" s="435"/>
      <c r="V253" s="155">
        <f t="shared" si="114"/>
        <v>-41752</v>
      </c>
      <c r="W253" s="437" t="str">
        <f t="shared" si="115"/>
        <v>No ha formulado PM</v>
      </c>
      <c r="X253" s="155">
        <f t="shared" si="116"/>
        <v>1</v>
      </c>
      <c r="Y253" s="438"/>
    </row>
    <row r="254" spans="1:25" ht="72.75" hidden="1" customHeight="1" x14ac:dyDescent="0.2">
      <c r="A254" s="630">
        <f t="shared" si="127"/>
        <v>251</v>
      </c>
      <c r="B254" s="43" t="s">
        <v>53</v>
      </c>
      <c r="C254" s="197" t="s">
        <v>514</v>
      </c>
      <c r="D254" s="478" t="s">
        <v>45</v>
      </c>
      <c r="E254" s="483" t="s">
        <v>225</v>
      </c>
      <c r="F254" s="484" t="s">
        <v>63</v>
      </c>
      <c r="G254" s="484"/>
      <c r="H254" s="46">
        <v>42361</v>
      </c>
      <c r="I254" s="197" t="s">
        <v>520</v>
      </c>
      <c r="J254" s="45" t="s">
        <v>460</v>
      </c>
      <c r="K254" s="434"/>
      <c r="L254" s="168" t="s">
        <v>84</v>
      </c>
      <c r="M254" s="46"/>
      <c r="N254" s="436"/>
      <c r="O254" s="436"/>
      <c r="P254" s="535"/>
      <c r="Q254" s="46"/>
      <c r="R254" s="154"/>
      <c r="S254" s="435"/>
      <c r="T254" s="46"/>
      <c r="U254" s="435"/>
      <c r="V254" s="155">
        <f t="shared" si="114"/>
        <v>-41752</v>
      </c>
      <c r="W254" s="437" t="str">
        <f t="shared" si="115"/>
        <v>No ha formulado PM</v>
      </c>
      <c r="X254" s="155">
        <f t="shared" si="116"/>
        <v>1</v>
      </c>
      <c r="Y254" s="438"/>
    </row>
    <row r="255" spans="1:25" ht="58.5" hidden="1" customHeight="1" x14ac:dyDescent="0.2">
      <c r="A255" s="630">
        <f t="shared" si="127"/>
        <v>252</v>
      </c>
      <c r="B255" s="43" t="s">
        <v>53</v>
      </c>
      <c r="C255" s="197" t="s">
        <v>514</v>
      </c>
      <c r="D255" s="478" t="s">
        <v>45</v>
      </c>
      <c r="E255" s="483" t="s">
        <v>225</v>
      </c>
      <c r="F255" s="484" t="s">
        <v>63</v>
      </c>
      <c r="G255" s="484"/>
      <c r="H255" s="46">
        <v>42361</v>
      </c>
      <c r="I255" s="197" t="s">
        <v>521</v>
      </c>
      <c r="J255" s="45" t="s">
        <v>82</v>
      </c>
      <c r="K255" s="434"/>
      <c r="L255" s="168" t="s">
        <v>84</v>
      </c>
      <c r="M255" s="46"/>
      <c r="N255" s="436"/>
      <c r="O255" s="436"/>
      <c r="P255" s="535"/>
      <c r="Q255" s="46"/>
      <c r="R255" s="154"/>
      <c r="S255" s="435"/>
      <c r="T255" s="46"/>
      <c r="U255" s="435"/>
      <c r="V255" s="155">
        <f t="shared" si="114"/>
        <v>-41752</v>
      </c>
      <c r="W255" s="437" t="str">
        <f t="shared" si="115"/>
        <v>No ha formulado PM</v>
      </c>
      <c r="X255" s="155">
        <f t="shared" si="116"/>
        <v>1</v>
      </c>
      <c r="Y255" s="438"/>
    </row>
    <row r="256" spans="1:25" ht="58.5" hidden="1" customHeight="1" x14ac:dyDescent="0.2">
      <c r="A256" s="630">
        <f t="shared" si="127"/>
        <v>253</v>
      </c>
      <c r="B256" s="43" t="s">
        <v>69</v>
      </c>
      <c r="C256" s="197" t="s">
        <v>793</v>
      </c>
      <c r="D256" s="436" t="s">
        <v>45</v>
      </c>
      <c r="E256" s="439" t="s">
        <v>0</v>
      </c>
      <c r="F256" s="45" t="s">
        <v>219</v>
      </c>
      <c r="G256" s="45"/>
      <c r="H256" s="46">
        <v>42366</v>
      </c>
      <c r="I256" s="197" t="s">
        <v>522</v>
      </c>
      <c r="J256" s="45" t="s">
        <v>82</v>
      </c>
      <c r="K256" s="434"/>
      <c r="L256" s="168" t="s">
        <v>84</v>
      </c>
      <c r="M256" s="46"/>
      <c r="N256" s="436"/>
      <c r="O256" s="436"/>
      <c r="P256" s="535"/>
      <c r="Q256" s="46"/>
      <c r="R256" s="154"/>
      <c r="S256" s="435"/>
      <c r="T256" s="46"/>
      <c r="U256" s="435"/>
      <c r="V256" s="155">
        <f t="shared" si="114"/>
        <v>-41757</v>
      </c>
      <c r="W256" s="437" t="str">
        <f t="shared" si="115"/>
        <v>No ha formulado PM</v>
      </c>
      <c r="X256" s="155">
        <f t="shared" si="116"/>
        <v>1</v>
      </c>
      <c r="Y256" s="438"/>
    </row>
    <row r="257" spans="1:25" ht="27.75" hidden="1" customHeight="1" x14ac:dyDescent="0.2">
      <c r="A257" s="630">
        <f t="shared" si="127"/>
        <v>254</v>
      </c>
      <c r="B257" s="43" t="s">
        <v>69</v>
      </c>
      <c r="C257" s="197" t="s">
        <v>793</v>
      </c>
      <c r="D257" s="478" t="s">
        <v>45</v>
      </c>
      <c r="E257" s="483" t="s">
        <v>0</v>
      </c>
      <c r="F257" s="484" t="s">
        <v>219</v>
      </c>
      <c r="G257" s="484"/>
      <c r="H257" s="46">
        <v>42366</v>
      </c>
      <c r="I257" s="197" t="s">
        <v>523</v>
      </c>
      <c r="J257" s="45" t="s">
        <v>82</v>
      </c>
      <c r="K257" s="434"/>
      <c r="L257" s="168" t="s">
        <v>84</v>
      </c>
      <c r="M257" s="46"/>
      <c r="N257" s="436"/>
      <c r="O257" s="436"/>
      <c r="P257" s="535"/>
      <c r="Q257" s="46"/>
      <c r="R257" s="154"/>
      <c r="S257" s="435"/>
      <c r="T257" s="46"/>
      <c r="U257" s="435"/>
      <c r="V257" s="155">
        <f t="shared" si="114"/>
        <v>-41757</v>
      </c>
      <c r="W257" s="437" t="str">
        <f t="shared" si="115"/>
        <v>No ha formulado PM</v>
      </c>
      <c r="X257" s="155">
        <f t="shared" si="116"/>
        <v>1</v>
      </c>
      <c r="Y257" s="438"/>
    </row>
    <row r="258" spans="1:25" ht="58.5" hidden="1" customHeight="1" x14ac:dyDescent="0.2">
      <c r="A258" s="630">
        <f t="shared" si="127"/>
        <v>255</v>
      </c>
      <c r="B258" s="43" t="s">
        <v>65</v>
      </c>
      <c r="C258" s="197" t="s">
        <v>480</v>
      </c>
      <c r="D258" s="478" t="s">
        <v>45</v>
      </c>
      <c r="E258" s="483" t="s">
        <v>0</v>
      </c>
      <c r="F258" s="484" t="s">
        <v>64</v>
      </c>
      <c r="G258" s="484"/>
      <c r="H258" s="46">
        <v>42367</v>
      </c>
      <c r="I258" s="197" t="s">
        <v>567</v>
      </c>
      <c r="J258" s="484" t="s">
        <v>82</v>
      </c>
      <c r="K258" s="526" t="s">
        <v>141</v>
      </c>
      <c r="L258" s="168" t="s">
        <v>83</v>
      </c>
      <c r="M258" s="46">
        <v>42382</v>
      </c>
      <c r="N258" s="478" t="s">
        <v>109</v>
      </c>
      <c r="O258" s="457" t="s">
        <v>560</v>
      </c>
      <c r="P258" s="535" t="s">
        <v>794</v>
      </c>
      <c r="Q258" s="46">
        <v>42745</v>
      </c>
      <c r="R258" s="154"/>
      <c r="S258" s="477" t="s">
        <v>55</v>
      </c>
      <c r="T258" s="46"/>
      <c r="U258" s="477"/>
      <c r="V258" s="155">
        <f t="shared" ref="V258" si="182">DAYS360(H258,M258,0)+1</f>
        <v>15</v>
      </c>
      <c r="W258" s="479" t="str">
        <f t="shared" ref="W258" si="183">IF(V258&gt;15,"Inoportuno",(IF(V258&lt;0,"No ha formulado PM","Oportuno")))</f>
        <v>Oportuno</v>
      </c>
      <c r="X258" s="155">
        <f t="shared" ref="X258" si="184">DAYS360(Q258,T258,0)+1</f>
        <v>-42129</v>
      </c>
      <c r="Y258" s="482"/>
    </row>
    <row r="259" spans="1:25" ht="63.75" hidden="1" customHeight="1" x14ac:dyDescent="0.2">
      <c r="A259" s="630">
        <f t="shared" si="127"/>
        <v>256</v>
      </c>
      <c r="B259" s="43" t="s">
        <v>38</v>
      </c>
      <c r="C259" s="197" t="s">
        <v>531</v>
      </c>
      <c r="D259" s="722" t="s">
        <v>45</v>
      </c>
      <c r="E259" s="722" t="s">
        <v>0</v>
      </c>
      <c r="F259" s="484" t="s">
        <v>62</v>
      </c>
      <c r="G259" s="484"/>
      <c r="H259" s="46">
        <v>42369</v>
      </c>
      <c r="I259" s="197" t="s">
        <v>524</v>
      </c>
      <c r="J259" s="728" t="s">
        <v>460</v>
      </c>
      <c r="K259" s="734" t="s">
        <v>141</v>
      </c>
      <c r="L259" s="725" t="s">
        <v>83</v>
      </c>
      <c r="M259" s="46">
        <v>42383</v>
      </c>
      <c r="N259" s="478" t="s">
        <v>109</v>
      </c>
      <c r="O259" s="478" t="s">
        <v>613</v>
      </c>
      <c r="P259" s="543" t="s">
        <v>614</v>
      </c>
      <c r="Q259" s="46">
        <v>42551</v>
      </c>
      <c r="R259" s="154"/>
      <c r="S259" s="477" t="s">
        <v>55</v>
      </c>
      <c r="T259" s="46"/>
      <c r="U259" s="477"/>
      <c r="V259" s="155">
        <f t="shared" ref="V259:V299" si="185">DAYS360(H259,M259,0)+1</f>
        <v>15</v>
      </c>
      <c r="W259" s="479" t="str">
        <f t="shared" ref="W259:W299" si="186">IF(V259&gt;15,"Inoportuno",(IF(V259&lt;0,"No ha formulado PM","Oportuno")))</f>
        <v>Oportuno</v>
      </c>
      <c r="X259" s="155">
        <f t="shared" ref="X259:X299" si="187">DAYS360(Q259,T259,0)+1</f>
        <v>-41939</v>
      </c>
      <c r="Y259" s="482"/>
    </row>
    <row r="260" spans="1:25" ht="63.75" hidden="1" customHeight="1" x14ac:dyDescent="0.2">
      <c r="A260" s="630">
        <f t="shared" si="127"/>
        <v>257</v>
      </c>
      <c r="B260" s="43" t="s">
        <v>38</v>
      </c>
      <c r="C260" s="197" t="s">
        <v>531</v>
      </c>
      <c r="D260" s="724"/>
      <c r="E260" s="724"/>
      <c r="F260" s="541" t="s">
        <v>62</v>
      </c>
      <c r="G260" s="541"/>
      <c r="H260" s="46">
        <v>42369</v>
      </c>
      <c r="I260" s="197" t="s">
        <v>524</v>
      </c>
      <c r="J260" s="729"/>
      <c r="K260" s="736"/>
      <c r="L260" s="727"/>
      <c r="M260" s="46">
        <v>42383</v>
      </c>
      <c r="N260" s="537" t="s">
        <v>109</v>
      </c>
      <c r="O260" s="537" t="s">
        <v>613</v>
      </c>
      <c r="P260" s="543" t="s">
        <v>630</v>
      </c>
      <c r="Q260" s="46">
        <v>42581</v>
      </c>
      <c r="R260" s="154"/>
      <c r="S260" s="538" t="s">
        <v>55</v>
      </c>
      <c r="T260" s="46"/>
      <c r="U260" s="538"/>
      <c r="V260" s="155">
        <f t="shared" ref="V260" si="188">DAYS360(H260,M260,0)+1</f>
        <v>15</v>
      </c>
      <c r="W260" s="540" t="str">
        <f t="shared" ref="W260" si="189">IF(V260&gt;15,"Inoportuno",(IF(V260&lt;0,"No ha formulado PM","Oportuno")))</f>
        <v>Oportuno</v>
      </c>
      <c r="X260" s="155">
        <f t="shared" ref="X260" si="190">DAYS360(Q260,T260,0)+1</f>
        <v>-41969</v>
      </c>
      <c r="Y260" s="539"/>
    </row>
    <row r="261" spans="1:25" ht="66" hidden="1" customHeight="1" x14ac:dyDescent="0.2">
      <c r="A261" s="630">
        <f t="shared" si="127"/>
        <v>258</v>
      </c>
      <c r="B261" s="43" t="s">
        <v>38</v>
      </c>
      <c r="C261" s="197" t="s">
        <v>531</v>
      </c>
      <c r="D261" s="722" t="s">
        <v>45</v>
      </c>
      <c r="E261" s="722" t="s">
        <v>0</v>
      </c>
      <c r="F261" s="484" t="s">
        <v>62</v>
      </c>
      <c r="G261" s="484"/>
      <c r="H261" s="46">
        <v>42369</v>
      </c>
      <c r="I261" s="197" t="s">
        <v>525</v>
      </c>
      <c r="J261" s="728" t="s">
        <v>460</v>
      </c>
      <c r="K261" s="734" t="s">
        <v>141</v>
      </c>
      <c r="L261" s="725" t="s">
        <v>83</v>
      </c>
      <c r="M261" s="46">
        <v>42383</v>
      </c>
      <c r="N261" s="478" t="s">
        <v>109</v>
      </c>
      <c r="O261" s="525" t="s">
        <v>613</v>
      </c>
      <c r="P261" s="543" t="s">
        <v>615</v>
      </c>
      <c r="Q261" s="46">
        <v>42551</v>
      </c>
      <c r="R261" s="154"/>
      <c r="S261" s="477" t="s">
        <v>55</v>
      </c>
      <c r="T261" s="46"/>
      <c r="U261" s="477"/>
      <c r="V261" s="155">
        <f t="shared" si="185"/>
        <v>15</v>
      </c>
      <c r="W261" s="479" t="str">
        <f t="shared" si="186"/>
        <v>Oportuno</v>
      </c>
      <c r="X261" s="155">
        <f t="shared" si="187"/>
        <v>-41939</v>
      </c>
      <c r="Y261" s="482"/>
    </row>
    <row r="262" spans="1:25" ht="66" hidden="1" customHeight="1" x14ac:dyDescent="0.2">
      <c r="A262" s="630">
        <f t="shared" ref="A262:A299" si="191">+A261+1</f>
        <v>259</v>
      </c>
      <c r="B262" s="43" t="s">
        <v>38</v>
      </c>
      <c r="C262" s="197" t="s">
        <v>531</v>
      </c>
      <c r="D262" s="724"/>
      <c r="E262" s="724"/>
      <c r="F262" s="541" t="s">
        <v>62</v>
      </c>
      <c r="G262" s="541"/>
      <c r="H262" s="46">
        <v>42369</v>
      </c>
      <c r="I262" s="197" t="s">
        <v>525</v>
      </c>
      <c r="J262" s="729"/>
      <c r="K262" s="736"/>
      <c r="L262" s="727"/>
      <c r="M262" s="46">
        <v>42383</v>
      </c>
      <c r="N262" s="537" t="s">
        <v>109</v>
      </c>
      <c r="O262" s="537" t="s">
        <v>613</v>
      </c>
      <c r="P262" s="543" t="s">
        <v>631</v>
      </c>
      <c r="Q262" s="46">
        <v>42551</v>
      </c>
      <c r="R262" s="154"/>
      <c r="S262" s="538" t="s">
        <v>55</v>
      </c>
      <c r="T262" s="46"/>
      <c r="U262" s="538"/>
      <c r="V262" s="155">
        <f t="shared" ref="V262" si="192">DAYS360(H262,M262,0)+1</f>
        <v>15</v>
      </c>
      <c r="W262" s="540" t="str">
        <f t="shared" ref="W262" si="193">IF(V262&gt;15,"Inoportuno",(IF(V262&lt;0,"No ha formulado PM","Oportuno")))</f>
        <v>Oportuno</v>
      </c>
      <c r="X262" s="155">
        <f t="shared" ref="X262" si="194">DAYS360(Q262,T262,0)+1</f>
        <v>-41939</v>
      </c>
      <c r="Y262" s="539"/>
    </row>
    <row r="263" spans="1:25" ht="66" hidden="1" customHeight="1" x14ac:dyDescent="0.2">
      <c r="A263" s="630">
        <f t="shared" si="191"/>
        <v>260</v>
      </c>
      <c r="B263" s="43" t="s">
        <v>37</v>
      </c>
      <c r="C263" s="197" t="s">
        <v>556</v>
      </c>
      <c r="D263" s="478" t="s">
        <v>45</v>
      </c>
      <c r="E263" s="483" t="s">
        <v>0</v>
      </c>
      <c r="F263" s="484" t="s">
        <v>60</v>
      </c>
      <c r="G263" s="484"/>
      <c r="H263" s="46">
        <v>42369</v>
      </c>
      <c r="I263" s="197" t="s">
        <v>557</v>
      </c>
      <c r="J263" s="484" t="s">
        <v>460</v>
      </c>
      <c r="K263" s="476"/>
      <c r="L263" s="168" t="s">
        <v>84</v>
      </c>
      <c r="M263" s="46"/>
      <c r="N263" s="478"/>
      <c r="O263" s="478"/>
      <c r="P263" s="154"/>
      <c r="Q263" s="46"/>
      <c r="R263" s="154"/>
      <c r="S263" s="477"/>
      <c r="T263" s="46"/>
      <c r="U263" s="477"/>
      <c r="V263" s="155">
        <f t="shared" ref="V263" si="195">DAYS360(H263,M263,0)+1</f>
        <v>-41759</v>
      </c>
      <c r="W263" s="479" t="str">
        <f t="shared" ref="W263" si="196">IF(V263&gt;15,"Inoportuno",(IF(V263&lt;0,"No ha formulado PM","Oportuno")))</f>
        <v>No ha formulado PM</v>
      </c>
      <c r="X263" s="155">
        <f t="shared" ref="X263" si="197">DAYS360(Q263,T263,0)+1</f>
        <v>1</v>
      </c>
      <c r="Y263" s="482"/>
    </row>
    <row r="264" spans="1:25" ht="66" hidden="1" customHeight="1" x14ac:dyDescent="0.2">
      <c r="A264" s="630">
        <f t="shared" si="191"/>
        <v>261</v>
      </c>
      <c r="B264" s="43" t="s">
        <v>37</v>
      </c>
      <c r="C264" s="197" t="s">
        <v>556</v>
      </c>
      <c r="D264" s="478" t="s">
        <v>45</v>
      </c>
      <c r="E264" s="483" t="s">
        <v>0</v>
      </c>
      <c r="F264" s="484" t="s">
        <v>60</v>
      </c>
      <c r="G264" s="484"/>
      <c r="H264" s="46">
        <v>42369</v>
      </c>
      <c r="I264" s="197" t="s">
        <v>558</v>
      </c>
      <c r="J264" s="484" t="s">
        <v>460</v>
      </c>
      <c r="K264" s="476"/>
      <c r="L264" s="168" t="s">
        <v>84</v>
      </c>
      <c r="M264" s="46"/>
      <c r="N264" s="478"/>
      <c r="O264" s="478"/>
      <c r="P264" s="154"/>
      <c r="Q264" s="46"/>
      <c r="R264" s="154"/>
      <c r="S264" s="477"/>
      <c r="T264" s="46"/>
      <c r="U264" s="477"/>
      <c r="V264" s="155">
        <f t="shared" ref="V264:V266" si="198">DAYS360(H264,M264,0)+1</f>
        <v>-41759</v>
      </c>
      <c r="W264" s="479" t="str">
        <f t="shared" ref="W264:W266" si="199">IF(V264&gt;15,"Inoportuno",(IF(V264&lt;0,"No ha formulado PM","Oportuno")))</f>
        <v>No ha formulado PM</v>
      </c>
      <c r="X264" s="155">
        <f t="shared" ref="X264:X266" si="200">DAYS360(Q264,T264,0)+1</f>
        <v>1</v>
      </c>
      <c r="Y264" s="482"/>
    </row>
    <row r="265" spans="1:25" ht="66" hidden="1" customHeight="1" x14ac:dyDescent="0.2">
      <c r="A265" s="630">
        <f t="shared" si="191"/>
        <v>262</v>
      </c>
      <c r="B265" s="43" t="s">
        <v>37</v>
      </c>
      <c r="C265" s="197" t="s">
        <v>556</v>
      </c>
      <c r="D265" s="478" t="s">
        <v>45</v>
      </c>
      <c r="E265" s="483" t="s">
        <v>0</v>
      </c>
      <c r="F265" s="484" t="s">
        <v>60</v>
      </c>
      <c r="G265" s="484"/>
      <c r="H265" s="46">
        <v>42369</v>
      </c>
      <c r="I265" s="197" t="s">
        <v>532</v>
      </c>
      <c r="J265" s="484" t="s">
        <v>460</v>
      </c>
      <c r="K265" s="476"/>
      <c r="L265" s="168" t="s">
        <v>84</v>
      </c>
      <c r="M265" s="46"/>
      <c r="N265" s="478"/>
      <c r="O265" s="478"/>
      <c r="P265" s="154"/>
      <c r="Q265" s="46"/>
      <c r="R265" s="154"/>
      <c r="S265" s="477"/>
      <c r="T265" s="46"/>
      <c r="U265" s="477"/>
      <c r="V265" s="155">
        <f t="shared" si="198"/>
        <v>-41759</v>
      </c>
      <c r="W265" s="479" t="str">
        <f t="shared" si="199"/>
        <v>No ha formulado PM</v>
      </c>
      <c r="X265" s="155">
        <f t="shared" si="200"/>
        <v>1</v>
      </c>
      <c r="Y265" s="482"/>
    </row>
    <row r="266" spans="1:25" ht="66" hidden="1" customHeight="1" x14ac:dyDescent="0.2">
      <c r="A266" s="630">
        <f t="shared" si="191"/>
        <v>263</v>
      </c>
      <c r="B266" s="43" t="s">
        <v>37</v>
      </c>
      <c r="C266" s="197" t="s">
        <v>556</v>
      </c>
      <c r="D266" s="478" t="s">
        <v>45</v>
      </c>
      <c r="E266" s="483" t="s">
        <v>0</v>
      </c>
      <c r="F266" s="484" t="s">
        <v>60</v>
      </c>
      <c r="G266" s="484"/>
      <c r="H266" s="46">
        <v>42369</v>
      </c>
      <c r="I266" s="197" t="s">
        <v>559</v>
      </c>
      <c r="J266" s="484" t="s">
        <v>460</v>
      </c>
      <c r="K266" s="476"/>
      <c r="L266" s="168" t="s">
        <v>84</v>
      </c>
      <c r="M266" s="46"/>
      <c r="N266" s="478"/>
      <c r="O266" s="478"/>
      <c r="P266" s="154"/>
      <c r="Q266" s="46"/>
      <c r="R266" s="154"/>
      <c r="S266" s="477"/>
      <c r="T266" s="46"/>
      <c r="U266" s="477"/>
      <c r="V266" s="155">
        <f t="shared" si="198"/>
        <v>-41759</v>
      </c>
      <c r="W266" s="479" t="str">
        <f t="shared" si="199"/>
        <v>No ha formulado PM</v>
      </c>
      <c r="X266" s="155">
        <f t="shared" si="200"/>
        <v>1</v>
      </c>
      <c r="Y266" s="482"/>
    </row>
    <row r="267" spans="1:25" ht="66" hidden="1" customHeight="1" x14ac:dyDescent="0.2">
      <c r="A267" s="630">
        <f t="shared" si="191"/>
        <v>264</v>
      </c>
      <c r="B267" s="43" t="s">
        <v>67</v>
      </c>
      <c r="C267" s="197" t="s">
        <v>571</v>
      </c>
      <c r="D267" s="486" t="s">
        <v>45</v>
      </c>
      <c r="E267" s="490" t="s">
        <v>0</v>
      </c>
      <c r="F267" s="487" t="s">
        <v>56</v>
      </c>
      <c r="G267" s="487"/>
      <c r="H267" s="46">
        <v>42368</v>
      </c>
      <c r="I267" s="197" t="s">
        <v>572</v>
      </c>
      <c r="J267" s="487" t="s">
        <v>460</v>
      </c>
      <c r="K267" s="488" t="s">
        <v>141</v>
      </c>
      <c r="L267" s="168" t="s">
        <v>83</v>
      </c>
      <c r="M267" s="46">
        <v>42381</v>
      </c>
      <c r="N267" s="486" t="s">
        <v>54</v>
      </c>
      <c r="O267" s="486" t="s">
        <v>601</v>
      </c>
      <c r="P267" s="197" t="s">
        <v>795</v>
      </c>
      <c r="Q267" s="46">
        <v>42551</v>
      </c>
      <c r="R267" s="154"/>
      <c r="S267" s="485" t="s">
        <v>55</v>
      </c>
      <c r="T267" s="46"/>
      <c r="U267" s="485"/>
      <c r="V267" s="155">
        <f t="shared" ref="V267" si="201">DAYS360(H267,M267,0)+1</f>
        <v>13</v>
      </c>
      <c r="W267" s="489" t="str">
        <f t="shared" ref="W267" si="202">IF(V267&gt;15,"Inoportuno",(IF(V267&lt;0,"No ha formulado PM","Oportuno")))</f>
        <v>Oportuno</v>
      </c>
      <c r="X267" s="155">
        <f t="shared" ref="X267" si="203">DAYS360(Q267,T267,0)+1</f>
        <v>-41939</v>
      </c>
      <c r="Y267" s="491"/>
    </row>
    <row r="268" spans="1:25" ht="66" hidden="1" customHeight="1" x14ac:dyDescent="0.2">
      <c r="A268" s="630">
        <f t="shared" si="191"/>
        <v>265</v>
      </c>
      <c r="B268" s="43" t="s">
        <v>67</v>
      </c>
      <c r="C268" s="197" t="s">
        <v>571</v>
      </c>
      <c r="D268" s="486" t="s">
        <v>45</v>
      </c>
      <c r="E268" s="490" t="s">
        <v>0</v>
      </c>
      <c r="F268" s="487" t="s">
        <v>56</v>
      </c>
      <c r="G268" s="487"/>
      <c r="H268" s="46">
        <v>42368</v>
      </c>
      <c r="I268" s="197" t="s">
        <v>573</v>
      </c>
      <c r="J268" s="487" t="s">
        <v>460</v>
      </c>
      <c r="K268" s="488" t="s">
        <v>141</v>
      </c>
      <c r="L268" s="168" t="s">
        <v>83</v>
      </c>
      <c r="M268" s="46">
        <v>42381</v>
      </c>
      <c r="N268" s="486" t="s">
        <v>54</v>
      </c>
      <c r="O268" s="486" t="s">
        <v>601</v>
      </c>
      <c r="P268" s="197" t="s">
        <v>602</v>
      </c>
      <c r="Q268" s="46">
        <v>42735</v>
      </c>
      <c r="R268" s="154"/>
      <c r="S268" s="485" t="s">
        <v>55</v>
      </c>
      <c r="T268" s="46"/>
      <c r="U268" s="485"/>
      <c r="V268" s="155">
        <f t="shared" ref="V268:V277" si="204">DAYS360(H268,M268,0)+1</f>
        <v>13</v>
      </c>
      <c r="W268" s="522" t="str">
        <f t="shared" ref="W268:W277" si="205">IF(V268&gt;15,"Inoportuno",(IF(V268&lt;0,"No ha formulado PM","Oportuno")))</f>
        <v>Oportuno</v>
      </c>
      <c r="X268" s="155">
        <f t="shared" ref="X268:X277" si="206">DAYS360(Q268,T268,0)+1</f>
        <v>-42119</v>
      </c>
      <c r="Y268" s="491"/>
    </row>
    <row r="269" spans="1:25" ht="66" hidden="1" customHeight="1" x14ac:dyDescent="0.2">
      <c r="A269" s="630">
        <f t="shared" si="191"/>
        <v>266</v>
      </c>
      <c r="B269" s="43" t="s">
        <v>67</v>
      </c>
      <c r="C269" s="197" t="s">
        <v>571</v>
      </c>
      <c r="D269" s="486" t="s">
        <v>45</v>
      </c>
      <c r="E269" s="490" t="s">
        <v>0</v>
      </c>
      <c r="F269" s="487" t="s">
        <v>56</v>
      </c>
      <c r="G269" s="487"/>
      <c r="H269" s="46">
        <v>42368</v>
      </c>
      <c r="I269" s="197" t="s">
        <v>574</v>
      </c>
      <c r="J269" s="487" t="s">
        <v>82</v>
      </c>
      <c r="K269" s="488" t="s">
        <v>141</v>
      </c>
      <c r="L269" s="168" t="s">
        <v>83</v>
      </c>
      <c r="M269" s="46">
        <v>42381</v>
      </c>
      <c r="N269" s="486" t="s">
        <v>54</v>
      </c>
      <c r="O269" s="523" t="s">
        <v>601</v>
      </c>
      <c r="P269" s="197" t="s">
        <v>602</v>
      </c>
      <c r="Q269" s="46">
        <v>42735</v>
      </c>
      <c r="R269" s="154"/>
      <c r="S269" s="485" t="s">
        <v>55</v>
      </c>
      <c r="T269" s="46"/>
      <c r="U269" s="485"/>
      <c r="V269" s="155">
        <f t="shared" si="204"/>
        <v>13</v>
      </c>
      <c r="W269" s="522" t="str">
        <f t="shared" si="205"/>
        <v>Oportuno</v>
      </c>
      <c r="X269" s="155">
        <f t="shared" si="206"/>
        <v>-42119</v>
      </c>
      <c r="Y269" s="491"/>
    </row>
    <row r="270" spans="1:25" ht="66" hidden="1" customHeight="1" x14ac:dyDescent="0.2">
      <c r="A270" s="630">
        <f t="shared" si="191"/>
        <v>267</v>
      </c>
      <c r="B270" s="43" t="s">
        <v>67</v>
      </c>
      <c r="C270" s="197" t="s">
        <v>571</v>
      </c>
      <c r="D270" s="486" t="s">
        <v>45</v>
      </c>
      <c r="E270" s="490" t="s">
        <v>0</v>
      </c>
      <c r="F270" s="487" t="s">
        <v>56</v>
      </c>
      <c r="G270" s="487"/>
      <c r="H270" s="46">
        <v>42368</v>
      </c>
      <c r="I270" s="554" t="s">
        <v>575</v>
      </c>
      <c r="J270" s="487" t="s">
        <v>460</v>
      </c>
      <c r="K270" s="488" t="s">
        <v>141</v>
      </c>
      <c r="L270" s="168" t="s">
        <v>83</v>
      </c>
      <c r="M270" s="46">
        <v>42381</v>
      </c>
      <c r="N270" s="486" t="s">
        <v>109</v>
      </c>
      <c r="O270" s="525" t="s">
        <v>601</v>
      </c>
      <c r="P270" s="197" t="s">
        <v>796</v>
      </c>
      <c r="Q270" s="46">
        <v>42490</v>
      </c>
      <c r="R270" s="154"/>
      <c r="S270" s="485" t="s">
        <v>55</v>
      </c>
      <c r="T270" s="46"/>
      <c r="U270" s="485"/>
      <c r="V270" s="155">
        <f t="shared" si="204"/>
        <v>13</v>
      </c>
      <c r="W270" s="522" t="str">
        <f t="shared" si="205"/>
        <v>Oportuno</v>
      </c>
      <c r="X270" s="155">
        <f t="shared" si="206"/>
        <v>-41879</v>
      </c>
      <c r="Y270" s="491"/>
    </row>
    <row r="271" spans="1:25" ht="69.75" hidden="1" customHeight="1" x14ac:dyDescent="0.2">
      <c r="A271" s="630">
        <f t="shared" si="191"/>
        <v>268</v>
      </c>
      <c r="B271" s="43" t="s">
        <v>67</v>
      </c>
      <c r="C271" s="197" t="s">
        <v>571</v>
      </c>
      <c r="D271" s="486" t="s">
        <v>45</v>
      </c>
      <c r="E271" s="490" t="s">
        <v>0</v>
      </c>
      <c r="F271" s="487" t="s">
        <v>56</v>
      </c>
      <c r="G271" s="487"/>
      <c r="H271" s="552">
        <v>42368</v>
      </c>
      <c r="I271" s="219" t="s">
        <v>576</v>
      </c>
      <c r="J271" s="553" t="s">
        <v>460</v>
      </c>
      <c r="K271" s="488" t="s">
        <v>141</v>
      </c>
      <c r="L271" s="168" t="s">
        <v>83</v>
      </c>
      <c r="M271" s="46">
        <v>42381</v>
      </c>
      <c r="N271" s="486" t="s">
        <v>109</v>
      </c>
      <c r="O271" s="525" t="s">
        <v>601</v>
      </c>
      <c r="P271" s="197" t="s">
        <v>626</v>
      </c>
      <c r="Q271" s="46">
        <v>42735</v>
      </c>
      <c r="R271" s="154"/>
      <c r="S271" s="485" t="s">
        <v>55</v>
      </c>
      <c r="T271" s="46"/>
      <c r="U271" s="485"/>
      <c r="V271" s="155">
        <f t="shared" si="204"/>
        <v>13</v>
      </c>
      <c r="W271" s="522" t="str">
        <f t="shared" si="205"/>
        <v>Oportuno</v>
      </c>
      <c r="X271" s="155">
        <f t="shared" si="206"/>
        <v>-42119</v>
      </c>
      <c r="Y271" s="491"/>
    </row>
    <row r="272" spans="1:25" ht="96.75" hidden="1" customHeight="1" x14ac:dyDescent="0.2">
      <c r="A272" s="630">
        <f t="shared" si="191"/>
        <v>269</v>
      </c>
      <c r="B272" s="43" t="s">
        <v>67</v>
      </c>
      <c r="C272" s="197" t="s">
        <v>571</v>
      </c>
      <c r="D272" s="486" t="s">
        <v>45</v>
      </c>
      <c r="E272" s="490" t="s">
        <v>0</v>
      </c>
      <c r="F272" s="487" t="s">
        <v>56</v>
      </c>
      <c r="G272" s="487"/>
      <c r="H272" s="46">
        <v>42368</v>
      </c>
      <c r="I272" s="197" t="s">
        <v>606</v>
      </c>
      <c r="J272" s="487" t="s">
        <v>460</v>
      </c>
      <c r="K272" s="488" t="s">
        <v>141</v>
      </c>
      <c r="L272" s="168" t="s">
        <v>83</v>
      </c>
      <c r="M272" s="46">
        <v>42381</v>
      </c>
      <c r="N272" s="486" t="s">
        <v>109</v>
      </c>
      <c r="O272" s="525" t="s">
        <v>601</v>
      </c>
      <c r="P272" s="197" t="s">
        <v>627</v>
      </c>
      <c r="Q272" s="46">
        <v>42551</v>
      </c>
      <c r="R272" s="154"/>
      <c r="S272" s="485" t="s">
        <v>55</v>
      </c>
      <c r="T272" s="46"/>
      <c r="U272" s="485"/>
      <c r="V272" s="155">
        <f t="shared" si="204"/>
        <v>13</v>
      </c>
      <c r="W272" s="522" t="str">
        <f t="shared" si="205"/>
        <v>Oportuno</v>
      </c>
      <c r="X272" s="155">
        <f t="shared" si="206"/>
        <v>-41939</v>
      </c>
      <c r="Y272" s="491"/>
    </row>
    <row r="273" spans="1:25" ht="145.5" customHeight="1" x14ac:dyDescent="0.2">
      <c r="A273" s="685">
        <f t="shared" si="191"/>
        <v>270</v>
      </c>
      <c r="B273" s="43" t="s">
        <v>25</v>
      </c>
      <c r="C273" s="684" t="s">
        <v>590</v>
      </c>
      <c r="D273" s="722" t="s">
        <v>50</v>
      </c>
      <c r="E273" s="722" t="s">
        <v>0</v>
      </c>
      <c r="F273" s="521" t="s">
        <v>63</v>
      </c>
      <c r="G273" s="521"/>
      <c r="H273" s="699">
        <v>42210</v>
      </c>
      <c r="I273" s="197" t="s">
        <v>852</v>
      </c>
      <c r="J273" s="722" t="s">
        <v>460</v>
      </c>
      <c r="K273" s="722" t="s">
        <v>142</v>
      </c>
      <c r="L273" s="725" t="s">
        <v>83</v>
      </c>
      <c r="M273" s="697">
        <v>42381</v>
      </c>
      <c r="N273" s="684" t="s">
        <v>54</v>
      </c>
      <c r="O273" s="197" t="s">
        <v>591</v>
      </c>
      <c r="P273" s="276" t="s">
        <v>592</v>
      </c>
      <c r="Q273" s="697">
        <v>42369</v>
      </c>
      <c r="R273" s="704" t="s">
        <v>1172</v>
      </c>
      <c r="S273" s="685" t="s">
        <v>59</v>
      </c>
      <c r="T273" s="701">
        <v>42445</v>
      </c>
      <c r="U273" s="383" t="s">
        <v>1163</v>
      </c>
      <c r="V273" s="524">
        <f>DAYS360(H273,M273,0)+1</f>
        <v>168</v>
      </c>
      <c r="W273" s="687" t="str">
        <f t="shared" ref="W273" si="207">IF(V273&gt;15,"Inoportuno",(IF(V273&lt;0,"No ha formulado PM","Oportuno")))</f>
        <v>Inoportuno</v>
      </c>
      <c r="X273" s="155">
        <f t="shared" ref="X273" si="208">DAYS360(Q273,T273,0)+1</f>
        <v>77</v>
      </c>
      <c r="Y273" s="685"/>
    </row>
    <row r="274" spans="1:25" ht="114" customHeight="1" x14ac:dyDescent="0.2">
      <c r="A274" s="685">
        <f t="shared" si="191"/>
        <v>271</v>
      </c>
      <c r="B274" s="43" t="s">
        <v>25</v>
      </c>
      <c r="C274" s="684" t="s">
        <v>590</v>
      </c>
      <c r="D274" s="723"/>
      <c r="E274" s="723"/>
      <c r="F274" s="521" t="s">
        <v>63</v>
      </c>
      <c r="G274" s="521"/>
      <c r="H274" s="697">
        <v>42210</v>
      </c>
      <c r="I274" s="197" t="s">
        <v>852</v>
      </c>
      <c r="J274" s="723"/>
      <c r="K274" s="723"/>
      <c r="L274" s="726"/>
      <c r="M274" s="697">
        <v>42381</v>
      </c>
      <c r="N274" s="684" t="s">
        <v>54</v>
      </c>
      <c r="O274" s="197" t="s">
        <v>595</v>
      </c>
      <c r="P274" s="197" t="s">
        <v>797</v>
      </c>
      <c r="Q274" s="698">
        <v>42369</v>
      </c>
      <c r="R274" s="704" t="s">
        <v>1173</v>
      </c>
      <c r="S274" s="629" t="s">
        <v>59</v>
      </c>
      <c r="T274" s="697">
        <v>42445</v>
      </c>
      <c r="U274" s="689"/>
      <c r="V274" s="155">
        <f t="shared" si="204"/>
        <v>168</v>
      </c>
      <c r="W274" s="687" t="str">
        <f t="shared" si="205"/>
        <v>Inoportuno</v>
      </c>
      <c r="X274" s="155">
        <f t="shared" si="206"/>
        <v>77</v>
      </c>
      <c r="Y274" s="685"/>
    </row>
    <row r="275" spans="1:25" ht="75" customHeight="1" x14ac:dyDescent="0.2">
      <c r="A275" s="685">
        <f t="shared" si="191"/>
        <v>272</v>
      </c>
      <c r="B275" s="43" t="s">
        <v>25</v>
      </c>
      <c r="C275" s="684" t="s">
        <v>590</v>
      </c>
      <c r="D275" s="723"/>
      <c r="E275" s="723"/>
      <c r="F275" s="521" t="s">
        <v>63</v>
      </c>
      <c r="G275" s="521"/>
      <c r="H275" s="697">
        <v>42210</v>
      </c>
      <c r="I275" s="197" t="s">
        <v>852</v>
      </c>
      <c r="J275" s="723"/>
      <c r="K275" s="723"/>
      <c r="L275" s="726"/>
      <c r="M275" s="697">
        <v>42381</v>
      </c>
      <c r="N275" s="684" t="s">
        <v>54</v>
      </c>
      <c r="O275" s="197" t="s">
        <v>596</v>
      </c>
      <c r="P275" s="197" t="s">
        <v>853</v>
      </c>
      <c r="Q275" s="701">
        <v>42369</v>
      </c>
      <c r="R275" s="775" t="s">
        <v>1174</v>
      </c>
      <c r="S275" s="685" t="s">
        <v>59</v>
      </c>
      <c r="T275" s="697">
        <v>42445</v>
      </c>
      <c r="U275" s="221" t="s">
        <v>1159</v>
      </c>
      <c r="V275" s="155">
        <f t="shared" si="204"/>
        <v>168</v>
      </c>
      <c r="W275" s="687" t="str">
        <f t="shared" si="205"/>
        <v>Inoportuno</v>
      </c>
      <c r="X275" s="155">
        <f t="shared" si="206"/>
        <v>77</v>
      </c>
      <c r="Y275" s="685"/>
    </row>
    <row r="276" spans="1:25" ht="73.5" customHeight="1" x14ac:dyDescent="0.2">
      <c r="A276" s="685">
        <f t="shared" si="191"/>
        <v>273</v>
      </c>
      <c r="B276" s="43" t="s">
        <v>25</v>
      </c>
      <c r="C276" s="684" t="s">
        <v>590</v>
      </c>
      <c r="D276" s="723"/>
      <c r="E276" s="723"/>
      <c r="F276" s="521" t="s">
        <v>63</v>
      </c>
      <c r="G276" s="521"/>
      <c r="H276" s="697">
        <v>42210</v>
      </c>
      <c r="I276" s="197" t="s">
        <v>852</v>
      </c>
      <c r="J276" s="723"/>
      <c r="K276" s="723"/>
      <c r="L276" s="726"/>
      <c r="M276" s="697">
        <v>42381</v>
      </c>
      <c r="N276" s="684" t="s">
        <v>54</v>
      </c>
      <c r="O276" s="197" t="s">
        <v>597</v>
      </c>
      <c r="P276" s="197" t="s">
        <v>593</v>
      </c>
      <c r="Q276" s="701">
        <v>42399</v>
      </c>
      <c r="R276" s="776"/>
      <c r="S276" s="685" t="s">
        <v>59</v>
      </c>
      <c r="T276" s="697">
        <v>42445</v>
      </c>
      <c r="U276" s="682"/>
      <c r="V276" s="155">
        <f t="shared" si="204"/>
        <v>168</v>
      </c>
      <c r="W276" s="687" t="str">
        <f t="shared" si="205"/>
        <v>Inoportuno</v>
      </c>
      <c r="X276" s="155">
        <f t="shared" si="206"/>
        <v>47</v>
      </c>
      <c r="Y276" s="685"/>
    </row>
    <row r="277" spans="1:25" ht="140.25" customHeight="1" thickBot="1" x14ac:dyDescent="0.25">
      <c r="A277" s="685">
        <f t="shared" si="191"/>
        <v>274</v>
      </c>
      <c r="B277" s="43" t="s">
        <v>25</v>
      </c>
      <c r="C277" s="684" t="s">
        <v>590</v>
      </c>
      <c r="D277" s="724"/>
      <c r="E277" s="724"/>
      <c r="F277" s="521" t="s">
        <v>63</v>
      </c>
      <c r="G277" s="521"/>
      <c r="H277" s="697">
        <v>42210</v>
      </c>
      <c r="I277" s="197" t="s">
        <v>852</v>
      </c>
      <c r="J277" s="724"/>
      <c r="K277" s="724"/>
      <c r="L277" s="727"/>
      <c r="M277" s="697">
        <v>42381</v>
      </c>
      <c r="N277" s="684" t="s">
        <v>54</v>
      </c>
      <c r="O277" s="197" t="s">
        <v>598</v>
      </c>
      <c r="P277" s="197" t="s">
        <v>594</v>
      </c>
      <c r="Q277" s="698">
        <v>42459</v>
      </c>
      <c r="R277" s="702" t="s">
        <v>1188</v>
      </c>
      <c r="S277" s="685" t="s">
        <v>59</v>
      </c>
      <c r="T277" s="697">
        <v>42542</v>
      </c>
      <c r="U277" s="681" t="s">
        <v>1162</v>
      </c>
      <c r="V277" s="155">
        <f t="shared" si="204"/>
        <v>168</v>
      </c>
      <c r="W277" s="687" t="str">
        <f t="shared" si="205"/>
        <v>Inoportuno</v>
      </c>
      <c r="X277" s="155">
        <f t="shared" si="206"/>
        <v>82</v>
      </c>
      <c r="Y277" s="685"/>
    </row>
    <row r="278" spans="1:25" ht="227.25" hidden="1" customHeight="1" x14ac:dyDescent="0.2">
      <c r="A278" s="630">
        <f t="shared" si="191"/>
        <v>275</v>
      </c>
      <c r="B278" s="43" t="s">
        <v>67</v>
      </c>
      <c r="C278" s="197" t="s">
        <v>620</v>
      </c>
      <c r="D278" s="529" t="s">
        <v>45</v>
      </c>
      <c r="E278" s="533" t="s">
        <v>0</v>
      </c>
      <c r="F278" s="532" t="s">
        <v>64</v>
      </c>
      <c r="G278" s="532"/>
      <c r="H278" s="46">
        <v>42368</v>
      </c>
      <c r="I278" s="197" t="s">
        <v>621</v>
      </c>
      <c r="J278" s="532" t="s">
        <v>82</v>
      </c>
      <c r="K278" s="527" t="s">
        <v>141</v>
      </c>
      <c r="L278" s="168" t="s">
        <v>83</v>
      </c>
      <c r="M278" s="46">
        <v>42396</v>
      </c>
      <c r="N278" s="478" t="s">
        <v>54</v>
      </c>
      <c r="O278" s="572" t="s">
        <v>825</v>
      </c>
      <c r="P278" s="571" t="s">
        <v>826</v>
      </c>
      <c r="Q278" s="46">
        <v>42734</v>
      </c>
      <c r="R278" s="154"/>
      <c r="S278" s="477" t="s">
        <v>55</v>
      </c>
      <c r="T278" s="46"/>
      <c r="U278" s="477"/>
      <c r="V278" s="155">
        <f t="shared" si="185"/>
        <v>28</v>
      </c>
      <c r="W278" s="479" t="str">
        <f t="shared" si="186"/>
        <v>Inoportuno</v>
      </c>
      <c r="X278" s="155">
        <f t="shared" si="187"/>
        <v>-42119</v>
      </c>
      <c r="Y278" s="482"/>
    </row>
    <row r="279" spans="1:25" ht="126" hidden="1" customHeight="1" x14ac:dyDescent="0.2">
      <c r="A279" s="630">
        <f t="shared" si="191"/>
        <v>276</v>
      </c>
      <c r="B279" s="43" t="s">
        <v>67</v>
      </c>
      <c r="C279" s="197" t="s">
        <v>620</v>
      </c>
      <c r="D279" s="722" t="s">
        <v>45</v>
      </c>
      <c r="E279" s="722" t="s">
        <v>0</v>
      </c>
      <c r="F279" s="532" t="s">
        <v>64</v>
      </c>
      <c r="G279" s="532"/>
      <c r="H279" s="46">
        <v>42368</v>
      </c>
      <c r="I279" s="197" t="s">
        <v>622</v>
      </c>
      <c r="J279" s="728" t="s">
        <v>460</v>
      </c>
      <c r="K279" s="734" t="s">
        <v>141</v>
      </c>
      <c r="L279" s="725" t="s">
        <v>83</v>
      </c>
      <c r="M279" s="46">
        <v>42396</v>
      </c>
      <c r="N279" s="529" t="s">
        <v>54</v>
      </c>
      <c r="O279" s="572" t="s">
        <v>830</v>
      </c>
      <c r="P279" s="572" t="s">
        <v>827</v>
      </c>
      <c r="Q279" s="46">
        <v>42734</v>
      </c>
      <c r="R279" s="154"/>
      <c r="S279" s="564" t="s">
        <v>55</v>
      </c>
      <c r="T279" s="46"/>
      <c r="U279" s="528"/>
      <c r="V279" s="155">
        <f t="shared" ref="V279:V287" si="209">DAYS360(H279,M279,0)+1</f>
        <v>28</v>
      </c>
      <c r="W279" s="531" t="str">
        <f t="shared" ref="W279:W287" si="210">IF(V279&gt;15,"Inoportuno",(IF(V279&lt;0,"No ha formulado PM","Oportuno")))</f>
        <v>Inoportuno</v>
      </c>
      <c r="X279" s="155">
        <f t="shared" ref="X279:X287" si="211">DAYS360(Q279,T279,0)+1</f>
        <v>-42119</v>
      </c>
      <c r="Y279" s="530"/>
    </row>
    <row r="280" spans="1:25" ht="126" hidden="1" customHeight="1" x14ac:dyDescent="0.2">
      <c r="A280" s="630">
        <f t="shared" si="191"/>
        <v>277</v>
      </c>
      <c r="B280" s="43" t="s">
        <v>67</v>
      </c>
      <c r="C280" s="197" t="s">
        <v>620</v>
      </c>
      <c r="D280" s="723"/>
      <c r="E280" s="723"/>
      <c r="F280" s="562" t="s">
        <v>64</v>
      </c>
      <c r="G280" s="562"/>
      <c r="H280" s="46">
        <v>42368</v>
      </c>
      <c r="I280" s="197" t="s">
        <v>622</v>
      </c>
      <c r="J280" s="741"/>
      <c r="K280" s="735"/>
      <c r="L280" s="726"/>
      <c r="M280" s="46">
        <v>42396</v>
      </c>
      <c r="N280" s="561" t="s">
        <v>54</v>
      </c>
      <c r="O280" s="572" t="s">
        <v>830</v>
      </c>
      <c r="P280" s="572" t="s">
        <v>828</v>
      </c>
      <c r="Q280" s="46">
        <v>42734</v>
      </c>
      <c r="R280" s="154"/>
      <c r="S280" s="564" t="s">
        <v>55</v>
      </c>
      <c r="T280" s="46"/>
      <c r="U280" s="564"/>
      <c r="V280" s="155">
        <f t="shared" si="209"/>
        <v>28</v>
      </c>
      <c r="W280" s="566" t="str">
        <f t="shared" si="210"/>
        <v>Inoportuno</v>
      </c>
      <c r="X280" s="155"/>
      <c r="Y280" s="565"/>
    </row>
    <row r="281" spans="1:25" ht="126" hidden="1" customHeight="1" x14ac:dyDescent="0.2">
      <c r="A281" s="630">
        <f t="shared" si="191"/>
        <v>278</v>
      </c>
      <c r="B281" s="43" t="s">
        <v>67</v>
      </c>
      <c r="C281" s="197" t="s">
        <v>620</v>
      </c>
      <c r="D281" s="724"/>
      <c r="E281" s="724"/>
      <c r="F281" s="562" t="s">
        <v>64</v>
      </c>
      <c r="G281" s="562"/>
      <c r="H281" s="46">
        <v>42368</v>
      </c>
      <c r="I281" s="197" t="s">
        <v>622</v>
      </c>
      <c r="J281" s="729"/>
      <c r="K281" s="736"/>
      <c r="L281" s="727"/>
      <c r="M281" s="46">
        <v>42396</v>
      </c>
      <c r="N281" s="561" t="s">
        <v>109</v>
      </c>
      <c r="O281" s="572" t="s">
        <v>830</v>
      </c>
      <c r="P281" s="572" t="s">
        <v>829</v>
      </c>
      <c r="Q281" s="46">
        <v>42734</v>
      </c>
      <c r="R281" s="154"/>
      <c r="S281" s="564" t="s">
        <v>55</v>
      </c>
      <c r="T281" s="46"/>
      <c r="U281" s="564"/>
      <c r="V281" s="155">
        <f t="shared" ref="V281" si="212">DAYS360(H281,M281,0)+1</f>
        <v>28</v>
      </c>
      <c r="W281" s="566" t="str">
        <f t="shared" ref="W281" si="213">IF(V281&gt;15,"Inoportuno",(IF(V281&lt;0,"No ha formulado PM","Oportuno")))</f>
        <v>Inoportuno</v>
      </c>
      <c r="X281" s="155">
        <f t="shared" ref="X281" si="214">DAYS360(Q281,T281,0)+1</f>
        <v>-42119</v>
      </c>
      <c r="Y281" s="565"/>
    </row>
    <row r="282" spans="1:25" ht="51.75" hidden="1" customHeight="1" x14ac:dyDescent="0.2">
      <c r="A282" s="630">
        <f t="shared" si="191"/>
        <v>279</v>
      </c>
      <c r="B282" s="43" t="s">
        <v>67</v>
      </c>
      <c r="C282" s="197" t="s">
        <v>620</v>
      </c>
      <c r="D282" s="529" t="s">
        <v>45</v>
      </c>
      <c r="E282" s="533" t="s">
        <v>0</v>
      </c>
      <c r="F282" s="532" t="s">
        <v>64</v>
      </c>
      <c r="G282" s="532"/>
      <c r="H282" s="46">
        <v>42368</v>
      </c>
      <c r="I282" s="197" t="s">
        <v>623</v>
      </c>
      <c r="J282" s="532" t="s">
        <v>460</v>
      </c>
      <c r="K282" s="527" t="s">
        <v>141</v>
      </c>
      <c r="L282" s="168" t="s">
        <v>83</v>
      </c>
      <c r="M282" s="46">
        <v>42396</v>
      </c>
      <c r="N282" s="529" t="s">
        <v>54</v>
      </c>
      <c r="O282" s="572" t="s">
        <v>830</v>
      </c>
      <c r="P282" s="572" t="s">
        <v>831</v>
      </c>
      <c r="Q282" s="46">
        <v>42734</v>
      </c>
      <c r="R282" s="154"/>
      <c r="S282" s="528" t="s">
        <v>55</v>
      </c>
      <c r="T282" s="46"/>
      <c r="U282" s="528"/>
      <c r="V282" s="155">
        <f t="shared" si="209"/>
        <v>28</v>
      </c>
      <c r="W282" s="531" t="str">
        <f t="shared" si="210"/>
        <v>Inoportuno</v>
      </c>
      <c r="X282" s="155">
        <f t="shared" si="211"/>
        <v>-42119</v>
      </c>
      <c r="Y282" s="530"/>
    </row>
    <row r="283" spans="1:25" ht="67.5" hidden="1" customHeight="1" x14ac:dyDescent="0.2">
      <c r="A283" s="630">
        <f t="shared" si="191"/>
        <v>280</v>
      </c>
      <c r="B283" s="43" t="s">
        <v>67</v>
      </c>
      <c r="C283" s="197" t="s">
        <v>620</v>
      </c>
      <c r="D283" s="529" t="s">
        <v>45</v>
      </c>
      <c r="E283" s="533" t="s">
        <v>0</v>
      </c>
      <c r="F283" s="532" t="s">
        <v>64</v>
      </c>
      <c r="G283" s="532"/>
      <c r="H283" s="46">
        <v>42368</v>
      </c>
      <c r="I283" s="197" t="s">
        <v>624</v>
      </c>
      <c r="J283" s="532" t="s">
        <v>460</v>
      </c>
      <c r="K283" s="527" t="s">
        <v>141</v>
      </c>
      <c r="L283" s="168" t="s">
        <v>83</v>
      </c>
      <c r="M283" s="46">
        <v>42396</v>
      </c>
      <c r="N283" s="529" t="s">
        <v>109</v>
      </c>
      <c r="O283" s="572" t="s">
        <v>832</v>
      </c>
      <c r="P283" s="572" t="s">
        <v>833</v>
      </c>
      <c r="Q283" s="46">
        <v>42551</v>
      </c>
      <c r="R283" s="154"/>
      <c r="S283" s="528" t="s">
        <v>55</v>
      </c>
      <c r="T283" s="46"/>
      <c r="U283" s="528"/>
      <c r="V283" s="155">
        <f t="shared" si="209"/>
        <v>28</v>
      </c>
      <c r="W283" s="531" t="str">
        <f t="shared" si="210"/>
        <v>Inoportuno</v>
      </c>
      <c r="X283" s="155">
        <f t="shared" si="211"/>
        <v>-41939</v>
      </c>
      <c r="Y283" s="530"/>
    </row>
    <row r="284" spans="1:25" ht="86.25" hidden="1" customHeight="1" x14ac:dyDescent="0.2">
      <c r="A284" s="630">
        <f t="shared" si="191"/>
        <v>281</v>
      </c>
      <c r="B284" s="43" t="s">
        <v>67</v>
      </c>
      <c r="C284" s="197" t="s">
        <v>620</v>
      </c>
      <c r="D284" s="722" t="s">
        <v>45</v>
      </c>
      <c r="E284" s="722" t="s">
        <v>0</v>
      </c>
      <c r="F284" s="532" t="s">
        <v>64</v>
      </c>
      <c r="G284" s="532"/>
      <c r="H284" s="46">
        <v>42368</v>
      </c>
      <c r="I284" s="197" t="s">
        <v>625</v>
      </c>
      <c r="J284" s="728" t="s">
        <v>82</v>
      </c>
      <c r="K284" s="734" t="s">
        <v>141</v>
      </c>
      <c r="L284" s="725" t="s">
        <v>83</v>
      </c>
      <c r="M284" s="46">
        <v>42396</v>
      </c>
      <c r="N284" s="529" t="s">
        <v>54</v>
      </c>
      <c r="O284" s="572" t="s">
        <v>835</v>
      </c>
      <c r="P284" s="572" t="s">
        <v>836</v>
      </c>
      <c r="Q284" s="46">
        <v>42551</v>
      </c>
      <c r="R284" s="154"/>
      <c r="S284" s="528" t="s">
        <v>55</v>
      </c>
      <c r="T284" s="46"/>
      <c r="U284" s="528"/>
      <c r="V284" s="155">
        <f t="shared" si="209"/>
        <v>28</v>
      </c>
      <c r="W284" s="531" t="str">
        <f t="shared" si="210"/>
        <v>Inoportuno</v>
      </c>
      <c r="X284" s="155">
        <f t="shared" si="211"/>
        <v>-41939</v>
      </c>
      <c r="Y284" s="530"/>
    </row>
    <row r="285" spans="1:25" ht="86.25" hidden="1" customHeight="1" x14ac:dyDescent="0.2">
      <c r="A285" s="630">
        <f t="shared" si="191"/>
        <v>282</v>
      </c>
      <c r="B285" s="43" t="s">
        <v>67</v>
      </c>
      <c r="C285" s="197" t="s">
        <v>620</v>
      </c>
      <c r="D285" s="724"/>
      <c r="E285" s="724"/>
      <c r="F285" s="562" t="s">
        <v>64</v>
      </c>
      <c r="G285" s="562"/>
      <c r="H285" s="46">
        <v>42368</v>
      </c>
      <c r="I285" s="197" t="s">
        <v>625</v>
      </c>
      <c r="J285" s="729"/>
      <c r="K285" s="736"/>
      <c r="L285" s="727"/>
      <c r="M285" s="46">
        <v>42396</v>
      </c>
      <c r="N285" s="561" t="s">
        <v>54</v>
      </c>
      <c r="O285" s="572" t="s">
        <v>834</v>
      </c>
      <c r="P285" s="572" t="s">
        <v>837</v>
      </c>
      <c r="Q285" s="46">
        <v>42551</v>
      </c>
      <c r="R285" s="154"/>
      <c r="S285" s="564" t="s">
        <v>55</v>
      </c>
      <c r="T285" s="46"/>
      <c r="U285" s="564"/>
      <c r="V285" s="155">
        <f t="shared" ref="V285" si="215">DAYS360(H285,M285,0)+1</f>
        <v>28</v>
      </c>
      <c r="W285" s="566" t="str">
        <f t="shared" ref="W285" si="216">IF(V285&gt;15,"Inoportuno",(IF(V285&lt;0,"No ha formulado PM","Oportuno")))</f>
        <v>Inoportuno</v>
      </c>
      <c r="X285" s="155">
        <f t="shared" ref="X285" si="217">DAYS360(Q285,T285,0)+1</f>
        <v>-41939</v>
      </c>
      <c r="Y285" s="565"/>
    </row>
    <row r="286" spans="1:25" ht="77.25" hidden="1" customHeight="1" x14ac:dyDescent="0.2">
      <c r="A286" s="630">
        <f t="shared" si="191"/>
        <v>283</v>
      </c>
      <c r="B286" s="43" t="s">
        <v>414</v>
      </c>
      <c r="C286" s="197" t="s">
        <v>677</v>
      </c>
      <c r="D286" s="555" t="s">
        <v>45</v>
      </c>
      <c r="E286" s="558" t="s">
        <v>0</v>
      </c>
      <c r="F286" s="556" t="s">
        <v>56</v>
      </c>
      <c r="G286" s="556"/>
      <c r="H286" s="46">
        <v>42735</v>
      </c>
      <c r="I286" s="197" t="s">
        <v>671</v>
      </c>
      <c r="J286" s="556" t="s">
        <v>460</v>
      </c>
      <c r="K286" s="557"/>
      <c r="L286" s="168" t="s">
        <v>84</v>
      </c>
      <c r="M286" s="46"/>
      <c r="N286" s="529"/>
      <c r="O286" s="529"/>
      <c r="P286" s="154"/>
      <c r="Q286" s="46"/>
      <c r="R286" s="154"/>
      <c r="S286" s="528"/>
      <c r="T286" s="46"/>
      <c r="U286" s="528"/>
      <c r="V286" s="155">
        <f t="shared" si="209"/>
        <v>-42119</v>
      </c>
      <c r="W286" s="531" t="str">
        <f t="shared" si="210"/>
        <v>No ha formulado PM</v>
      </c>
      <c r="X286" s="155">
        <f t="shared" si="211"/>
        <v>1</v>
      </c>
      <c r="Y286" s="530"/>
    </row>
    <row r="287" spans="1:25" ht="68.25" hidden="1" customHeight="1" x14ac:dyDescent="0.2">
      <c r="A287" s="630">
        <f t="shared" si="191"/>
        <v>284</v>
      </c>
      <c r="B287" s="43" t="s">
        <v>414</v>
      </c>
      <c r="C287" s="197" t="s">
        <v>678</v>
      </c>
      <c r="D287" s="555" t="s">
        <v>45</v>
      </c>
      <c r="E287" s="558" t="s">
        <v>0</v>
      </c>
      <c r="F287" s="556" t="s">
        <v>56</v>
      </c>
      <c r="G287" s="556"/>
      <c r="H287" s="46">
        <v>42735</v>
      </c>
      <c r="I287" s="197" t="s">
        <v>672</v>
      </c>
      <c r="J287" s="556" t="s">
        <v>460</v>
      </c>
      <c r="K287" s="557"/>
      <c r="L287" s="168" t="s">
        <v>84</v>
      </c>
      <c r="M287" s="46"/>
      <c r="N287" s="529"/>
      <c r="O287" s="529"/>
      <c r="P287" s="154"/>
      <c r="Q287" s="46"/>
      <c r="R287" s="154"/>
      <c r="S287" s="528"/>
      <c r="T287" s="46"/>
      <c r="U287" s="528"/>
      <c r="V287" s="155">
        <f t="shared" si="209"/>
        <v>-42119</v>
      </c>
      <c r="W287" s="531" t="str">
        <f t="shared" si="210"/>
        <v>No ha formulado PM</v>
      </c>
      <c r="X287" s="155">
        <f t="shared" si="211"/>
        <v>1</v>
      </c>
      <c r="Y287" s="530"/>
    </row>
    <row r="288" spans="1:25" ht="78.75" hidden="1" customHeight="1" x14ac:dyDescent="0.2">
      <c r="A288" s="630">
        <f t="shared" si="191"/>
        <v>285</v>
      </c>
      <c r="B288" s="43" t="s">
        <v>414</v>
      </c>
      <c r="C288" s="197" t="s">
        <v>678</v>
      </c>
      <c r="D288" s="555" t="s">
        <v>45</v>
      </c>
      <c r="E288" s="558" t="s">
        <v>0</v>
      </c>
      <c r="F288" s="556" t="s">
        <v>56</v>
      </c>
      <c r="G288" s="556"/>
      <c r="H288" s="46">
        <v>42735</v>
      </c>
      <c r="I288" s="197" t="s">
        <v>673</v>
      </c>
      <c r="J288" s="556" t="s">
        <v>460</v>
      </c>
      <c r="K288" s="557"/>
      <c r="L288" s="168" t="s">
        <v>84</v>
      </c>
      <c r="M288" s="46"/>
      <c r="N288" s="478"/>
      <c r="O288" s="478"/>
      <c r="P288" s="154"/>
      <c r="Q288" s="46"/>
      <c r="R288" s="154"/>
      <c r="S288" s="477"/>
      <c r="T288" s="46"/>
      <c r="U288" s="477"/>
      <c r="V288" s="155">
        <f t="shared" si="185"/>
        <v>-42119</v>
      </c>
      <c r="W288" s="479" t="str">
        <f t="shared" si="186"/>
        <v>No ha formulado PM</v>
      </c>
      <c r="X288" s="155">
        <f t="shared" si="187"/>
        <v>1</v>
      </c>
      <c r="Y288" s="482"/>
    </row>
    <row r="289" spans="1:26" ht="42" hidden="1" customHeight="1" x14ac:dyDescent="0.2">
      <c r="A289" s="630">
        <f t="shared" si="191"/>
        <v>286</v>
      </c>
      <c r="B289" s="43" t="s">
        <v>414</v>
      </c>
      <c r="C289" s="197" t="s">
        <v>678</v>
      </c>
      <c r="D289" s="555" t="s">
        <v>45</v>
      </c>
      <c r="E289" s="558" t="s">
        <v>0</v>
      </c>
      <c r="F289" s="556" t="s">
        <v>56</v>
      </c>
      <c r="G289" s="556"/>
      <c r="H289" s="46">
        <v>42735</v>
      </c>
      <c r="I289" s="197" t="s">
        <v>674</v>
      </c>
      <c r="J289" s="556" t="s">
        <v>460</v>
      </c>
      <c r="K289" s="557"/>
      <c r="L289" s="168" t="s">
        <v>84</v>
      </c>
      <c r="M289" s="46"/>
      <c r="N289" s="478"/>
      <c r="O289" s="478"/>
      <c r="P289" s="154"/>
      <c r="Q289" s="46"/>
      <c r="R289" s="154"/>
      <c r="S289" s="477"/>
      <c r="T289" s="46"/>
      <c r="U289" s="477"/>
      <c r="V289" s="155">
        <f t="shared" si="185"/>
        <v>-42119</v>
      </c>
      <c r="W289" s="479" t="str">
        <f t="shared" si="186"/>
        <v>No ha formulado PM</v>
      </c>
      <c r="X289" s="155">
        <f t="shared" si="187"/>
        <v>1</v>
      </c>
      <c r="Y289" s="482"/>
    </row>
    <row r="290" spans="1:26" ht="36" hidden="1" customHeight="1" x14ac:dyDescent="0.2">
      <c r="A290" s="630">
        <f t="shared" si="191"/>
        <v>287</v>
      </c>
      <c r="B290" s="43" t="s">
        <v>66</v>
      </c>
      <c r="C290" s="197" t="s">
        <v>838</v>
      </c>
      <c r="D290" s="561" t="s">
        <v>50</v>
      </c>
      <c r="E290" s="567" t="s">
        <v>0</v>
      </c>
      <c r="F290" s="562" t="s">
        <v>62</v>
      </c>
      <c r="G290" s="562"/>
      <c r="H290" s="46">
        <v>42429</v>
      </c>
      <c r="I290" s="197" t="s">
        <v>839</v>
      </c>
      <c r="J290" s="562" t="s">
        <v>460</v>
      </c>
      <c r="K290" s="563"/>
      <c r="L290" s="168" t="s">
        <v>84</v>
      </c>
      <c r="M290" s="46"/>
      <c r="N290" s="561"/>
      <c r="O290" s="561"/>
      <c r="P290" s="154"/>
      <c r="Q290" s="46"/>
      <c r="R290" s="154"/>
      <c r="S290" s="564"/>
      <c r="T290" s="46"/>
      <c r="U290" s="564"/>
      <c r="V290" s="155">
        <f t="shared" si="185"/>
        <v>-41819</v>
      </c>
      <c r="W290" s="566"/>
      <c r="X290" s="155"/>
      <c r="Y290" s="565"/>
    </row>
    <row r="291" spans="1:26" ht="42" hidden="1" customHeight="1" x14ac:dyDescent="0.2">
      <c r="A291" s="630">
        <f t="shared" si="191"/>
        <v>288</v>
      </c>
      <c r="B291" s="43" t="s">
        <v>66</v>
      </c>
      <c r="C291" s="197" t="s">
        <v>838</v>
      </c>
      <c r="D291" s="561" t="s">
        <v>50</v>
      </c>
      <c r="E291" s="567" t="s">
        <v>0</v>
      </c>
      <c r="F291" s="562" t="s">
        <v>62</v>
      </c>
      <c r="G291" s="562"/>
      <c r="H291" s="46">
        <v>42429</v>
      </c>
      <c r="I291" s="197" t="s">
        <v>840</v>
      </c>
      <c r="J291" s="562" t="s">
        <v>460</v>
      </c>
      <c r="K291" s="563"/>
      <c r="L291" s="168" t="s">
        <v>84</v>
      </c>
      <c r="M291" s="46"/>
      <c r="N291" s="561"/>
      <c r="O291" s="561"/>
      <c r="P291" s="154"/>
      <c r="Q291" s="46"/>
      <c r="R291" s="154"/>
      <c r="S291" s="564"/>
      <c r="T291" s="46"/>
      <c r="U291" s="564"/>
      <c r="V291" s="155"/>
      <c r="W291" s="566"/>
      <c r="X291" s="155"/>
      <c r="Y291" s="565"/>
    </row>
    <row r="292" spans="1:26" ht="42" hidden="1" customHeight="1" x14ac:dyDescent="0.2">
      <c r="A292" s="630">
        <f t="shared" si="191"/>
        <v>289</v>
      </c>
      <c r="B292" s="43" t="s">
        <v>66</v>
      </c>
      <c r="C292" s="197" t="s">
        <v>838</v>
      </c>
      <c r="D292" s="561" t="s">
        <v>50</v>
      </c>
      <c r="E292" s="567" t="s">
        <v>0</v>
      </c>
      <c r="F292" s="562" t="s">
        <v>62</v>
      </c>
      <c r="G292" s="562"/>
      <c r="H292" s="46">
        <v>42429</v>
      </c>
      <c r="I292" s="197" t="s">
        <v>841</v>
      </c>
      <c r="J292" s="562" t="s">
        <v>460</v>
      </c>
      <c r="K292" s="563"/>
      <c r="L292" s="168" t="s">
        <v>84</v>
      </c>
      <c r="M292" s="46"/>
      <c r="N292" s="561"/>
      <c r="O292" s="561"/>
      <c r="P292" s="154"/>
      <c r="Q292" s="46"/>
      <c r="R292" s="154"/>
      <c r="S292" s="564"/>
      <c r="T292" s="46"/>
      <c r="U292" s="564"/>
      <c r="V292" s="155"/>
      <c r="W292" s="566"/>
      <c r="X292" s="155"/>
      <c r="Y292" s="565"/>
    </row>
    <row r="293" spans="1:26" ht="62.25" hidden="1" customHeight="1" x14ac:dyDescent="0.2">
      <c r="A293" s="630">
        <f t="shared" si="191"/>
        <v>290</v>
      </c>
      <c r="B293" s="43" t="s">
        <v>66</v>
      </c>
      <c r="C293" s="197" t="s">
        <v>838</v>
      </c>
      <c r="D293" s="561" t="s">
        <v>50</v>
      </c>
      <c r="E293" s="567" t="s">
        <v>0</v>
      </c>
      <c r="F293" s="562" t="s">
        <v>62</v>
      </c>
      <c r="G293" s="562"/>
      <c r="H293" s="46">
        <v>42429</v>
      </c>
      <c r="I293" s="197" t="s">
        <v>842</v>
      </c>
      <c r="J293" s="562" t="s">
        <v>460</v>
      </c>
      <c r="K293" s="563"/>
      <c r="L293" s="168" t="s">
        <v>84</v>
      </c>
      <c r="M293" s="46"/>
      <c r="N293" s="561"/>
      <c r="O293" s="561"/>
      <c r="P293" s="154"/>
      <c r="Q293" s="46"/>
      <c r="R293" s="154"/>
      <c r="S293" s="564"/>
      <c r="T293" s="46"/>
      <c r="U293" s="564"/>
      <c r="V293" s="155"/>
      <c r="W293" s="566"/>
      <c r="X293" s="155"/>
      <c r="Y293" s="565"/>
    </row>
    <row r="294" spans="1:26" ht="35.25" hidden="1" customHeight="1" x14ac:dyDescent="0.2">
      <c r="A294" s="630">
        <f t="shared" si="191"/>
        <v>291</v>
      </c>
      <c r="B294" s="43" t="s">
        <v>66</v>
      </c>
      <c r="C294" s="197" t="s">
        <v>838</v>
      </c>
      <c r="D294" s="561" t="s">
        <v>50</v>
      </c>
      <c r="E294" s="567" t="s">
        <v>0</v>
      </c>
      <c r="F294" s="562" t="s">
        <v>62</v>
      </c>
      <c r="G294" s="562"/>
      <c r="H294" s="46">
        <v>42429</v>
      </c>
      <c r="I294" s="197" t="s">
        <v>843</v>
      </c>
      <c r="J294" s="562" t="s">
        <v>460</v>
      </c>
      <c r="K294" s="563"/>
      <c r="L294" s="168" t="s">
        <v>84</v>
      </c>
      <c r="M294" s="46"/>
      <c r="N294" s="561"/>
      <c r="O294" s="561"/>
      <c r="P294" s="154"/>
      <c r="Q294" s="46"/>
      <c r="R294" s="154"/>
      <c r="S294" s="564"/>
      <c r="T294" s="46"/>
      <c r="U294" s="564"/>
      <c r="V294" s="155"/>
      <c r="W294" s="566"/>
      <c r="X294" s="155"/>
      <c r="Y294" s="565"/>
    </row>
    <row r="295" spans="1:26" ht="42" hidden="1" customHeight="1" x14ac:dyDescent="0.2">
      <c r="A295" s="630">
        <f t="shared" si="191"/>
        <v>292</v>
      </c>
      <c r="B295" s="43" t="s">
        <v>66</v>
      </c>
      <c r="C295" s="197" t="s">
        <v>838</v>
      </c>
      <c r="D295" s="561" t="s">
        <v>50</v>
      </c>
      <c r="E295" s="567" t="s">
        <v>0</v>
      </c>
      <c r="F295" s="562" t="s">
        <v>62</v>
      </c>
      <c r="G295" s="562"/>
      <c r="H295" s="46">
        <v>42429</v>
      </c>
      <c r="I295" s="197" t="s">
        <v>844</v>
      </c>
      <c r="J295" s="562" t="s">
        <v>460</v>
      </c>
      <c r="K295" s="563"/>
      <c r="L295" s="168" t="s">
        <v>84</v>
      </c>
      <c r="M295" s="46"/>
      <c r="N295" s="561"/>
      <c r="O295" s="561"/>
      <c r="P295" s="154"/>
      <c r="Q295" s="46"/>
      <c r="R295" s="154"/>
      <c r="S295" s="564"/>
      <c r="T295" s="46"/>
      <c r="U295" s="564"/>
      <c r="V295" s="155"/>
      <c r="W295" s="566"/>
      <c r="X295" s="155"/>
      <c r="Y295" s="565"/>
    </row>
    <row r="296" spans="1:26" ht="42" hidden="1" customHeight="1" x14ac:dyDescent="0.2">
      <c r="A296" s="630">
        <f t="shared" si="191"/>
        <v>293</v>
      </c>
      <c r="B296" s="43" t="s">
        <v>66</v>
      </c>
      <c r="C296" s="197" t="s">
        <v>838</v>
      </c>
      <c r="D296" s="561" t="s">
        <v>50</v>
      </c>
      <c r="E296" s="567" t="s">
        <v>0</v>
      </c>
      <c r="F296" s="562" t="s">
        <v>62</v>
      </c>
      <c r="G296" s="562"/>
      <c r="H296" s="46">
        <v>42429</v>
      </c>
      <c r="I296" s="197" t="s">
        <v>845</v>
      </c>
      <c r="J296" s="562" t="s">
        <v>460</v>
      </c>
      <c r="K296" s="563"/>
      <c r="L296" s="168" t="s">
        <v>84</v>
      </c>
      <c r="M296" s="46"/>
      <c r="N296" s="561"/>
      <c r="O296" s="561"/>
      <c r="P296" s="154"/>
      <c r="Q296" s="46"/>
      <c r="R296" s="154"/>
      <c r="S296" s="564"/>
      <c r="T296" s="46"/>
      <c r="U296" s="564"/>
      <c r="V296" s="155"/>
      <c r="W296" s="566"/>
      <c r="X296" s="155"/>
      <c r="Y296" s="565"/>
    </row>
    <row r="297" spans="1:26" ht="27.75" hidden="1" customHeight="1" x14ac:dyDescent="0.2">
      <c r="A297" s="630">
        <f t="shared" si="191"/>
        <v>294</v>
      </c>
      <c r="B297" s="43"/>
      <c r="C297" s="197"/>
      <c r="D297" s="478"/>
      <c r="E297" s="483"/>
      <c r="F297" s="484"/>
      <c r="G297" s="484"/>
      <c r="H297" s="46"/>
      <c r="I297" s="197"/>
      <c r="J297" s="484"/>
      <c r="K297" s="476"/>
      <c r="L297" s="168"/>
      <c r="M297" s="46"/>
      <c r="N297" s="478"/>
      <c r="O297" s="478"/>
      <c r="P297" s="154"/>
      <c r="Q297" s="46"/>
      <c r="R297" s="154"/>
      <c r="S297" s="477"/>
      <c r="T297" s="46"/>
      <c r="U297" s="477"/>
      <c r="V297" s="155">
        <f t="shared" si="185"/>
        <v>1</v>
      </c>
      <c r="W297" s="479" t="str">
        <f t="shared" si="186"/>
        <v>Oportuno</v>
      </c>
      <c r="X297" s="155">
        <f t="shared" si="187"/>
        <v>1</v>
      </c>
      <c r="Y297" s="482"/>
    </row>
    <row r="298" spans="1:26" ht="27.75" hidden="1" customHeight="1" x14ac:dyDescent="0.2">
      <c r="A298" s="630">
        <f t="shared" si="191"/>
        <v>295</v>
      </c>
      <c r="B298" s="43"/>
      <c r="C298" s="197"/>
      <c r="D298" s="478"/>
      <c r="E298" s="483"/>
      <c r="F298" s="484"/>
      <c r="G298" s="484"/>
      <c r="H298" s="46"/>
      <c r="I298" s="197"/>
      <c r="J298" s="484"/>
      <c r="K298" s="476"/>
      <c r="L298" s="168"/>
      <c r="M298" s="46"/>
      <c r="N298" s="478"/>
      <c r="O298" s="478"/>
      <c r="P298" s="154"/>
      <c r="Q298" s="46"/>
      <c r="R298" s="154"/>
      <c r="S298" s="477"/>
      <c r="T298" s="46"/>
      <c r="U298" s="477"/>
      <c r="V298" s="155">
        <f t="shared" si="185"/>
        <v>1</v>
      </c>
      <c r="W298" s="479" t="str">
        <f t="shared" si="186"/>
        <v>Oportuno</v>
      </c>
      <c r="X298" s="155">
        <f t="shared" si="187"/>
        <v>1</v>
      </c>
      <c r="Y298" s="482"/>
    </row>
    <row r="299" spans="1:26" hidden="1" x14ac:dyDescent="0.2">
      <c r="A299" s="630">
        <f t="shared" si="191"/>
        <v>296</v>
      </c>
      <c r="B299" s="43"/>
      <c r="C299" s="197"/>
      <c r="D299" s="478"/>
      <c r="E299" s="483"/>
      <c r="F299" s="484"/>
      <c r="G299" s="484"/>
      <c r="H299" s="46"/>
      <c r="I299" s="197"/>
      <c r="J299" s="484"/>
      <c r="K299" s="476"/>
      <c r="L299" s="168"/>
      <c r="M299" s="46"/>
      <c r="N299" s="478"/>
      <c r="O299" s="478"/>
      <c r="P299" s="154"/>
      <c r="Q299" s="46"/>
      <c r="R299" s="154"/>
      <c r="S299" s="477"/>
      <c r="T299" s="46"/>
      <c r="U299" s="477"/>
      <c r="V299" s="155">
        <f t="shared" si="185"/>
        <v>1</v>
      </c>
      <c r="W299" s="479" t="str">
        <f t="shared" si="186"/>
        <v>Oportuno</v>
      </c>
      <c r="X299" s="155">
        <f t="shared" si="187"/>
        <v>1</v>
      </c>
      <c r="Y299" s="482"/>
    </row>
    <row r="300" spans="1:26" hidden="1" x14ac:dyDescent="0.2">
      <c r="A300" s="42"/>
      <c r="B300" s="51"/>
      <c r="C300" s="52"/>
      <c r="D300" s="53"/>
      <c r="E300" s="15"/>
      <c r="F300" s="45"/>
      <c r="G300" s="45"/>
      <c r="H300" s="46"/>
      <c r="I300" s="197"/>
      <c r="J300" s="45"/>
      <c r="K300" s="169"/>
      <c r="L300" s="49"/>
      <c r="M300" s="46"/>
      <c r="N300" s="16"/>
      <c r="O300" s="16"/>
      <c r="P300" s="154"/>
      <c r="Q300" s="46"/>
      <c r="R300" s="154"/>
      <c r="S300" s="42"/>
      <c r="T300" s="46"/>
      <c r="U300" s="42"/>
      <c r="V300" s="155">
        <f t="shared" si="90"/>
        <v>1</v>
      </c>
      <c r="W300" s="155"/>
      <c r="X300" s="155">
        <f t="shared" si="91"/>
        <v>1</v>
      </c>
      <c r="Y300" s="364"/>
    </row>
    <row r="301" spans="1:26" hidden="1" x14ac:dyDescent="0.2">
      <c r="B301" s="54" t="s">
        <v>85</v>
      </c>
      <c r="C301" s="55"/>
      <c r="K301" s="31"/>
      <c r="X301" s="50">
        <f>DAYS360(Q301,T301,0)+1</f>
        <v>1</v>
      </c>
    </row>
    <row r="302" spans="1:26" hidden="1" x14ac:dyDescent="0.2">
      <c r="B302" s="186"/>
      <c r="C302" s="55" t="s">
        <v>222</v>
      </c>
      <c r="K302" s="31"/>
    </row>
    <row r="303" spans="1:26" ht="15.75" hidden="1" x14ac:dyDescent="0.25">
      <c r="C303" s="710" t="s">
        <v>137</v>
      </c>
      <c r="D303" s="710"/>
      <c r="E303" s="710"/>
      <c r="F303" s="710"/>
      <c r="G303" s="710"/>
      <c r="H303" s="710"/>
      <c r="I303" s="710"/>
      <c r="J303" s="710"/>
      <c r="K303" s="710"/>
      <c r="L303" s="710"/>
      <c r="M303" s="710"/>
      <c r="R303" s="710"/>
      <c r="S303" s="710"/>
      <c r="T303" s="710"/>
      <c r="U303" s="710"/>
      <c r="V303" s="710"/>
      <c r="W303" s="710"/>
      <c r="X303" s="710"/>
      <c r="Z303" s="31">
        <f>COUNTIF(Y4:Y163,"X")</f>
        <v>153</v>
      </c>
    </row>
    <row r="304" spans="1:26" ht="15.75" hidden="1" x14ac:dyDescent="0.25">
      <c r="C304" s="711" t="s">
        <v>87</v>
      </c>
      <c r="D304" s="712"/>
      <c r="E304" s="766" t="s">
        <v>3</v>
      </c>
      <c r="F304" s="767"/>
      <c r="G304" s="238"/>
      <c r="H304" s="187"/>
      <c r="I304" s="260" t="s">
        <v>88</v>
      </c>
      <c r="J304" s="424" t="s">
        <v>45</v>
      </c>
      <c r="K304" s="60" t="s">
        <v>46</v>
      </c>
      <c r="L304" s="417" t="s">
        <v>50</v>
      </c>
      <c r="M304" s="61" t="s">
        <v>201</v>
      </c>
      <c r="Q304" s="27"/>
      <c r="R304" s="187"/>
      <c r="S304" s="188"/>
      <c r="T304" s="188"/>
      <c r="U304" s="189"/>
      <c r="V304" s="187"/>
      <c r="W304" s="187"/>
      <c r="X304" s="68"/>
      <c r="Y304" s="259"/>
    </row>
    <row r="305" spans="2:30" hidden="1" x14ac:dyDescent="0.2">
      <c r="C305" s="69" t="s">
        <v>82</v>
      </c>
      <c r="D305" s="49">
        <f>COUNTIF($J$4:J301,"No Conformidad")</f>
        <v>112</v>
      </c>
      <c r="E305" s="70" t="s">
        <v>83</v>
      </c>
      <c r="F305" s="460">
        <f>COUNTIF($L$4:L301,"Si")</f>
        <v>139</v>
      </c>
      <c r="G305" s="99"/>
      <c r="H305" s="99"/>
      <c r="I305" s="421" t="s">
        <v>82</v>
      </c>
      <c r="J305" s="425">
        <f>COUNTIFS($J$4:J301,"No Conformidad",$D$4:D301,"Auditoria")</f>
        <v>94</v>
      </c>
      <c r="K305" s="49">
        <f>COUNTIFS($J$4:J301,"No Conformidad",$D$4:D301,"Especial")</f>
        <v>0</v>
      </c>
      <c r="L305" s="418">
        <f>COUNTIFS($J$4:J301,"No Conformidad",$D$4:D301,"Informes")</f>
        <v>14</v>
      </c>
      <c r="M305" s="71">
        <f>COUNTIFS($J$4:K301,"No Conformidad",$D$4:E301,"Autocontrol")</f>
        <v>4</v>
      </c>
      <c r="Q305" s="187"/>
      <c r="R305" s="190"/>
      <c r="S305" s="99"/>
      <c r="T305" s="99"/>
      <c r="U305" s="99"/>
      <c r="V305" s="99"/>
      <c r="W305" s="99"/>
      <c r="Y305" s="49"/>
    </row>
    <row r="306" spans="2:30" ht="13.5" hidden="1" thickBot="1" x14ac:dyDescent="0.25">
      <c r="C306" s="427" t="s">
        <v>57</v>
      </c>
      <c r="D306" s="49">
        <f>COUNTIF($J$4:J301,"Recomendación")</f>
        <v>22</v>
      </c>
      <c r="E306" s="79" t="s">
        <v>84</v>
      </c>
      <c r="F306" s="80">
        <f>COUNTIF($L$4:L301,"No")</f>
        <v>61</v>
      </c>
      <c r="G306" s="99"/>
      <c r="H306" s="99"/>
      <c r="I306" s="422" t="s">
        <v>57</v>
      </c>
      <c r="J306" s="425">
        <f>COUNTIFS($J$4:J301,"Recomendación",$D$4:D301,"Auditoria")</f>
        <v>6</v>
      </c>
      <c r="K306" s="49">
        <f>COUNTIFS($J$4:J301,"Recomendación",$D$4:D301,"Especial")</f>
        <v>9</v>
      </c>
      <c r="L306" s="418">
        <f>COUNTIFS($J$4:J301,"Recomendación",$D$4:D301,"Informes")</f>
        <v>7</v>
      </c>
      <c r="M306" s="71">
        <f>COUNTIFS($J$4:K302,"Recomendación",$D$4:E302,"Autocontrol")</f>
        <v>0</v>
      </c>
      <c r="Q306" s="187"/>
      <c r="R306" s="190"/>
      <c r="S306" s="99"/>
      <c r="T306" s="99"/>
      <c r="U306" s="99"/>
      <c r="V306" s="99"/>
      <c r="W306" s="99"/>
      <c r="Y306" s="78"/>
    </row>
    <row r="307" spans="2:30" ht="13.5" hidden="1" thickBot="1" x14ac:dyDescent="0.25">
      <c r="C307" s="428" t="s">
        <v>460</v>
      </c>
      <c r="D307" s="78">
        <f>COUNTIF($J$4:J301,"Oportunidad de mejora")</f>
        <v>66</v>
      </c>
      <c r="G307" s="187"/>
      <c r="H307" s="187"/>
      <c r="I307" s="423" t="s">
        <v>460</v>
      </c>
      <c r="J307" s="413">
        <f>COUNTIFS($J$4:J302,"Oportunidad de mejora",$D$4:D302,"Auditoria")</f>
        <v>54</v>
      </c>
      <c r="K307" s="78">
        <f>COUNTIFS($J$4:J302,"Oportunidad de mejora",$D$4:D302,"Especial")</f>
        <v>0</v>
      </c>
      <c r="L307" s="419">
        <f>COUNTIFS($J$4:J302,"Oportunidad de mejora",$D$4:D302,"Informes")</f>
        <v>12</v>
      </c>
      <c r="M307" s="80">
        <f>COUNTIFS($J$4:K303,"Oportunidad de mejora",$D$4:E303,"Autocontrol")</f>
        <v>0</v>
      </c>
      <c r="Q307" s="190"/>
      <c r="R307" s="99"/>
      <c r="S307" s="99"/>
      <c r="T307" s="103"/>
      <c r="U307" s="103"/>
      <c r="V307" s="187"/>
      <c r="W307" s="187"/>
      <c r="Y307" s="92"/>
    </row>
    <row r="308" spans="2:30" ht="19.5" hidden="1" customHeight="1" thickTop="1" thickBot="1" x14ac:dyDescent="0.25">
      <c r="C308" s="87" t="s">
        <v>90</v>
      </c>
      <c r="D308" s="429">
        <f>SUM(D305:D307)</f>
        <v>200</v>
      </c>
      <c r="E308" s="430" t="s">
        <v>90</v>
      </c>
      <c r="F308" s="431">
        <f>SUM(F305:F306)</f>
        <v>200</v>
      </c>
      <c r="H308" s="55"/>
      <c r="I308" s="91" t="s">
        <v>90</v>
      </c>
      <c r="J308" s="411">
        <f>SUM(J305:J307)</f>
        <v>154</v>
      </c>
      <c r="K308" s="411">
        <f t="shared" ref="K308:M308" si="218">SUM(K305:K307)</f>
        <v>9</v>
      </c>
      <c r="L308" s="420">
        <f t="shared" si="218"/>
        <v>33</v>
      </c>
      <c r="M308" s="426">
        <f t="shared" si="218"/>
        <v>4</v>
      </c>
      <c r="R308" s="187"/>
      <c r="S308" s="99"/>
      <c r="T308" s="99"/>
      <c r="U308" s="103"/>
      <c r="V308" s="103"/>
      <c r="W308" s="103"/>
      <c r="X308" s="103"/>
      <c r="Y308" s="97"/>
    </row>
    <row r="309" spans="2:30" ht="13.5" hidden="1" thickBot="1" x14ac:dyDescent="0.25">
      <c r="B309" s="31" t="s">
        <v>93</v>
      </c>
      <c r="C309" s="55"/>
      <c r="H309" s="101"/>
      <c r="I309" s="56"/>
      <c r="J309" s="97" t="s">
        <v>92</v>
      </c>
      <c r="K309" s="98">
        <f>SUM(J308:M308)</f>
        <v>200</v>
      </c>
      <c r="L309" s="99"/>
      <c r="M309" s="99"/>
      <c r="N309" s="99"/>
      <c r="O309" s="99"/>
      <c r="Q309" s="99"/>
      <c r="R309" s="191"/>
      <c r="S309" s="188"/>
      <c r="T309" s="188"/>
      <c r="U309" s="189"/>
      <c r="V309" s="103"/>
      <c r="W309" s="103"/>
      <c r="Y309" s="103"/>
    </row>
    <row r="310" spans="2:30" ht="15" hidden="1" x14ac:dyDescent="0.25">
      <c r="C310" s="106" t="s">
        <v>95</v>
      </c>
      <c r="D310" s="107">
        <f>C1</f>
        <v>2016</v>
      </c>
      <c r="H310" s="101"/>
      <c r="K310" s="31"/>
      <c r="O310" s="152"/>
      <c r="Q310" s="99"/>
      <c r="R310" s="103"/>
      <c r="S310" s="99"/>
      <c r="T310" s="99"/>
      <c r="U310" s="99"/>
      <c r="V310" s="103"/>
      <c r="W310" s="103"/>
    </row>
    <row r="311" spans="2:30" ht="23.25" hidden="1" customHeight="1" thickBot="1" x14ac:dyDescent="0.25">
      <c r="B311" s="765" t="s">
        <v>0</v>
      </c>
      <c r="C311" s="749" t="s">
        <v>224</v>
      </c>
      <c r="D311" s="750"/>
      <c r="E311" s="772" t="s">
        <v>136</v>
      </c>
      <c r="F311" s="773"/>
      <c r="G311" s="773"/>
      <c r="H311" s="774"/>
      <c r="I311" s="747" t="s">
        <v>90</v>
      </c>
      <c r="J311" s="31"/>
      <c r="K311" s="770" t="s">
        <v>140</v>
      </c>
      <c r="L311" s="771"/>
      <c r="M311" s="762" t="s">
        <v>99</v>
      </c>
      <c r="N311" s="763"/>
      <c r="O311" s="764"/>
      <c r="P311" s="768" t="s">
        <v>100</v>
      </c>
      <c r="Q311" s="769"/>
      <c r="R311" s="32"/>
      <c r="S311" s="153"/>
      <c r="T311" s="99"/>
      <c r="U311" s="99"/>
      <c r="V311" s="103"/>
      <c r="W311" s="99"/>
      <c r="X311" s="99"/>
      <c r="Y311" s="99"/>
      <c r="Z311" s="99"/>
    </row>
    <row r="312" spans="2:30" ht="22.5" hidden="1" customHeight="1" thickBot="1" x14ac:dyDescent="0.25">
      <c r="B312" s="706"/>
      <c r="C312" s="244" t="s">
        <v>225</v>
      </c>
      <c r="D312" s="244" t="s">
        <v>0</v>
      </c>
      <c r="E312" s="112" t="s">
        <v>45</v>
      </c>
      <c r="F312" s="112" t="s">
        <v>46</v>
      </c>
      <c r="G312" s="112" t="s">
        <v>50</v>
      </c>
      <c r="H312" s="576" t="s">
        <v>201</v>
      </c>
      <c r="I312" s="748"/>
      <c r="J312" s="31"/>
      <c r="K312" s="574" t="s">
        <v>141</v>
      </c>
      <c r="L312" s="575" t="s">
        <v>142</v>
      </c>
      <c r="M312" s="239" t="s">
        <v>82</v>
      </c>
      <c r="N312" s="240" t="s">
        <v>57</v>
      </c>
      <c r="O312" s="428" t="s">
        <v>460</v>
      </c>
      <c r="P312" s="115" t="s">
        <v>83</v>
      </c>
      <c r="Q312" s="116" t="s">
        <v>84</v>
      </c>
      <c r="R312" s="32"/>
      <c r="T312" s="99"/>
      <c r="U312" s="99"/>
      <c r="V312" s="192"/>
      <c r="W312" s="99"/>
      <c r="X312" s="99"/>
      <c r="Y312" s="99"/>
      <c r="Z312" s="99"/>
      <c r="AA312" s="171"/>
    </row>
    <row r="313" spans="2:30" ht="15.75" hidden="1" customHeight="1" x14ac:dyDescent="0.25">
      <c r="B313" s="120" t="s">
        <v>53</v>
      </c>
      <c r="C313" s="573">
        <f>COUNTIFS($E$4:$E300,$C$312,$B$4:$B300,$B313)</f>
        <v>36</v>
      </c>
      <c r="D313" s="573">
        <f>COUNTIFS($E$4:$E300,$D$312,$B$4:$B300,$B313)</f>
        <v>4</v>
      </c>
      <c r="E313" s="573">
        <f>COUNTIFS($D$4:$D300,"Auditoria",$B$4:$B300,$B313)</f>
        <v>25</v>
      </c>
      <c r="F313" s="573">
        <f>COUNTIFS($D$4:$D300,"Especial",$B$4:$B300,$B313)</f>
        <v>0</v>
      </c>
      <c r="G313" s="573">
        <f>COUNTIFS($D$4:$D300,"Informes",$B$4:$B300,$B313)</f>
        <v>15</v>
      </c>
      <c r="H313" s="573">
        <f>COUNTIFS($D$4:$D300,"Autocontrol",$B$4:$B300,$B313)</f>
        <v>0</v>
      </c>
      <c r="I313" s="236">
        <f>SUM(E313:H313)</f>
        <v>40</v>
      </c>
      <c r="J313" s="31"/>
      <c r="K313" s="412">
        <f>COUNTIFS($K$4:$K300,"Hallazgo Abierto",$B$4:$B300,$B313)</f>
        <v>33</v>
      </c>
      <c r="L313" s="75">
        <f>COUNTIFS($K$4:$K300,"Hallazgo Cerrado",$B$4:$B300,$B313)</f>
        <v>0</v>
      </c>
      <c r="M313" s="109">
        <f>COUNTIFS($J$4:$J300,"No Conformidad",$B$4:$B300,$B313)</f>
        <v>30</v>
      </c>
      <c r="N313" s="236">
        <f>COUNTIFS($J$4:$J300,"Recomendación",$B$4:$B300,$B313)</f>
        <v>2</v>
      </c>
      <c r="O313" s="458">
        <f>COUNTIFS($J$4:$J300,"Oportunidad de mejora",$B$4:$B300,$B313)</f>
        <v>8</v>
      </c>
      <c r="P313" s="236">
        <f>COUNTIFS($L$4:L300,"Si",$B$4:B300,$B313)</f>
        <v>33</v>
      </c>
      <c r="Q313" s="75">
        <f>COUNTIFS($L$4:L300,"No",$B$4:B300,$B313)</f>
        <v>7</v>
      </c>
      <c r="R313" s="32"/>
      <c r="S313" s="99"/>
      <c r="T313" s="99"/>
      <c r="U313" s="99"/>
      <c r="V313" s="192"/>
      <c r="W313" s="99"/>
      <c r="X313" s="99"/>
      <c r="Y313" s="99"/>
      <c r="Z313" s="103"/>
      <c r="AA313" s="121"/>
    </row>
    <row r="314" spans="2:30" ht="15" hidden="1" x14ac:dyDescent="0.25">
      <c r="B314" s="360" t="s">
        <v>10</v>
      </c>
      <c r="C314" s="573">
        <f>COUNTIFS($E$4:$E300,$C$312,$B$4:$B300,$B314)</f>
        <v>0</v>
      </c>
      <c r="D314" s="573">
        <f>COUNTIFS($E$4:$E300,$D$312,$B$4:$B300,$B314)</f>
        <v>13</v>
      </c>
      <c r="E314" s="573">
        <f>COUNTIFS($D$4:$D300,"Auditoria",$B$4:$B300,$B314)</f>
        <v>13</v>
      </c>
      <c r="F314" s="573">
        <f>COUNTIFS($D$4:$D302,"Especial",$B$4:$B302,$B314)</f>
        <v>0</v>
      </c>
      <c r="G314" s="573">
        <f>COUNTIFS($D$4:$D302,"Informes",$B$4:$B302,$B314)</f>
        <v>0</v>
      </c>
      <c r="H314" s="573">
        <f>COUNTIFS($D$4:$D302,"Autocontrol",$B$4:$B302,$B314)</f>
        <v>0</v>
      </c>
      <c r="I314" s="458">
        <f t="shared" ref="I314:I325" si="219">SUM(E314:H314)</f>
        <v>13</v>
      </c>
      <c r="J314" s="31"/>
      <c r="K314" s="412">
        <f>COUNTIFS($K$4:$K300,"Hallazgo Abierto",$B$4:$B300,$B314)</f>
        <v>2</v>
      </c>
      <c r="L314" s="75">
        <f>COUNTIFS($K$4:$K300,"Hallazgo Cerrado",$B$4:$B300,$B314)</f>
        <v>0</v>
      </c>
      <c r="M314" s="168">
        <f>COUNTIFS($J$4:$J300,"No Conformidad",$B$4:$B300,$B314)</f>
        <v>11</v>
      </c>
      <c r="N314" s="49">
        <f>COUNTIFS($J$4:$J300,"Recomendación",$B$4:$B300,$B314)</f>
        <v>0</v>
      </c>
      <c r="O314" s="49">
        <f>COUNTIFS($J$4:$J300,"Oportunidad de mejora",$B$4:$B300,$B314)</f>
        <v>2</v>
      </c>
      <c r="P314" s="49">
        <f>COUNTIFS($L$4:$L300,"Si",$B$4:$B300,$B314)</f>
        <v>2</v>
      </c>
      <c r="Q314" s="71">
        <f>COUNTIFS($L$4:$L300,"No",$B$4:$B300,$B314)</f>
        <v>11</v>
      </c>
      <c r="R314" s="32"/>
      <c r="S314" s="151"/>
      <c r="T314" s="99"/>
      <c r="U314" s="99"/>
      <c r="V314" s="190"/>
      <c r="W314" s="99"/>
      <c r="X314" s="99"/>
      <c r="Y314" s="99"/>
      <c r="Z314" s="103"/>
      <c r="AA314" s="121"/>
      <c r="AD314" s="32"/>
    </row>
    <row r="315" spans="2:30" ht="63.75" hidden="1" x14ac:dyDescent="0.2">
      <c r="B315" s="577" t="s">
        <v>416</v>
      </c>
      <c r="C315" s="573">
        <f>COUNTIFS($E$4:$E300,$C$312,$B$4:$B300,$B315)</f>
        <v>0</v>
      </c>
      <c r="D315" s="573">
        <f>COUNTIFS($E$4:$E300,$D$312,$B$4:$B300,$B315)</f>
        <v>15</v>
      </c>
      <c r="E315" s="573">
        <f>COUNTIFS($D$4:$D300,"Auditoria",$B$4:$B300,$B315)</f>
        <v>14</v>
      </c>
      <c r="F315" s="573">
        <f>COUNTIFS($D$4:$D300,"Especial",$B$4:$B300,$B315)</f>
        <v>0</v>
      </c>
      <c r="G315" s="573">
        <f>COUNTIFS($D$4:$D300,"Informes",$B$4:$B300,$B315)</f>
        <v>0</v>
      </c>
      <c r="H315" s="573">
        <f>COUNTIFS($D$4:$D300,"Autocontrol",$B$4:$B300,$B315)</f>
        <v>1</v>
      </c>
      <c r="I315" s="458">
        <f t="shared" si="219"/>
        <v>15</v>
      </c>
      <c r="J315" s="31"/>
      <c r="K315" s="412">
        <f>COUNTIFS($K$4:$K300,"Hallazgo Abierto",$B$4:$B300,$B315)</f>
        <v>8</v>
      </c>
      <c r="L315" s="75">
        <f>COUNTIFS($K$4:$K300,"Hallazgo Cerrado",$B$4:$B300,$B315)</f>
        <v>3</v>
      </c>
      <c r="M315" s="168">
        <f>COUNTIFS($J$4:$J300,"No Conformidad",$B$4:$B300,$B315)</f>
        <v>15</v>
      </c>
      <c r="N315" s="49">
        <f>COUNTIFS($J$4:$J300,"Recomendación",$B$4:$B300,$B315)</f>
        <v>0</v>
      </c>
      <c r="O315" s="49">
        <f>COUNTIFS($J$4:$J300,"Oportunidad de mejora",$B$4:$B300,$B315)</f>
        <v>0</v>
      </c>
      <c r="P315" s="49">
        <f>COUNTIFS($L$4:$L300,"Si",$B$4:$B300,$B315)</f>
        <v>11</v>
      </c>
      <c r="Q315" s="71">
        <f>COUNTIFS($L$4:$L300,"No",$B$4:$B300,$B315)</f>
        <v>4</v>
      </c>
      <c r="R315" s="32"/>
      <c r="S315" s="151"/>
      <c r="T315" s="99"/>
      <c r="U315" s="99"/>
      <c r="V315" s="187"/>
      <c r="W315" s="99"/>
      <c r="X315" s="99"/>
      <c r="Y315" s="99"/>
      <c r="Z315" s="103"/>
      <c r="AA315" s="121"/>
    </row>
    <row r="316" spans="2:30" ht="45" hidden="1" x14ac:dyDescent="0.25">
      <c r="B316" s="123" t="s">
        <v>2</v>
      </c>
      <c r="C316" s="573">
        <f>COUNTIFS($E$4:$E300,$C$312,$B$4:$B300,$B316)</f>
        <v>0</v>
      </c>
      <c r="D316" s="573">
        <f>COUNTIFS($E$4:$E300,$D$312,$B$4:$B300,$B316)</f>
        <v>17</v>
      </c>
      <c r="E316" s="573">
        <f>COUNTIFS($D$4:$D300,"Auditoria",$B$4:$B300,$B316)</f>
        <v>16</v>
      </c>
      <c r="F316" s="573">
        <f>COUNTIFS($D$4:$D300,"Especial",$B$4:$B300,$B316)</f>
        <v>1</v>
      </c>
      <c r="G316" s="573">
        <f>COUNTIFS($D$4:$D300,"Informes",$B$4:$B300,$B316)</f>
        <v>0</v>
      </c>
      <c r="H316" s="573">
        <f>COUNTIFS($D$4:$D300,"Autocontrol",$B$4:$B300,$B316)</f>
        <v>0</v>
      </c>
      <c r="I316" s="458">
        <f t="shared" si="219"/>
        <v>17</v>
      </c>
      <c r="J316" s="31"/>
      <c r="K316" s="412">
        <f>COUNTIFS($K$4:$K300,"Hallazgo Abierto",$B$4:$B300,$B316)</f>
        <v>17</v>
      </c>
      <c r="L316" s="75">
        <f>COUNTIFS($K$4:$K300,"Hallazgo Cerrado",$B$4:$B300,$B316)</f>
        <v>0</v>
      </c>
      <c r="M316" s="168">
        <f>COUNTIFS($J$4:$J300,"No Conformidad",$B$4:$B300,$B316)</f>
        <v>6</v>
      </c>
      <c r="N316" s="49">
        <f>COUNTIFS($J$4:$J300,"Recomendación",$B$4:$B300,$B316)</f>
        <v>1</v>
      </c>
      <c r="O316" s="49">
        <f>COUNTIFS($J$4:$J300,"Oportunidad de mejora",$B$4:$B300,$B316)</f>
        <v>10</v>
      </c>
      <c r="P316" s="49">
        <f>COUNTIFS($L$4:$L300,"Si",$B$4:$B300,$B316)</f>
        <v>17</v>
      </c>
      <c r="Q316" s="71">
        <f>COUNTIFS($L$4:$L300,"No",$B$4:$B300,$B316)</f>
        <v>0</v>
      </c>
      <c r="R316" s="32"/>
      <c r="S316" s="151"/>
      <c r="T316" s="99"/>
      <c r="U316" s="99"/>
      <c r="V316" s="191"/>
      <c r="W316" s="188"/>
      <c r="X316" s="188"/>
      <c r="Y316" s="188"/>
      <c r="Z316" s="189"/>
      <c r="AA316" s="121"/>
    </row>
    <row r="317" spans="2:30" ht="25.5" x14ac:dyDescent="0.2">
      <c r="B317" s="703" t="s">
        <v>25</v>
      </c>
      <c r="C317" s="685">
        <f>COUNTIFS($E$4:$E300,$C$312,$B$4:$B300,$B317)</f>
        <v>0</v>
      </c>
      <c r="D317" s="685">
        <f>COUNTIFS($E$4:$E300,$D$312,$B$4:$B300,$B317)</f>
        <v>11</v>
      </c>
      <c r="E317" s="685">
        <f>COUNTIFS($D$4:$D300,"Auditoria",$B$4:$B300,$B317)</f>
        <v>10</v>
      </c>
      <c r="F317" s="573">
        <f>COUNTIFS($D$4:$D300,"Especial",$B$4:$B300,$B317)</f>
        <v>0</v>
      </c>
      <c r="G317" s="573">
        <f>COUNTIFS($D$4:$D300,"Informes",$B$4:$B300,$B317)</f>
        <v>1</v>
      </c>
      <c r="H317" s="685">
        <f>COUNTIFS($D$4:$D300,"Autocontrol",$B$4:$B300,$B317)</f>
        <v>0</v>
      </c>
      <c r="I317" s="685">
        <f t="shared" si="219"/>
        <v>11</v>
      </c>
      <c r="J317" s="31"/>
      <c r="K317" s="412">
        <f>COUNTIFS($K$4:$K300,"Hallazgo Abierto",$B$4:$B300,$B317)</f>
        <v>7</v>
      </c>
      <c r="L317" s="75">
        <f>COUNTIFS($K$4:$K300,"Hallazgo Cerrado",$B$4:$B300,$B317)</f>
        <v>4</v>
      </c>
      <c r="M317" s="168">
        <f>COUNTIFS($J$4:$J300,"No Conformidad",$B$4:$B300,$B317)</f>
        <v>5</v>
      </c>
      <c r="N317" s="686">
        <f>COUNTIFS($J$4:$J300,"Recomendación",$B$4:$B300,$B317)</f>
        <v>0</v>
      </c>
      <c r="O317" s="686">
        <f>COUNTIFS($J$4:$J300,"Oportunidad de mejora",$B$4:$B300,$B317)</f>
        <v>6</v>
      </c>
      <c r="P317" s="686">
        <f>COUNTIFS($L$4:$L300,"Si",$B$4:$B300,$B317)</f>
        <v>11</v>
      </c>
      <c r="Q317" s="71">
        <f>COUNTIFS($L$4:$L300,"No",$B$4:$B300,$B317)</f>
        <v>0</v>
      </c>
      <c r="R317" s="32"/>
      <c r="S317" s="151"/>
      <c r="T317" s="99"/>
      <c r="U317" s="99"/>
      <c r="V317" s="103"/>
      <c r="W317" s="99"/>
      <c r="X317" s="99"/>
      <c r="Y317" s="99"/>
      <c r="Z317" s="99"/>
      <c r="AA317" s="121"/>
    </row>
    <row r="318" spans="2:30" ht="30" hidden="1" x14ac:dyDescent="0.25">
      <c r="B318" s="123" t="s">
        <v>38</v>
      </c>
      <c r="C318" s="573">
        <f>COUNTIFS($E$4:$E300,$C$312,$B$4:$B300,$B318)</f>
        <v>0</v>
      </c>
      <c r="D318" s="573">
        <f>COUNTIFS($E$4:$E300,$D$312,$B$4:$B300,$B318)</f>
        <v>4</v>
      </c>
      <c r="E318" s="573">
        <f>COUNTIFS($D$4:$D300,"Auditoria",$B$4:$B300,$B318)</f>
        <v>4</v>
      </c>
      <c r="F318" s="573">
        <f>COUNTIFS($D$4:$D300,"Especial",$B$4:$B300,$B318)</f>
        <v>0</v>
      </c>
      <c r="G318" s="573">
        <f>COUNTIFS($D$4:$D300,"Informes",$B$4:$B300,$B318)</f>
        <v>0</v>
      </c>
      <c r="H318" s="573">
        <f>COUNTIFS($D$4:$D300,"Autocontrol",$B$4:$B300,$B318)</f>
        <v>0</v>
      </c>
      <c r="I318" s="458">
        <f t="shared" si="219"/>
        <v>4</v>
      </c>
      <c r="J318" s="31"/>
      <c r="K318" s="412">
        <f>COUNTIFS($K$4:$K300,"Hallazgo Abierto",$B$4:$B300,$B318)</f>
        <v>4</v>
      </c>
      <c r="L318" s="75">
        <f>COUNTIFS($K$4:$K300,"Hallazgo Cerrado",$B$4:$B300,$B318)</f>
        <v>0</v>
      </c>
      <c r="M318" s="168">
        <f>COUNTIFS($J$4:$J300,"No Conformidad",$B$4:$B300,$B318)</f>
        <v>2</v>
      </c>
      <c r="N318" s="49">
        <f>COUNTIFS($J$4:$J300,"Recomendación",$B$4:$B300,$B318)</f>
        <v>0</v>
      </c>
      <c r="O318" s="49">
        <f>COUNTIFS($J$4:$J300,"Oportunidad de mejora",$B$4:$B300,$B318)</f>
        <v>2</v>
      </c>
      <c r="P318" s="49">
        <f>COUNTIFS($L$4:$L300,"Si",$B$4:$B300,$B318)</f>
        <v>4</v>
      </c>
      <c r="Q318" s="71">
        <f>COUNTIFS($L$4:$L300,"No",$B$4:$B300,$B318)</f>
        <v>0</v>
      </c>
      <c r="R318" s="32"/>
      <c r="S318" s="151"/>
      <c r="T318" s="99"/>
      <c r="U318" s="99"/>
      <c r="V318" s="103"/>
      <c r="W318" s="99"/>
      <c r="X318" s="99"/>
      <c r="Y318" s="99"/>
      <c r="Z318" s="99"/>
      <c r="AA318" s="121"/>
    </row>
    <row r="319" spans="2:30" ht="45" hidden="1" x14ac:dyDescent="0.25">
      <c r="B319" s="361" t="s">
        <v>37</v>
      </c>
      <c r="C319" s="573">
        <f>COUNTIFS($E$4:$E300,$C$312,$B$4:$B300,$B319)</f>
        <v>0</v>
      </c>
      <c r="D319" s="573">
        <f>COUNTIFS($E$4:$E300,$D$312,$B$4:$B300,$B319)</f>
        <v>8</v>
      </c>
      <c r="E319" s="573">
        <f>COUNTIFS($D$4:$D300,"Auditoria",$B$4:$B300,$B319)</f>
        <v>8</v>
      </c>
      <c r="F319" s="573">
        <f>COUNTIFS($D$4:$D300,"Especial",$B$4:$B300,$B319)</f>
        <v>0</v>
      </c>
      <c r="G319" s="573">
        <f>COUNTIFS($D$4:$D300,"Informes",$B$4:$B300,$B319)</f>
        <v>0</v>
      </c>
      <c r="H319" s="573">
        <f>COUNTIFS($D$4:$D300,"Autocontrol",$B$4:$B300,$B319)</f>
        <v>0</v>
      </c>
      <c r="I319" s="458">
        <f t="shared" si="219"/>
        <v>8</v>
      </c>
      <c r="J319" s="31"/>
      <c r="K319" s="412">
        <f>COUNTIFS($K$4:$K300,"Hallazgo Abierto",$B$4:$B300,$B319)</f>
        <v>4</v>
      </c>
      <c r="L319" s="75">
        <f>COUNTIFS($K$4:$K300,"Hallazgo Cerrado",$B$4:$B300,$B319)</f>
        <v>0</v>
      </c>
      <c r="M319" s="168">
        <f>COUNTIFS($J$4:$J300,"No Conformidad",$B$4:$B300,$B319)</f>
        <v>1</v>
      </c>
      <c r="N319" s="49">
        <f>COUNTIFS($J$4:$J300,"Recomendación",$B$4:$B300,$B319)</f>
        <v>3</v>
      </c>
      <c r="O319" s="49">
        <f>COUNTIFS($J$4:$J300,"Oportunidad de mejora",$B$4:$B300,$B319)</f>
        <v>4</v>
      </c>
      <c r="P319" s="49">
        <f>COUNTIFS($L$4:$L300,"Si",$B$4:$B300,$B319)</f>
        <v>4</v>
      </c>
      <c r="Q319" s="71">
        <f>COUNTIFS($L$4:$L300,"No",$B$4:$B300,$B319)</f>
        <v>4</v>
      </c>
      <c r="R319" s="32"/>
      <c r="S319" s="151"/>
      <c r="T319" s="99"/>
      <c r="U319" s="99"/>
      <c r="V319" s="192"/>
      <c r="W319" s="99"/>
      <c r="X319" s="99"/>
      <c r="Y319" s="99"/>
      <c r="Z319" s="99"/>
      <c r="AA319" s="121"/>
    </row>
    <row r="320" spans="2:30" ht="15" hidden="1" x14ac:dyDescent="0.25">
      <c r="B320" s="360" t="s">
        <v>324</v>
      </c>
      <c r="C320" s="573">
        <f>COUNTIFS($E$4:$E301,$C$312,$B$4:$B301,$B320)</f>
        <v>0</v>
      </c>
      <c r="D320" s="573">
        <f>COUNTIFS($E$4:$E301,$D$312,$B$4:$B301,$B320)</f>
        <v>7</v>
      </c>
      <c r="E320" s="573">
        <f>COUNTIFS($D$4:$D301,"Auditoria",$B$4:$B301,$B320)</f>
        <v>0</v>
      </c>
      <c r="F320" s="573">
        <f>COUNTIFS($D$4:$D301,"Especial",$B$4:$B301,$B320)</f>
        <v>0</v>
      </c>
      <c r="G320" s="573">
        <f>COUNTIFS($D$4:$D301,"Informes",$B$4:$B301,$B320)</f>
        <v>7</v>
      </c>
      <c r="H320" s="573">
        <f>COUNTIFS($D$4:$D301,"Autocontrol",$B$4:$B301,$B320)</f>
        <v>0</v>
      </c>
      <c r="I320" s="458">
        <f t="shared" si="219"/>
        <v>7</v>
      </c>
      <c r="J320" s="31"/>
      <c r="K320" s="412">
        <f>COUNTIFS($K$4:$K301,"Hallazgo Abierto",$B$4:$B301,$B320)</f>
        <v>2</v>
      </c>
      <c r="L320" s="75">
        <f>COUNTIFS($K$4:$K301,"Hallazgo Cerrado",$B$4:$B301,$B320)</f>
        <v>0</v>
      </c>
      <c r="M320" s="168">
        <f>COUNTIFS($J$4:$J301,"No Conformidad",$B$4:$B301,$B320)</f>
        <v>2</v>
      </c>
      <c r="N320" s="49">
        <f>COUNTIFS($J$4:$J301,"Recomendación",$B$4:$B301,$B320)</f>
        <v>5</v>
      </c>
      <c r="O320" s="49">
        <f>COUNTIFS($J$4:$J301,"Oportunidad de mejora",$B$4:$B301,$B320)</f>
        <v>0</v>
      </c>
      <c r="P320" s="49">
        <f>COUNTIFS($L$4:$L301,"Si",$B$4:$B301,$B320)</f>
        <v>2</v>
      </c>
      <c r="Q320" s="71">
        <f>COUNTIFS($L$4:$L301,"No",$B$4:$B301,$B320)</f>
        <v>5</v>
      </c>
      <c r="R320" s="32"/>
      <c r="S320" s="151"/>
      <c r="T320" s="99"/>
      <c r="U320" s="99"/>
      <c r="V320" s="192"/>
      <c r="W320" s="99"/>
      <c r="X320" s="99"/>
      <c r="Y320" s="99"/>
      <c r="Z320" s="99"/>
      <c r="AA320" s="121"/>
    </row>
    <row r="321" spans="2:27" ht="45" hidden="1" x14ac:dyDescent="0.25">
      <c r="B321" s="123" t="s">
        <v>66</v>
      </c>
      <c r="C321" s="573">
        <f>COUNTIFS($E$4:$E300,$C$312,$B$4:$B300,$B321)</f>
        <v>1</v>
      </c>
      <c r="D321" s="573">
        <f>COUNTIFS($E$4:$E300,$D$312,$B$4:$B300,$B321)</f>
        <v>27</v>
      </c>
      <c r="E321" s="573">
        <f>COUNTIFS($D$4:$D300,"Auditoria",$B$4:$B300,$B321)</f>
        <v>12</v>
      </c>
      <c r="F321" s="573">
        <f>COUNTIFS($D$4:$D300,"Especial",$B$4:$B300,$B321)</f>
        <v>8</v>
      </c>
      <c r="G321" s="573">
        <f>COUNTIFS($D$4:$D300,"Informes",$B$4:$B300,$B321)</f>
        <v>8</v>
      </c>
      <c r="H321" s="573">
        <f>COUNTIFS($D$4:$D300,"Autocontrol",$B$4:$B300,$B321)</f>
        <v>0</v>
      </c>
      <c r="I321" s="458">
        <f t="shared" si="219"/>
        <v>28</v>
      </c>
      <c r="J321" s="31"/>
      <c r="K321" s="412">
        <f>COUNTIFS($K$4:$K300,"Hallazgo Abierto",$B$4:$B300,$B321)</f>
        <v>10</v>
      </c>
      <c r="L321" s="75">
        <f>COUNTIFS($K$4:$K300,"Hallazgo Cerrado",$B$4:$B300,$B321)</f>
        <v>0</v>
      </c>
      <c r="M321" s="168">
        <f>COUNTIFS($J$4:$J300,"No Conformidad",$B$4:$B300,$B321)</f>
        <v>4</v>
      </c>
      <c r="N321" s="49">
        <f>COUNTIFS($J$4:$J300,"Recomendación",$B$4:$B300,$B321)</f>
        <v>10</v>
      </c>
      <c r="O321" s="49">
        <f>COUNTIFS($J$4:$J300,"Oportunidad de mejora",$B$4:$B300,$B321)</f>
        <v>14</v>
      </c>
      <c r="P321" s="49">
        <f>COUNTIFS($L$4:$L300,"Si",$B$4:$B300,$B321)</f>
        <v>10</v>
      </c>
      <c r="Q321" s="71">
        <f>COUNTIFS($L$4:$L300,"No",$B$4:$B300,$B321)</f>
        <v>18</v>
      </c>
      <c r="R321" s="32"/>
      <c r="S321" s="151"/>
      <c r="T321" s="99"/>
      <c r="U321" s="99"/>
      <c r="V321" s="192"/>
      <c r="W321" s="99"/>
      <c r="X321" s="99"/>
      <c r="Y321" s="99"/>
      <c r="Z321" s="103"/>
      <c r="AA321" s="121"/>
    </row>
    <row r="322" spans="2:27" ht="38.25" hidden="1" x14ac:dyDescent="0.2">
      <c r="B322" s="578" t="s">
        <v>67</v>
      </c>
      <c r="C322" s="573">
        <f>COUNTIFS($E$4:$E300,$C$312,$B$4:$B300,$B322)</f>
        <v>1</v>
      </c>
      <c r="D322" s="573">
        <f>COUNTIFS($E$4:$E300,$D$312,$B$4:$B300,$B322)</f>
        <v>16</v>
      </c>
      <c r="E322" s="573">
        <f>COUNTIFS($D$4:$D300,"Auditoria",$B$4:$B300,$B322)</f>
        <v>16</v>
      </c>
      <c r="F322" s="573">
        <f>COUNTIFS($D$4:$D300,"Especial",$B$4:$B300,$B322)</f>
        <v>0</v>
      </c>
      <c r="G322" s="573">
        <f>COUNTIFS($D$4:$D300,"Informes",$B$4:$B300,$B322)</f>
        <v>1</v>
      </c>
      <c r="H322" s="573">
        <f>COUNTIFS($D$4:$D300,"Autocontrol",$B$4:$B300,$B322)</f>
        <v>0</v>
      </c>
      <c r="I322" s="458">
        <f t="shared" si="219"/>
        <v>17</v>
      </c>
      <c r="J322" s="31"/>
      <c r="K322" s="412">
        <f>COUNTIFS($K$4:$K300,"Hallazgo Abierto",$B$4:$B300,$B322)</f>
        <v>16</v>
      </c>
      <c r="L322" s="75">
        <f>COUNTIFS($K$4:$K300,"Hallazgo Cerrado",$B$4:$B300,$B322)</f>
        <v>0</v>
      </c>
      <c r="M322" s="168">
        <f>COUNTIFS($J$4:$J300,"No Conformidad",$B$4:$B300,$B322)</f>
        <v>9</v>
      </c>
      <c r="N322" s="49">
        <f>COUNTIFS($J$4:$J300,"Recomendación",$B$4:$B300,$B322)</f>
        <v>0</v>
      </c>
      <c r="O322" s="49">
        <f>COUNTIFS($J$4:$J300,"Oportunidad de mejora",$B$4:$B300,$B322)</f>
        <v>8</v>
      </c>
      <c r="P322" s="49">
        <f>COUNTIFS($L$4:$L300,"Si",$B$4:$B300,$B322)</f>
        <v>16</v>
      </c>
      <c r="Q322" s="71">
        <f>COUNTIFS($L$4:$L300,"No",$B$4:$B300,$B322)</f>
        <v>1</v>
      </c>
      <c r="R322" s="32"/>
      <c r="S322" s="151"/>
      <c r="T322" s="99"/>
      <c r="U322" s="99"/>
      <c r="V322" s="57"/>
      <c r="W322" s="32"/>
      <c r="X322" s="32"/>
      <c r="Y322" s="32"/>
      <c r="AA322" s="121"/>
    </row>
    <row r="323" spans="2:27" ht="38.25" hidden="1" x14ac:dyDescent="0.2">
      <c r="B323" s="577" t="s">
        <v>414</v>
      </c>
      <c r="C323" s="573">
        <f>COUNTIFS($E$4:$E300,$C$312,$B$4:$B300,$B323)</f>
        <v>0</v>
      </c>
      <c r="D323" s="573">
        <f>COUNTIFS($E$4:$E300,$D$312,$B$4:$B300,$B323)</f>
        <v>21</v>
      </c>
      <c r="E323" s="573">
        <f>COUNTIFS($D$4:$D300,"Auditoria",$B$4:$B300,$B323)</f>
        <v>21</v>
      </c>
      <c r="F323" s="573">
        <f>COUNTIFS($D$4:$D300,"Especial",$B$4:$B300,$B323)</f>
        <v>0</v>
      </c>
      <c r="G323" s="573">
        <f>COUNTIFS($D$4:$D300,"Informes",$B$4:$B300,$B323)</f>
        <v>0</v>
      </c>
      <c r="H323" s="573">
        <f>COUNTIFS($D$4:$D300,"Autocontrol",$B$4:$B300,$B323)</f>
        <v>0</v>
      </c>
      <c r="I323" s="458">
        <f t="shared" si="219"/>
        <v>21</v>
      </c>
      <c r="J323" s="31"/>
      <c r="K323" s="412">
        <f>COUNTIFS($K$4:$K300,"Hallazgo Abierto",$B$4:$B300,$B323)</f>
        <v>12</v>
      </c>
      <c r="L323" s="75">
        <f>COUNTIFS($K$4:$K300,"Hallazgo Cerrado",$B$4:$B300,$B323)</f>
        <v>0</v>
      </c>
      <c r="M323" s="168">
        <f>COUNTIFS($J$4:$J300,"No Conformidad",$B$4:$B300,$B323)</f>
        <v>16</v>
      </c>
      <c r="N323" s="49">
        <f>COUNTIFS($J$4:$J300,"Recomendación",$B$4:$B300,$B323)</f>
        <v>1</v>
      </c>
      <c r="O323" s="49">
        <f>COUNTIFS($J$4:$J300,"Oportunidad de mejora",$B$4:$B300,$B323)</f>
        <v>4</v>
      </c>
      <c r="P323" s="49">
        <f>COUNTIFS($L$4:$L300,"Si",$B$4:$B300,$B323)</f>
        <v>12</v>
      </c>
      <c r="Q323" s="71">
        <f>COUNTIFS($L$4:$L300,"No",$B$4:$B300,$B323)</f>
        <v>9</v>
      </c>
      <c r="R323" s="32"/>
      <c r="S323" s="151"/>
      <c r="T323" s="99"/>
      <c r="U323" s="99"/>
      <c r="V323" s="57"/>
      <c r="W323" s="32"/>
      <c r="X323" s="32"/>
      <c r="Y323" s="32"/>
      <c r="AA323" s="121"/>
    </row>
    <row r="324" spans="2:27" ht="15" hidden="1" x14ac:dyDescent="0.25">
      <c r="B324" s="360" t="s">
        <v>65</v>
      </c>
      <c r="C324" s="573">
        <f>COUNTIFS($E$4:$E300,$C$312,$B$4:$B300,$B324)</f>
        <v>0</v>
      </c>
      <c r="D324" s="573">
        <f>COUNTIFS($E$4:$E300,$D$312,$B$4:$B300,$B324)</f>
        <v>13</v>
      </c>
      <c r="E324" s="573">
        <f>COUNTIFS($D$4:$D300,"Auditoria",$B$4:$B300,$B324)</f>
        <v>13</v>
      </c>
      <c r="F324" s="573">
        <f>COUNTIFS($D$4:$D300,"Especial",$B$4:$B300,$B324)</f>
        <v>0</v>
      </c>
      <c r="G324" s="573">
        <f>COUNTIFS($D$4:$D300,"Informes",$B$4:$B300,$B324)</f>
        <v>0</v>
      </c>
      <c r="H324" s="573">
        <f>COUNTIFS($D$4:$D300,"Autocontrol",$B$4:$B300,$B324)</f>
        <v>0</v>
      </c>
      <c r="I324" s="458">
        <f t="shared" si="219"/>
        <v>13</v>
      </c>
      <c r="J324" s="31"/>
      <c r="K324" s="412">
        <f>COUNTIFS($K$4:$K300,"Hallazgo Abierto",$B$4:$B300,$B324)</f>
        <v>13</v>
      </c>
      <c r="L324" s="75">
        <f>COUNTIFS($K$4:$K300,"Hallazgo Cerrado",$B$4:$B300,$B324)</f>
        <v>0</v>
      </c>
      <c r="M324" s="168">
        <f>COUNTIFS($J$4:$J300,"No Conformidad",$B$4:$B300,$B324)</f>
        <v>5</v>
      </c>
      <c r="N324" s="49">
        <f>COUNTIFS($J$4:$J300,"Recomendación",$B$4:$B300,$B324)</f>
        <v>0</v>
      </c>
      <c r="O324" s="49">
        <f>COUNTIFS($J$4:$J300,"Oportunidad de mejora",$B$4:$B300,$B324)</f>
        <v>8</v>
      </c>
      <c r="P324" s="49">
        <f>COUNTIFS($L$4:$L300,"Si",$B$4:$B300,$B324)</f>
        <v>13</v>
      </c>
      <c r="Q324" s="71">
        <f>COUNTIFS($L$4:$L300,"No",$B$4:$B300,$B324)</f>
        <v>0</v>
      </c>
      <c r="R324" s="32"/>
      <c r="S324" s="99"/>
      <c r="T324" s="99"/>
      <c r="U324" s="99"/>
      <c r="V324" s="57"/>
      <c r="W324" s="32"/>
      <c r="X324" s="32"/>
      <c r="Y324" s="32"/>
      <c r="AA324" s="121"/>
    </row>
    <row r="325" spans="2:27" ht="15.75" hidden="1" thickBot="1" x14ac:dyDescent="0.3">
      <c r="B325" s="134" t="s">
        <v>69</v>
      </c>
      <c r="C325" s="78">
        <f>COUNTIFS($E$4:$E300,$C$312,$B$4:$B300,$B325)</f>
        <v>1</v>
      </c>
      <c r="D325" s="78">
        <f>COUNTIFS($E$4:$E300,$D$312,$B$4:$B300,$B325)</f>
        <v>5</v>
      </c>
      <c r="E325" s="78">
        <f>COUNTIFS($D$4:$D300,"Auditoria",$B$4:$B300,$B325)</f>
        <v>2</v>
      </c>
      <c r="F325" s="78">
        <f>COUNTIFS($D$4:$D300,"Especial",$B$4:$B300,$B325)</f>
        <v>0</v>
      </c>
      <c r="G325" s="78">
        <f>COUNTIFS($D$4:$D300,"Informes",$B$4:$B300,$B325)</f>
        <v>1</v>
      </c>
      <c r="H325" s="78">
        <f>COUNTIFS($D$4:$D300,"Autocontrol",$B$4:$B300,$B325)</f>
        <v>3</v>
      </c>
      <c r="I325" s="458">
        <f t="shared" si="219"/>
        <v>6</v>
      </c>
      <c r="J325" s="31"/>
      <c r="K325" s="413">
        <f>COUNTIFS($K$4:$K300,"Hallazgo Abierto",$B$4:$B300,$B325)</f>
        <v>4</v>
      </c>
      <c r="L325" s="80">
        <f>COUNTIFS($K$4:$K300,"Hallazgo Cerrado",$B$4:$B300,$B325)</f>
        <v>0</v>
      </c>
      <c r="M325" s="111">
        <f>COUNTIFS($J$4:$J300,"No Conformidad",$B$4:$B300,$B325)</f>
        <v>6</v>
      </c>
      <c r="N325" s="78">
        <f>COUNTIFS($J$4:$J300,"Recomendación",$B$4:$B300,$B325)</f>
        <v>0</v>
      </c>
      <c r="O325" s="78">
        <f>COUNTIFS($J$4:$J300,"Oportunidad de mejora",$B$4:$B300,$B325)</f>
        <v>0</v>
      </c>
      <c r="P325" s="78">
        <f>COUNTIFS($L$4:$L300,"Si",$B$4:$B300,$B325)</f>
        <v>4</v>
      </c>
      <c r="Q325" s="80">
        <f>COUNTIFS($L$4:$L300,"No",$B$4:$B300,$B325)</f>
        <v>2</v>
      </c>
      <c r="R325" s="32"/>
      <c r="S325" s="99"/>
      <c r="T325" s="99"/>
      <c r="U325" s="99"/>
      <c r="V325" s="57"/>
      <c r="W325" s="32"/>
      <c r="X325" s="32"/>
      <c r="Y325" s="32"/>
      <c r="AA325" s="131"/>
    </row>
    <row r="326" spans="2:27" ht="17.25" hidden="1" thickTop="1" thickBot="1" x14ac:dyDescent="0.3">
      <c r="B326" s="135" t="s">
        <v>90</v>
      </c>
      <c r="C326" s="146">
        <f>SUM(C313:C325)</f>
        <v>39</v>
      </c>
      <c r="D326" s="245">
        <f>SUM(D313:D325)</f>
        <v>161</v>
      </c>
      <c r="E326" s="117">
        <f>SUM(E313:E325)</f>
        <v>154</v>
      </c>
      <c r="F326" s="118">
        <f>SUM(F313:F325)</f>
        <v>9</v>
      </c>
      <c r="G326" s="118">
        <f>SUBTOTAL(9,G313:G325)</f>
        <v>1</v>
      </c>
      <c r="H326" s="118">
        <f>SUBTOTAL(9,H313:H325)</f>
        <v>0</v>
      </c>
      <c r="I326" s="165">
        <f>SUM(I313:I325)</f>
        <v>200</v>
      </c>
      <c r="J326" s="135" t="s">
        <v>90</v>
      </c>
      <c r="K326" s="414">
        <f t="shared" ref="K326:Q326" si="220">SUM(K313:K325)</f>
        <v>132</v>
      </c>
      <c r="L326" s="173">
        <f t="shared" si="220"/>
        <v>7</v>
      </c>
      <c r="M326" s="167">
        <f t="shared" si="220"/>
        <v>112</v>
      </c>
      <c r="N326" s="93">
        <f t="shared" si="220"/>
        <v>22</v>
      </c>
      <c r="O326" s="93">
        <f t="shared" si="220"/>
        <v>66</v>
      </c>
      <c r="P326" s="93">
        <f t="shared" si="220"/>
        <v>139</v>
      </c>
      <c r="Q326" s="94">
        <f t="shared" si="220"/>
        <v>61</v>
      </c>
      <c r="R326" s="32"/>
      <c r="S326" s="99"/>
      <c r="T326" s="99"/>
      <c r="U326" s="99"/>
      <c r="V326" s="57"/>
      <c r="W326" s="32"/>
      <c r="X326" s="32"/>
      <c r="Y326" s="32"/>
      <c r="AA326" s="172"/>
    </row>
    <row r="327" spans="2:27" ht="13.5" hidden="1" thickBot="1" x14ac:dyDescent="0.25">
      <c r="C327" s="31"/>
      <c r="F327" s="106" t="s">
        <v>90</v>
      </c>
      <c r="G327" s="137">
        <f>SUM(E326:H326)</f>
        <v>164</v>
      </c>
      <c r="H327" s="138"/>
      <c r="I327" s="138"/>
      <c r="K327" s="459">
        <f>SUM(K326:L326)</f>
        <v>139</v>
      </c>
      <c r="P327" s="152"/>
      <c r="Q327" s="99"/>
      <c r="R327" s="99"/>
      <c r="S327" s="57"/>
      <c r="U327" s="32"/>
    </row>
    <row r="328" spans="2:27" x14ac:dyDescent="0.2">
      <c r="R328" s="395"/>
    </row>
    <row r="329" spans="2:27" x14ac:dyDescent="0.2">
      <c r="B329" s="757" t="s">
        <v>158</v>
      </c>
      <c r="C329" s="758"/>
      <c r="D329" s="759"/>
      <c r="E329" s="759"/>
      <c r="F329" s="757"/>
      <c r="G329" s="757"/>
      <c r="H329" s="757"/>
      <c r="I329" s="757"/>
      <c r="J329" s="757"/>
      <c r="K329" s="757"/>
      <c r="L329" s="760"/>
    </row>
    <row r="330" spans="2:27" ht="13.5" thickBot="1" x14ac:dyDescent="0.25"/>
    <row r="331" spans="2:27" ht="15.75" customHeight="1" thickBot="1" x14ac:dyDescent="0.25">
      <c r="C331" s="751" t="s">
        <v>0</v>
      </c>
      <c r="D331" s="753" t="s">
        <v>138</v>
      </c>
      <c r="E331" s="753"/>
      <c r="F331" s="753"/>
      <c r="G331" s="754"/>
      <c r="H331" s="581"/>
      <c r="I331" s="582"/>
      <c r="J331" s="744" t="s">
        <v>298</v>
      </c>
      <c r="K331" s="745"/>
      <c r="L331" s="746"/>
    </row>
    <row r="332" spans="2:27" ht="26.25" thickBot="1" x14ac:dyDescent="0.25">
      <c r="C332" s="752"/>
      <c r="D332" s="243" t="s">
        <v>109</v>
      </c>
      <c r="E332" s="112" t="s">
        <v>54</v>
      </c>
      <c r="F332" s="580" t="s">
        <v>58</v>
      </c>
      <c r="G332" s="579" t="s">
        <v>134</v>
      </c>
      <c r="H332" s="583"/>
      <c r="I332" s="584"/>
      <c r="J332" s="415" t="s">
        <v>135</v>
      </c>
      <c r="K332" s="163" t="s">
        <v>55</v>
      </c>
      <c r="L332" s="164" t="s">
        <v>59</v>
      </c>
      <c r="Q332" s="57"/>
      <c r="R332" s="32"/>
      <c r="T332" s="31"/>
      <c r="Y332" s="162"/>
    </row>
    <row r="333" spans="2:27" ht="13.5" thickTop="1" x14ac:dyDescent="0.2">
      <c r="C333" s="578" t="s">
        <v>53</v>
      </c>
      <c r="D333" s="121">
        <f>COUNTIFS($N$4:N300,"Corrección",$B$4:B300,$C333)</f>
        <v>14</v>
      </c>
      <c r="E333" s="121">
        <f>COUNTIFS($N$4:N300,"Acción Correctiva",$B$4:B300,$C333)</f>
        <v>37</v>
      </c>
      <c r="F333" s="121">
        <f>COUNTIFS($N$4:N300,"Acción Preventiva",$B$4:B300,$C333)</f>
        <v>2</v>
      </c>
      <c r="G333" s="121">
        <f>COUNTIFS($N$4:N300,"Acción Mejora",$B$4:B300,$C333)</f>
        <v>0</v>
      </c>
      <c r="H333" s="586"/>
      <c r="I333" s="587"/>
      <c r="J333" s="588">
        <f t="shared" ref="J333:J339" si="221">SUM(D333:G333)</f>
        <v>53</v>
      </c>
      <c r="K333" s="121">
        <f>COUNTIFS($S$4:S300,"Abierta",$B$4:B300,$C333)</f>
        <v>53</v>
      </c>
      <c r="L333" s="175">
        <f>COUNTIFS($S$4:S300,"Cerrada",$B$4:B300,$C333)</f>
        <v>0</v>
      </c>
      <c r="Q333" s="57"/>
      <c r="R333" s="32"/>
      <c r="T333" s="31"/>
      <c r="Y333" s="161"/>
    </row>
    <row r="334" spans="2:27" x14ac:dyDescent="0.2">
      <c r="C334" s="578" t="s">
        <v>10</v>
      </c>
      <c r="D334" s="121">
        <f>COUNTIFS($N$4:N300,"Corrección",$B$4:B300,$C334)</f>
        <v>0</v>
      </c>
      <c r="E334" s="121">
        <f>COUNTIFS($N$4:N300,"Acción Correctiva",$B$4:B300,$C334)</f>
        <v>2</v>
      </c>
      <c r="F334" s="121">
        <f>COUNTIFS($N$4:N300,"Acción Preventiva",$B$4:B300,$C334)</f>
        <v>0</v>
      </c>
      <c r="G334" s="121">
        <f>COUNTIFS($N$4:N300,"Acción Mejora",$B$4:B300,$C334)</f>
        <v>0</v>
      </c>
      <c r="H334" s="586"/>
      <c r="I334" s="587"/>
      <c r="J334" s="588">
        <f t="shared" si="221"/>
        <v>2</v>
      </c>
      <c r="K334" s="121">
        <f>COUNTIFS($S$4:S300,"Abierta",$B$4:B300,$C334)</f>
        <v>2</v>
      </c>
      <c r="L334" s="175">
        <f>COUNTIFS($S$4:S300,"Cerrada",$B$4:B300,$C334)</f>
        <v>0</v>
      </c>
      <c r="Q334" s="57"/>
      <c r="R334" s="32"/>
      <c r="T334" s="31"/>
      <c r="Y334" s="161"/>
    </row>
    <row r="335" spans="2:27" ht="38.25" x14ac:dyDescent="0.2">
      <c r="C335" s="578" t="s">
        <v>416</v>
      </c>
      <c r="D335" s="121">
        <f>COUNTIFS($N$4:N300,"Corrección",$B$4:B300,$C335)</f>
        <v>17</v>
      </c>
      <c r="E335" s="121">
        <f>COUNTIFS($N$4:N300,"Acción Correctiva",$B$4:B300,$C335)</f>
        <v>9</v>
      </c>
      <c r="F335" s="121">
        <f>COUNTIFS($N$4:N300,"Acción Preventiva",$B$4:B300,$C335)</f>
        <v>0</v>
      </c>
      <c r="G335" s="121">
        <f>COUNTIFS($N$4:N300,"Acción Mejora",$B$4:B300,$C335)</f>
        <v>0</v>
      </c>
      <c r="H335" s="586"/>
      <c r="I335" s="587"/>
      <c r="J335" s="588">
        <f t="shared" si="221"/>
        <v>26</v>
      </c>
      <c r="K335" s="121">
        <f>COUNTIFS($S$4:S300,"Abierta",$B$4:B300,$C335)</f>
        <v>12</v>
      </c>
      <c r="L335" s="175">
        <f>COUNTIFS($S$4:S300,"Cerrada",$B$4:B300,$C335)</f>
        <v>14</v>
      </c>
      <c r="Q335" s="57"/>
      <c r="R335" s="32"/>
      <c r="T335" s="31"/>
      <c r="Y335" s="161"/>
    </row>
    <row r="336" spans="2:27" ht="25.5" x14ac:dyDescent="0.2">
      <c r="C336" s="578" t="s">
        <v>2</v>
      </c>
      <c r="D336" s="121">
        <f>COUNTIFS($N$4:N300,"Corrección",$B$4:B300,$C336)</f>
        <v>13</v>
      </c>
      <c r="E336" s="121">
        <f>COUNTIFS($N$4:N300,"Acción Correctiva",$B$4:B300,$C336)</f>
        <v>17</v>
      </c>
      <c r="F336" s="121">
        <f>COUNTIFS($N$4:N300,"Acción Preventiva",$B$4:B300,$C336)</f>
        <v>0</v>
      </c>
      <c r="G336" s="121">
        <f>COUNTIFS($N$4:N300,"Acción Mejora",$B$4:B300,$C336)</f>
        <v>0</v>
      </c>
      <c r="H336" s="586"/>
      <c r="I336" s="587"/>
      <c r="J336" s="589">
        <f t="shared" si="221"/>
        <v>30</v>
      </c>
      <c r="K336" s="121">
        <f>COUNTIFS($S$4:S300,"Abierta",$B$4:B300,$C336)</f>
        <v>30</v>
      </c>
      <c r="L336" s="175">
        <f>COUNTIFS($S$4:S300,"Cerrada",$B$4:B300,$C336)</f>
        <v>0</v>
      </c>
      <c r="Q336" s="57"/>
      <c r="R336" s="32"/>
      <c r="T336" s="31"/>
      <c r="Y336" s="161"/>
    </row>
    <row r="337" spans="1:25" ht="25.5" x14ac:dyDescent="0.2">
      <c r="C337" s="578" t="s">
        <v>25</v>
      </c>
      <c r="D337" s="121">
        <f>COUNTIFS($N$4:N300,"Corrección",$B$4:B300,$C337)</f>
        <v>1</v>
      </c>
      <c r="E337" s="121">
        <f>COUNTIFS($N$4:N300,"Acción Correctiva",$B$4:B300,$C337)</f>
        <v>24</v>
      </c>
      <c r="F337" s="121">
        <f>COUNTIFS($N$4:N300,"Acción Preventiva",$B$4:B300,$C337)</f>
        <v>0</v>
      </c>
      <c r="G337" s="121">
        <f>COUNTIFS($N$4:N300,"Acción Mejora",$B$4:B300,$C337)</f>
        <v>0</v>
      </c>
      <c r="H337" s="586"/>
      <c r="I337" s="587"/>
      <c r="J337" s="588">
        <f t="shared" si="221"/>
        <v>25</v>
      </c>
      <c r="K337" s="121">
        <f>COUNTIFS($S$4:S300,"Abierta",$B$4:B300,$C337)</f>
        <v>5</v>
      </c>
      <c r="L337" s="175">
        <f>COUNTIFS($S$4:S300,"Cerrada",$B$4:B300,$C337)</f>
        <v>20</v>
      </c>
      <c r="Q337" s="57"/>
      <c r="R337" s="32"/>
      <c r="T337" s="31"/>
      <c r="Y337" s="161"/>
    </row>
    <row r="338" spans="1:25" x14ac:dyDescent="0.2">
      <c r="C338" s="578" t="s">
        <v>38</v>
      </c>
      <c r="D338" s="121">
        <f>COUNTIFS($N$4:N300,"Corrección",$B$4:B300,$C338)</f>
        <v>5</v>
      </c>
      <c r="E338" s="121">
        <f>COUNTIFS($N$4:N300,"Acción Correctiva",$B$4:B300,$C338)</f>
        <v>2</v>
      </c>
      <c r="F338" s="121">
        <f>COUNTIFS($N$4:N300,"Acción Preventiva",$B$4:B300,$C338)</f>
        <v>0</v>
      </c>
      <c r="G338" s="121">
        <f>COUNTIFS($N$4:N300,"Acción Mejora",$B$4:B300,$C338)</f>
        <v>0</v>
      </c>
      <c r="H338" s="586"/>
      <c r="I338" s="587"/>
      <c r="J338" s="588">
        <f t="shared" si="221"/>
        <v>7</v>
      </c>
      <c r="K338" s="121">
        <f>COUNTIFS($S$4:S300,"Abierta",$B$4:B300,$C338)</f>
        <v>7</v>
      </c>
      <c r="L338" s="175">
        <f>COUNTIFS($S$4:S300,"Cerrada",$B$4:B300,$C338)</f>
        <v>0</v>
      </c>
      <c r="Q338" s="57"/>
      <c r="R338" s="32"/>
      <c r="T338" s="31"/>
      <c r="Y338" s="161"/>
    </row>
    <row r="339" spans="1:25" ht="25.5" x14ac:dyDescent="0.2">
      <c r="C339" s="578" t="s">
        <v>37</v>
      </c>
      <c r="D339" s="121">
        <f>COUNTIFS($N$4:N300,"Corrección",$B$4:B300,$C339)</f>
        <v>2</v>
      </c>
      <c r="E339" s="121">
        <f>COUNTIFS($N$4:N300,"Acción Correctiva",$B$4:B300,$C339)</f>
        <v>2</v>
      </c>
      <c r="F339" s="121">
        <f>COUNTIFS($N$4:N300,"Acción Preventiva",$B$4:B300,$C339)</f>
        <v>0</v>
      </c>
      <c r="G339" s="121">
        <f>COUNTIFS($N$4:N300,"Acción Mejora",$B$4:B300,$C339)</f>
        <v>0</v>
      </c>
      <c r="H339" s="586"/>
      <c r="I339" s="587"/>
      <c r="J339" s="588">
        <f t="shared" si="221"/>
        <v>4</v>
      </c>
      <c r="K339" s="121">
        <f>COUNTIFS($S$4:S300,"Abierta",$B$4:B300,$C339)</f>
        <v>4</v>
      </c>
      <c r="L339" s="175">
        <f>COUNTIFS($S$4:S300,"Cerrada",$B$4:B300,$C339)</f>
        <v>0</v>
      </c>
      <c r="Q339" s="57"/>
      <c r="R339" s="32"/>
      <c r="T339" s="31"/>
      <c r="Y339" s="161"/>
    </row>
    <row r="340" spans="1:25" x14ac:dyDescent="0.2">
      <c r="C340" s="578" t="s">
        <v>324</v>
      </c>
      <c r="D340" s="121">
        <f>COUNTIFS($N$4:N301,"Corrección",$B$4:B301,$C340)</f>
        <v>0</v>
      </c>
      <c r="E340" s="121">
        <f>COUNTIFS($N$4:N301,"Acción Correctiva",$B$4:B301,$C340)</f>
        <v>2</v>
      </c>
      <c r="F340" s="121">
        <f>COUNTIFS($N$4:N301,"Acción Preventiva",$B$4:B301,$C340)</f>
        <v>0</v>
      </c>
      <c r="G340" s="121">
        <f>COUNTIFS($N$4:N301,"Acción Mejora",$B$4:B301,$C340)</f>
        <v>0</v>
      </c>
      <c r="H340" s="586"/>
      <c r="I340" s="587"/>
      <c r="J340" s="588">
        <f t="shared" ref="J340:J341" si="222">SUM(D340:G340)</f>
        <v>2</v>
      </c>
      <c r="K340" s="121">
        <f>COUNTIFS($S$4:S301,"Abierta",$B$4:B301,$C340)</f>
        <v>2</v>
      </c>
      <c r="L340" s="175">
        <f>COUNTIFS($S$4:S301,"Cerrada",$B$4:B301,$C340)</f>
        <v>0</v>
      </c>
      <c r="Q340" s="57"/>
      <c r="R340" s="32"/>
      <c r="T340" s="31"/>
      <c r="Y340" s="161"/>
    </row>
    <row r="341" spans="1:25" ht="25.5" x14ac:dyDescent="0.2">
      <c r="C341" s="578" t="s">
        <v>66</v>
      </c>
      <c r="D341" s="121">
        <f>COUNTIFS($N$4:N300,"Corrección",$B$4:B300,$C341)</f>
        <v>6</v>
      </c>
      <c r="E341" s="121">
        <f>COUNTIFS($N$4:N300,"Acción Correctiva",$B$4:B300,$C341)</f>
        <v>5</v>
      </c>
      <c r="F341" s="121">
        <f>COUNTIFS($N$4:N300,"Acción Preventiva",$B$4:B300,$C341)</f>
        <v>0</v>
      </c>
      <c r="G341" s="121">
        <f>COUNTIFS($N$4:N300,"Acción Mejora",$B$4:B300,$C341)</f>
        <v>0</v>
      </c>
      <c r="H341" s="586"/>
      <c r="I341" s="587"/>
      <c r="J341" s="588">
        <f t="shared" si="222"/>
        <v>11</v>
      </c>
      <c r="K341" s="121">
        <f>COUNTIFS($S$4:S302,"Abierta",$B$4:B302,$C341)</f>
        <v>11</v>
      </c>
      <c r="L341" s="175">
        <f>COUNTIFS($S$4:S302,"Cerrada",$B$4:B302,$C341)</f>
        <v>0</v>
      </c>
      <c r="Q341" s="57"/>
      <c r="R341" s="32"/>
      <c r="T341" s="31"/>
      <c r="Y341" s="161"/>
    </row>
    <row r="342" spans="1:25" ht="25.5" x14ac:dyDescent="0.2">
      <c r="C342" s="578" t="s">
        <v>67</v>
      </c>
      <c r="D342" s="121">
        <f>COUNTIFS($N$4:N300,"Corrección",$B$4:B300,$C342)</f>
        <v>9</v>
      </c>
      <c r="E342" s="121">
        <f>COUNTIFS($N$4:N300,"Acción Correctiva",$B$4:B300,$C342)</f>
        <v>16</v>
      </c>
      <c r="F342" s="121">
        <f>COUNTIFS($N$4:N300,"Acción Preventiva",$B$4:B300,$C342)</f>
        <v>0</v>
      </c>
      <c r="G342" s="121">
        <f>COUNTIFS($N$4:N300,"Acción Mejora",$B$4:B300,$C342)</f>
        <v>0</v>
      </c>
      <c r="H342" s="586"/>
      <c r="I342" s="587"/>
      <c r="J342" s="588">
        <f t="shared" ref="J342:J345" si="223">SUM(D342:G342)</f>
        <v>25</v>
      </c>
      <c r="K342" s="121">
        <f>COUNTIFS($S$4:S303,"Abierta",$B$4:B303,$C342)</f>
        <v>25</v>
      </c>
      <c r="L342" s="175">
        <f>COUNTIFS($S$4:S303,"Cerrada",$B$4:B303,$C342)</f>
        <v>0</v>
      </c>
      <c r="Q342" s="57"/>
      <c r="R342" s="32"/>
      <c r="T342" s="31"/>
      <c r="Y342" s="161"/>
    </row>
    <row r="343" spans="1:25" ht="25.5" x14ac:dyDescent="0.2">
      <c r="C343" s="578" t="s">
        <v>414</v>
      </c>
      <c r="D343" s="121">
        <f>COUNTIFS($N$4:N300,"Corrección",$B$4:B300,$C343)</f>
        <v>3</v>
      </c>
      <c r="E343" s="121">
        <f>COUNTIFS($N$4:N300,"Acción Correctiva",$B$4:B300,$C343)</f>
        <v>9</v>
      </c>
      <c r="F343" s="121">
        <f>COUNTIFS($N$4:N300,"Acción Preventiva",$B$4:B300,$C343)</f>
        <v>0</v>
      </c>
      <c r="G343" s="121">
        <f>COUNTIFS($N$4:N300,"Acción Mejora",$B$4:B300,$C343)</f>
        <v>0</v>
      </c>
      <c r="H343" s="586"/>
      <c r="I343" s="587"/>
      <c r="J343" s="588">
        <f t="shared" si="223"/>
        <v>12</v>
      </c>
      <c r="K343" s="121">
        <f>COUNTIFS($S$4:S304,"Abierta",$B$4:B304,$C343)</f>
        <v>12</v>
      </c>
      <c r="L343" s="175">
        <f>COUNTIFS($S$4:S304,"Cerrada",$B$4:B304,$C343)</f>
        <v>0</v>
      </c>
      <c r="Q343" s="57"/>
      <c r="R343" s="32"/>
      <c r="T343" s="31"/>
      <c r="Y343" s="161"/>
    </row>
    <row r="344" spans="1:25" x14ac:dyDescent="0.2">
      <c r="C344" s="578" t="s">
        <v>65</v>
      </c>
      <c r="D344" s="121">
        <f>COUNTIFS($N$4:N300,"Corrección",$B$4:B300,$C344)</f>
        <v>12</v>
      </c>
      <c r="E344" s="121">
        <f>COUNTIFS($N$4:N300,"Acción Correctiva",$B$4:B300,$C344)</f>
        <v>14</v>
      </c>
      <c r="F344" s="121">
        <f>COUNTIFS($N$4:N300,"Acción Preventiva",$B$4:B300,$C344)</f>
        <v>2</v>
      </c>
      <c r="G344" s="121">
        <f>COUNTIFS($N$4:N300,"Acción Mejora",$B$4:B300,$C344)</f>
        <v>0</v>
      </c>
      <c r="H344" s="586"/>
      <c r="I344" s="587"/>
      <c r="J344" s="588">
        <f t="shared" si="223"/>
        <v>28</v>
      </c>
      <c r="K344" s="121">
        <f>COUNTIFS($S$4:S305,"Abierta",$B$4:B305,$C344)</f>
        <v>28</v>
      </c>
      <c r="L344" s="175">
        <f>COUNTIFS($S$4:S305,"Cerrada",$B$4:B305,$C344)</f>
        <v>0</v>
      </c>
      <c r="Q344" s="57"/>
      <c r="R344" s="32"/>
      <c r="T344" s="31"/>
      <c r="Y344" s="161"/>
    </row>
    <row r="345" spans="1:25" ht="13.5" thickBot="1" x14ac:dyDescent="0.25">
      <c r="C345" s="585" t="s">
        <v>69</v>
      </c>
      <c r="D345" s="121">
        <f>COUNTIFS($N$4:N300,"Corrección",$B$4:B300,$C345)</f>
        <v>2</v>
      </c>
      <c r="E345" s="131">
        <f>COUNTIFS($N$4:N300,"Acción Correctiva",$B$4:B300,$C345)</f>
        <v>5</v>
      </c>
      <c r="F345" s="131">
        <f>COUNTIFS($N$4:N300,"Acción Preventiva",$B$4:B300,$C345)</f>
        <v>0</v>
      </c>
      <c r="G345" s="131">
        <f>COUNTIFS($N$4:N300,"Acción Mejora",$B$4:B300,$C345)</f>
        <v>0</v>
      </c>
      <c r="H345" s="586"/>
      <c r="I345" s="587"/>
      <c r="J345" s="591">
        <f t="shared" si="223"/>
        <v>7</v>
      </c>
      <c r="K345" s="131">
        <f>COUNTIFS($S$4:S306,"Abierta",$B$4:B306,$C345)</f>
        <v>7</v>
      </c>
      <c r="L345" s="590">
        <f>COUNTIFS($S$4:S306,"Cerrada",$B$4:B306,$C345)</f>
        <v>0</v>
      </c>
      <c r="Q345" s="57"/>
      <c r="R345" s="32"/>
      <c r="T345" s="31"/>
      <c r="Y345" s="161"/>
    </row>
    <row r="346" spans="1:25" ht="14.25" thickTop="1" thickBot="1" x14ac:dyDescent="0.25">
      <c r="C346" s="106" t="s">
        <v>90</v>
      </c>
      <c r="D346" s="242">
        <f>SUM(D333:D345)</f>
        <v>84</v>
      </c>
      <c r="E346" s="242">
        <f>SUM(E333:E345)</f>
        <v>144</v>
      </c>
      <c r="F346" s="242">
        <f>SUM(F333:F345)</f>
        <v>4</v>
      </c>
      <c r="G346" s="242">
        <f>SUM(G333:G345)</f>
        <v>0</v>
      </c>
      <c r="J346" s="416">
        <f>SUM(J333:J345)</f>
        <v>232</v>
      </c>
      <c r="K346" s="174">
        <f>SUM(K333:K345)</f>
        <v>198</v>
      </c>
      <c r="L346" s="174">
        <f>SUM(L333:L345)</f>
        <v>34</v>
      </c>
      <c r="Q346" s="57"/>
      <c r="R346" s="32"/>
      <c r="T346" s="31"/>
      <c r="Y346" s="174"/>
    </row>
    <row r="347" spans="1:25" ht="14.25" thickTop="1" thickBot="1" x14ac:dyDescent="0.25">
      <c r="F347" s="55" t="s">
        <v>223</v>
      </c>
      <c r="G347" s="241">
        <f>SUM(D346:G346)</f>
        <v>232</v>
      </c>
    </row>
    <row r="348" spans="1:25" x14ac:dyDescent="0.2">
      <c r="H348" s="215"/>
    </row>
    <row r="352" spans="1:25" x14ac:dyDescent="0.2">
      <c r="A352" s="235" t="s">
        <v>679</v>
      </c>
    </row>
    <row r="354" spans="2:2" x14ac:dyDescent="0.2">
      <c r="B354" s="31" t="s">
        <v>846</v>
      </c>
    </row>
  </sheetData>
  <autoFilter ref="A3:AD327">
    <filterColumn colId="1">
      <filters>
        <filter val="Mejoramiento de Vivienda"/>
      </filters>
    </filterColumn>
  </autoFilter>
  <mergeCells count="304">
    <mergeCell ref="D191:D192"/>
    <mergeCell ref="E191:E192"/>
    <mergeCell ref="J191:J192"/>
    <mergeCell ref="K191:K192"/>
    <mergeCell ref="L191:L192"/>
    <mergeCell ref="E127:E128"/>
    <mergeCell ref="J108:J109"/>
    <mergeCell ref="K119:K124"/>
    <mergeCell ref="J116:J118"/>
    <mergeCell ref="K116:K118"/>
    <mergeCell ref="E119:E124"/>
    <mergeCell ref="D116:D118"/>
    <mergeCell ref="L116:L118"/>
    <mergeCell ref="J127:J128"/>
    <mergeCell ref="E116:E118"/>
    <mergeCell ref="E142:E144"/>
    <mergeCell ref="J142:J144"/>
    <mergeCell ref="E155:E156"/>
    <mergeCell ref="J155:J156"/>
    <mergeCell ref="K155:K156"/>
    <mergeCell ref="D183:D184"/>
    <mergeCell ref="E183:E184"/>
    <mergeCell ref="J183:J184"/>
    <mergeCell ref="K183:K184"/>
    <mergeCell ref="K228:K229"/>
    <mergeCell ref="L228:L229"/>
    <mergeCell ref="L220:L221"/>
    <mergeCell ref="D194:D195"/>
    <mergeCell ref="E194:E195"/>
    <mergeCell ref="J194:J195"/>
    <mergeCell ref="K194:K195"/>
    <mergeCell ref="L194:L195"/>
    <mergeCell ref="D197:D198"/>
    <mergeCell ref="E197:E198"/>
    <mergeCell ref="J197:J198"/>
    <mergeCell ref="E199:E204"/>
    <mergeCell ref="D69:D70"/>
    <mergeCell ref="D103:D106"/>
    <mergeCell ref="E103:E106"/>
    <mergeCell ref="J103:J106"/>
    <mergeCell ref="K103:K106"/>
    <mergeCell ref="K91:K92"/>
    <mergeCell ref="L112:L115"/>
    <mergeCell ref="J69:J70"/>
    <mergeCell ref="E91:E92"/>
    <mergeCell ref="J91:J92"/>
    <mergeCell ref="D94:D95"/>
    <mergeCell ref="E94:E95"/>
    <mergeCell ref="J94:J95"/>
    <mergeCell ref="D108:D109"/>
    <mergeCell ref="D80:D81"/>
    <mergeCell ref="E80:E81"/>
    <mergeCell ref="D112:D115"/>
    <mergeCell ref="D75:D76"/>
    <mergeCell ref="L80:L81"/>
    <mergeCell ref="L91:L92"/>
    <mergeCell ref="L96:L98"/>
    <mergeCell ref="D96:D98"/>
    <mergeCell ref="E96:E98"/>
    <mergeCell ref="K96:K98"/>
    <mergeCell ref="E69:E70"/>
    <mergeCell ref="L103:L106"/>
    <mergeCell ref="E71:E72"/>
    <mergeCell ref="K80:K81"/>
    <mergeCell ref="E55:E56"/>
    <mergeCell ref="J112:J115"/>
    <mergeCell ref="K112:K115"/>
    <mergeCell ref="E108:E109"/>
    <mergeCell ref="E112:E115"/>
    <mergeCell ref="E75:E76"/>
    <mergeCell ref="E77:E78"/>
    <mergeCell ref="J71:J72"/>
    <mergeCell ref="L77:L78"/>
    <mergeCell ref="L108:L109"/>
    <mergeCell ref="L94:L95"/>
    <mergeCell ref="Y112:Y115"/>
    <mergeCell ref="Y75:Y76"/>
    <mergeCell ref="Y77:Y78"/>
    <mergeCell ref="Y80:Y81"/>
    <mergeCell ref="Y91:Y92"/>
    <mergeCell ref="Y103:Y106"/>
    <mergeCell ref="D91:D92"/>
    <mergeCell ref="D77:D78"/>
    <mergeCell ref="K127:K128"/>
    <mergeCell ref="L127:L128"/>
    <mergeCell ref="Y108:Y109"/>
    <mergeCell ref="L75:L76"/>
    <mergeCell ref="D127:D128"/>
    <mergeCell ref="Y142:Y144"/>
    <mergeCell ref="W142:W144"/>
    <mergeCell ref="W138:W139"/>
    <mergeCell ref="W134:W137"/>
    <mergeCell ref="Y138:Y139"/>
    <mergeCell ref="Y134:Y137"/>
    <mergeCell ref="Y116:Y118"/>
    <mergeCell ref="Y119:Y124"/>
    <mergeCell ref="Y127:Y128"/>
    <mergeCell ref="Y55:Y56"/>
    <mergeCell ref="Y57:Y60"/>
    <mergeCell ref="Y61:Y65"/>
    <mergeCell ref="Y69:Y70"/>
    <mergeCell ref="L55:L56"/>
    <mergeCell ref="L69:L70"/>
    <mergeCell ref="L5:L7"/>
    <mergeCell ref="L51:L54"/>
    <mergeCell ref="U32:U35"/>
    <mergeCell ref="L16:L21"/>
    <mergeCell ref="Y16:Y21"/>
    <mergeCell ref="L32:L35"/>
    <mergeCell ref="L57:L60"/>
    <mergeCell ref="L61:L65"/>
    <mergeCell ref="Y71:Y72"/>
    <mergeCell ref="E5:E7"/>
    <mergeCell ref="J57:J60"/>
    <mergeCell ref="K57:K60"/>
    <mergeCell ref="E16:E21"/>
    <mergeCell ref="E51:E54"/>
    <mergeCell ref="E32:E35"/>
    <mergeCell ref="E57:E60"/>
    <mergeCell ref="D61:D65"/>
    <mergeCell ref="J61:J65"/>
    <mergeCell ref="D55:D56"/>
    <mergeCell ref="J55:J56"/>
    <mergeCell ref="K55:K56"/>
    <mergeCell ref="J16:J21"/>
    <mergeCell ref="K16:K21"/>
    <mergeCell ref="J32:J35"/>
    <mergeCell ref="K5:K7"/>
    <mergeCell ref="D5:D7"/>
    <mergeCell ref="J5:J7"/>
    <mergeCell ref="K32:K35"/>
    <mergeCell ref="D16:D21"/>
    <mergeCell ref="Y5:Y7"/>
    <mergeCell ref="Y32:Y35"/>
    <mergeCell ref="Y51:Y54"/>
    <mergeCell ref="L284:L285"/>
    <mergeCell ref="R275:R276"/>
    <mergeCell ref="K197:K198"/>
    <mergeCell ref="D51:D54"/>
    <mergeCell ref="D32:D35"/>
    <mergeCell ref="D57:D60"/>
    <mergeCell ref="K61:K65"/>
    <mergeCell ref="E61:E65"/>
    <mergeCell ref="J51:J54"/>
    <mergeCell ref="K51:K54"/>
    <mergeCell ref="K108:K109"/>
    <mergeCell ref="J75:J76"/>
    <mergeCell ref="K75:K76"/>
    <mergeCell ref="J77:J78"/>
    <mergeCell ref="K77:K78"/>
    <mergeCell ref="K94:K95"/>
    <mergeCell ref="J96:J98"/>
    <mergeCell ref="L119:L124"/>
    <mergeCell ref="L138:L139"/>
    <mergeCell ref="K69:K70"/>
    <mergeCell ref="J80:J81"/>
    <mergeCell ref="D71:D72"/>
    <mergeCell ref="L71:L72"/>
    <mergeCell ref="K71:K72"/>
    <mergeCell ref="R303:X303"/>
    <mergeCell ref="C304:D304"/>
    <mergeCell ref="B311:B312"/>
    <mergeCell ref="E304:F304"/>
    <mergeCell ref="D232:D233"/>
    <mergeCell ref="E232:E233"/>
    <mergeCell ref="J232:J233"/>
    <mergeCell ref="K232:K233"/>
    <mergeCell ref="L232:L233"/>
    <mergeCell ref="D234:D236"/>
    <mergeCell ref="E234:E236"/>
    <mergeCell ref="J234:J236"/>
    <mergeCell ref="P311:Q311"/>
    <mergeCell ref="K247:K248"/>
    <mergeCell ref="L247:L248"/>
    <mergeCell ref="J273:J277"/>
    <mergeCell ref="K273:K277"/>
    <mergeCell ref="L273:L277"/>
    <mergeCell ref="K311:L311"/>
    <mergeCell ref="D279:D281"/>
    <mergeCell ref="E311:H311"/>
    <mergeCell ref="D247:D248"/>
    <mergeCell ref="E247:E248"/>
    <mergeCell ref="D284:D285"/>
    <mergeCell ref="W164:W165"/>
    <mergeCell ref="D119:D124"/>
    <mergeCell ref="B329:L329"/>
    <mergeCell ref="C303:M303"/>
    <mergeCell ref="J199:J204"/>
    <mergeCell ref="K199:K204"/>
    <mergeCell ref="L199:L204"/>
    <mergeCell ref="J261:J262"/>
    <mergeCell ref="K261:K262"/>
    <mergeCell ref="L261:L262"/>
    <mergeCell ref="D216:D217"/>
    <mergeCell ref="E216:E217"/>
    <mergeCell ref="D223:D225"/>
    <mergeCell ref="E223:E225"/>
    <mergeCell ref="J223:J225"/>
    <mergeCell ref="K223:K225"/>
    <mergeCell ref="L223:L225"/>
    <mergeCell ref="D226:D227"/>
    <mergeCell ref="E226:E227"/>
    <mergeCell ref="J226:J227"/>
    <mergeCell ref="D155:D156"/>
    <mergeCell ref="J119:J124"/>
    <mergeCell ref="M311:O311"/>
    <mergeCell ref="D199:D204"/>
    <mergeCell ref="J331:L331"/>
    <mergeCell ref="I311:I312"/>
    <mergeCell ref="C311:D311"/>
    <mergeCell ref="D239:D240"/>
    <mergeCell ref="E239:E240"/>
    <mergeCell ref="J239:J240"/>
    <mergeCell ref="K239:K240"/>
    <mergeCell ref="L239:L240"/>
    <mergeCell ref="D242:D243"/>
    <mergeCell ref="E242:E243"/>
    <mergeCell ref="J242:J243"/>
    <mergeCell ref="K242:K243"/>
    <mergeCell ref="L242:L243"/>
    <mergeCell ref="D259:D260"/>
    <mergeCell ref="E259:E260"/>
    <mergeCell ref="J259:J260"/>
    <mergeCell ref="K259:K260"/>
    <mergeCell ref="C331:C332"/>
    <mergeCell ref="D273:D277"/>
    <mergeCell ref="E273:E277"/>
    <mergeCell ref="D331:G331"/>
    <mergeCell ref="E284:E285"/>
    <mergeCell ref="J284:J285"/>
    <mergeCell ref="K284:K285"/>
    <mergeCell ref="E279:E281"/>
    <mergeCell ref="J279:J281"/>
    <mergeCell ref="K279:K281"/>
    <mergeCell ref="L279:L281"/>
    <mergeCell ref="D220:D221"/>
    <mergeCell ref="E220:E221"/>
    <mergeCell ref="J220:J221"/>
    <mergeCell ref="K220:K221"/>
    <mergeCell ref="J216:J217"/>
    <mergeCell ref="K216:K217"/>
    <mergeCell ref="L216:L217"/>
    <mergeCell ref="D218:D219"/>
    <mergeCell ref="E218:E219"/>
    <mergeCell ref="J218:J219"/>
    <mergeCell ref="K218:K219"/>
    <mergeCell ref="K234:K236"/>
    <mergeCell ref="L234:L236"/>
    <mergeCell ref="D237:D238"/>
    <mergeCell ref="E237:E238"/>
    <mergeCell ref="J247:J248"/>
    <mergeCell ref="J237:J238"/>
    <mergeCell ref="K237:K238"/>
    <mergeCell ref="L237:L238"/>
    <mergeCell ref="E228:E229"/>
    <mergeCell ref="L259:L260"/>
    <mergeCell ref="D261:D262"/>
    <mergeCell ref="E261:E262"/>
    <mergeCell ref="D164:D165"/>
    <mergeCell ref="E164:E165"/>
    <mergeCell ref="J164:J165"/>
    <mergeCell ref="K164:K165"/>
    <mergeCell ref="K226:K227"/>
    <mergeCell ref="D185:D189"/>
    <mergeCell ref="E185:E189"/>
    <mergeCell ref="J185:J189"/>
    <mergeCell ref="K185:K189"/>
    <mergeCell ref="L185:L189"/>
    <mergeCell ref="L226:L227"/>
    <mergeCell ref="D228:D229"/>
    <mergeCell ref="D230:D231"/>
    <mergeCell ref="E230:E231"/>
    <mergeCell ref="L218:L219"/>
    <mergeCell ref="J230:J231"/>
    <mergeCell ref="K230:K231"/>
    <mergeCell ref="L230:L231"/>
    <mergeCell ref="L197:L198"/>
    <mergeCell ref="L183:L184"/>
    <mergeCell ref="J228:J229"/>
    <mergeCell ref="V164:V165"/>
    <mergeCell ref="L164:L165"/>
    <mergeCell ref="J138:J139"/>
    <mergeCell ref="K138:K139"/>
    <mergeCell ref="D159:D161"/>
    <mergeCell ref="E159:E161"/>
    <mergeCell ref="K142:K144"/>
    <mergeCell ref="L159:L161"/>
    <mergeCell ref="D138:D139"/>
    <mergeCell ref="E138:E139"/>
    <mergeCell ref="L155:L156"/>
    <mergeCell ref="D142:D144"/>
    <mergeCell ref="L142:L144"/>
    <mergeCell ref="K159:K161"/>
    <mergeCell ref="J159:J161"/>
    <mergeCell ref="E134:E137"/>
    <mergeCell ref="J134:J137"/>
    <mergeCell ref="K134:K137"/>
    <mergeCell ref="L134:L137"/>
    <mergeCell ref="D134:D137"/>
    <mergeCell ref="D181:D182"/>
    <mergeCell ref="E181:E182"/>
    <mergeCell ref="J181:J182"/>
    <mergeCell ref="K181:K182"/>
    <mergeCell ref="L181:L182"/>
  </mergeCells>
  <conditionalFormatting sqref="L138:O138 M139:O139 D332:G332 L185 L183 L193:L194 F140:F141 M140:M141 L190:L191 L196:L197 L134 L145:L149 M134:O137 N140:O149 M162:N165 L179:N181 L249:P257 L150:O155 M156:O161 L157:L159 L239 L241:L242 L259:O259 L261:O261 L297:P300 L205:L216 L218 L220 L222:L223 L226 L228 L199 M182:N229 L244:L247 M238:N248 L258:N258 L166:O178 R139:R180 F162:F178 L140:L142 L162:L164 L278:L280 L282:L284 M260:O260 M262:O262 R249:R272 I249:I270 L230:N230 L232:N232 L234:N234 M231:N231 M233:N233 M235:N236 P220:P238 L237:N237 L263:P273 L286:L296 R278:R300 I272:I300 M274:P296 I50 L55 I12 M6:O7 L71 L79 L77 N77:O77 L61:N61 L110:O111 L112 L116 L119 N84 N85:O86 L96:O96 L3:L6 M5:M8 I16:I21 I24:I25 I32:I35 U32 I37:I42 L36:L51 Q51:Q54 M9:P10 M62:N71 O61:O71 L80:N80 M81:N81 M88:O88 M102:O106 U126 R13:R31 M11:O60 M84:M86 M72:O72 L73:O75 M76:O76 N78:N79 M77:M79 O78:O84 I5:I8 N4:P8 L107:O108 M128:N128 L99:O103 M109:O109 N112:O116 M112:M118 N117:N118 M119:N124 O117:O125 U39 U47:U48 O127:O128 L125:N127 M87:N87 O87:O88 L89:O91 M92:O92 M97:O98 M95:O95 I55:I178 U129 R4:R8 L57 L66:L69 L93:O94 L129:O133 L84:L88 L82:N83 L22:L32 U61:U65 U108 U110 U112:U113 U116:U120 U122 L8:L16 R36:R133">
    <cfRule type="cellIs" dxfId="411" priority="7544" operator="equal">
      <formula>"Plan Mejoramiento"</formula>
    </cfRule>
    <cfRule type="cellIs" dxfId="410" priority="7545" operator="equal">
      <formula>"Acción Preventiva"</formula>
    </cfRule>
    <cfRule type="cellIs" dxfId="409" priority="7546" operator="equal">
      <formula>"Acción Correctiva"</formula>
    </cfRule>
  </conditionalFormatting>
  <conditionalFormatting sqref="K332:L332 Q305:Q306 S140:S240 S4 U32 U39 U47:U48 S9:S133 R5:S8 U61:U65 U108 U110 U112:U113 U116:U120 U122 S138 S244 S246:S300">
    <cfRule type="cellIs" dxfId="408" priority="7540" operator="equal">
      <formula>"Cerrada"</formula>
    </cfRule>
    <cfRule type="cellIs" dxfId="407" priority="7541" operator="equal">
      <formula>"Abierta"</formula>
    </cfRule>
  </conditionalFormatting>
  <conditionalFormatting sqref="L138 D332:G332 L185 L193:L194 F140:F141 L183 L190:L191 L196:L197 N162:N165 N249:P257 L145:L155 L157:L159 L239 L241:L242 L261 L205:L216 L218 L220 L222:L223 L226 L228 L230 L232 L234 L199 L244:L247 N258 L249:L259 N166:O178 L166:L181 R139:R180 F162:F178 L140:L142 L162:L164 L263:L273 N263:P300 L278:L280 L282:L284 N259:O262 R249:R272 I249:I270 L237 P220:P238 L286:L300 N179:N248 R278:R300 I272:I300 I50 L55 I12 M6:O7 M62:N65 L71 L73:L75 L61:N61 L110:L112 L116 L119 L96 L3:L6 M5:M8 I16:I21 I24:I25 I32:I35 U32 I37:I42 L36:L51 Q51:Q54 M9:P10 L77 L79:L80 U126 R13:R31 M11:O60 M66:M70 O61:O75 N66:N75 N76:O116 I5:I8 N4:P8 L107:L108 N130:O161 O117:O125 U39 U47:U48 O127:O129 N117:N129 I55:I178 U129 R4:R8 L57 L66:L69 L93:L94 L99:L103 L125:L127 L129:L134 L82:L91 L22:L32 U61:U65 U108 U110 U112:U113 U116:U120 U122 L8:L16 R36:R133">
    <cfRule type="cellIs" dxfId="406" priority="7539" operator="equal">
      <formula>"Corrección"</formula>
    </cfRule>
  </conditionalFormatting>
  <conditionalFormatting sqref="K138 K312:L312 AA312 K185 K193:K194 K190:K191 K196:K197 K145:K155 K157:K159 K239 K241:K242 K261 K205:K216 K218 K220 K222:K223 K226 K228 K230 K232 K234 K183 K199 K244:K247 K249:K259 K166:K181 K140:K142 K162:K164 K263:K273 K278:K280 K282:K284 K237 K286:K300 K55 K71 K73:K75 K110:K112 K116 K119 K96 K36:K52 K61 K77 K79:K80 K107:K108 K4:K32 K57 K66:K69 K93:K94 K99:K103 K125:K127 K129:K134 K82:K91">
    <cfRule type="cellIs" dxfId="405" priority="7427" operator="equal">
      <formula>"Hallazgo Cerrado"</formula>
    </cfRule>
    <cfRule type="cellIs" dxfId="404" priority="7428" operator="equal">
      <formula>"Hallazgo Abierto"</formula>
    </cfRule>
  </conditionalFormatting>
  <conditionalFormatting sqref="E138 C312:D312 E145:E155 E157:E159 E183 E185 E193:E194 E190:E191 E196:E197 E239 E241:E242 E261 E218 E220 E222:E223 E226 E228 E230 E232 E234 E205:E216 E199 E244:E247 E249:E259 E166:E181 E140:E142 E162:E164 E263:E273 E278:E280 E282:E284 E237 E286:E300 E71 E73:E75 E110:E112 E116 E119 E55 E61 E4:E5 E96 E36:E51 E77 E79:E80 E107:E108 E8:E16 E22:E32 E57 E66:E69 E93:E94 E99:E103 E125:E127 E129:E134 E82:E91">
    <cfRule type="cellIs" dxfId="403" priority="7536" operator="equal">
      <formula>"Institucional"</formula>
    </cfRule>
    <cfRule type="cellIs" dxfId="402" priority="7537" operator="equal">
      <formula>"Proceso"</formula>
    </cfRule>
  </conditionalFormatting>
  <conditionalFormatting sqref="L140 K140:K141 AA312 Y300 Y145:Y146 Y150 Y140:Y141 Y162:Y171 K164 Y28:Y34 Y36:Y51 Y77 Y82 I8 K107:L107 Y55 Y26 Y4:Y6 Y71 Y73:Y75 Y79 Y89:Y91 Y61 Y67:Y69 Y9:Y16 Y22:Y23 Y110:Y112 Y116 Y119 Y102 Y107:Y108 Y130:Y134 Y87 Y125:Y127 Y93:Y100 K100:L103">
    <cfRule type="cellIs" dxfId="401" priority="5670" operator="equal">
      <formula>"Recomendación"</formula>
    </cfRule>
    <cfRule type="cellIs" dxfId="400" priority="5671" operator="equal">
      <formula>"No Conformidad"</formula>
    </cfRule>
  </conditionalFormatting>
  <conditionalFormatting sqref="W164 W140:W141 W145:W161 W166:W299 W4:W7 W9:W134">
    <cfRule type="cellIs" dxfId="399" priority="3716" operator="equal">
      <formula>"No ha formulado PM"</formula>
    </cfRule>
    <cfRule type="cellIs" dxfId="398" priority="3717" operator="equal">
      <formula>"Oportuno"</formula>
    </cfRule>
    <cfRule type="cellIs" dxfId="397" priority="3719" operator="equal">
      <formula>"Inoportuno"</formula>
    </cfRule>
  </conditionalFormatting>
  <conditionalFormatting sqref="S139">
    <cfRule type="cellIs" dxfId="396" priority="3255" operator="equal">
      <formula>"Cerrada"</formula>
    </cfRule>
    <cfRule type="cellIs" dxfId="395" priority="3256" operator="equal">
      <formula>"Abierta"</formula>
    </cfRule>
  </conditionalFormatting>
  <conditionalFormatting sqref="J185 J193:J194 J196:J197 J183 J190:J191 I307 C307 J145:J155 J157:J159 O312 J239 J241:J242 J261 J205:J216 J218 J220 J222:J223 J226 J228 J230 J232 J234 J199 J244:J247 J249:J259 J140:J142 J162:J181 J263:J273 J278:J280 J282:J284 J237 J286:J299 J4:J32 J36:J57 J61:J80 J107:J127 J129:J138 J82:J103">
    <cfRule type="cellIs" dxfId="394" priority="1795" operator="equal">
      <formula>"Oportunidad de mejora"</formula>
    </cfRule>
    <cfRule type="cellIs" dxfId="393" priority="2049" operator="equal">
      <formula>"Recomendación"</formula>
    </cfRule>
    <cfRule type="cellIs" dxfId="392" priority="2050" operator="equal">
      <formula>"No Conformidad"</formula>
    </cfRule>
  </conditionalFormatting>
  <conditionalFormatting sqref="R138">
    <cfRule type="cellIs" dxfId="391" priority="38" operator="equal">
      <formula>"Plan Mejoramiento"</formula>
    </cfRule>
    <cfRule type="cellIs" dxfId="390" priority="39" operator="equal">
      <formula>"Acción Preventiva"</formula>
    </cfRule>
    <cfRule type="cellIs" dxfId="389" priority="40" operator="equal">
      <formula>"Acción Correctiva"</formula>
    </cfRule>
  </conditionalFormatting>
  <conditionalFormatting sqref="R138">
    <cfRule type="cellIs" dxfId="388" priority="37" operator="equal">
      <formula>"Corrección"</formula>
    </cfRule>
  </conditionalFormatting>
  <conditionalFormatting sqref="R32:R34">
    <cfRule type="cellIs" dxfId="387" priority="34" operator="equal">
      <formula>"Plan Mejoramiento"</formula>
    </cfRule>
    <cfRule type="cellIs" dxfId="386" priority="35" operator="equal">
      <formula>"Acción Preventiva"</formula>
    </cfRule>
    <cfRule type="cellIs" dxfId="385" priority="36" operator="equal">
      <formula>"Acción Correctiva"</formula>
    </cfRule>
  </conditionalFormatting>
  <conditionalFormatting sqref="R32:R34">
    <cfRule type="cellIs" dxfId="384" priority="33" operator="equal">
      <formula>"Corrección"</formula>
    </cfRule>
  </conditionalFormatting>
  <conditionalFormatting sqref="R35">
    <cfRule type="cellIs" dxfId="383" priority="30" operator="equal">
      <formula>"Plan Mejoramiento"</formula>
    </cfRule>
    <cfRule type="cellIs" dxfId="382" priority="31" operator="equal">
      <formula>"Acción Preventiva"</formula>
    </cfRule>
    <cfRule type="cellIs" dxfId="381" priority="32" operator="equal">
      <formula>"Acción Correctiva"</formula>
    </cfRule>
  </conditionalFormatting>
  <conditionalFormatting sqref="R35">
    <cfRule type="cellIs" dxfId="380" priority="29" operator="equal">
      <formula>"Corrección"</formula>
    </cfRule>
  </conditionalFormatting>
  <conditionalFormatting sqref="S134">
    <cfRule type="cellIs" dxfId="379" priority="27" operator="equal">
      <formula>"Cerrada"</formula>
    </cfRule>
    <cfRule type="cellIs" dxfId="378" priority="28" operator="equal">
      <formula>"Abierta"</formula>
    </cfRule>
  </conditionalFormatting>
  <conditionalFormatting sqref="R134">
    <cfRule type="cellIs" dxfId="377" priority="24" operator="equal">
      <formula>"Plan Mejoramiento"</formula>
    </cfRule>
    <cfRule type="cellIs" dxfId="376" priority="25" operator="equal">
      <formula>"Acción Preventiva"</formula>
    </cfRule>
    <cfRule type="cellIs" dxfId="375" priority="26" operator="equal">
      <formula>"Acción Correctiva"</formula>
    </cfRule>
  </conditionalFormatting>
  <conditionalFormatting sqref="R134">
    <cfRule type="cellIs" dxfId="374" priority="23" operator="equal">
      <formula>"Corrección"</formula>
    </cfRule>
  </conditionalFormatting>
  <conditionalFormatting sqref="S135">
    <cfRule type="cellIs" dxfId="373" priority="21" operator="equal">
      <formula>"Cerrada"</formula>
    </cfRule>
    <cfRule type="cellIs" dxfId="372" priority="22" operator="equal">
      <formula>"Abierta"</formula>
    </cfRule>
  </conditionalFormatting>
  <conditionalFormatting sqref="R135">
    <cfRule type="cellIs" dxfId="371" priority="18" operator="equal">
      <formula>"Plan Mejoramiento"</formula>
    </cfRule>
    <cfRule type="cellIs" dxfId="370" priority="19" operator="equal">
      <formula>"Acción Preventiva"</formula>
    </cfRule>
    <cfRule type="cellIs" dxfId="369" priority="20" operator="equal">
      <formula>"Acción Correctiva"</formula>
    </cfRule>
  </conditionalFormatting>
  <conditionalFormatting sqref="R135">
    <cfRule type="cellIs" dxfId="368" priority="17" operator="equal">
      <formula>"Corrección"</formula>
    </cfRule>
  </conditionalFormatting>
  <conditionalFormatting sqref="S136:S137">
    <cfRule type="cellIs" dxfId="367" priority="15" operator="equal">
      <formula>"Cerrada"</formula>
    </cfRule>
    <cfRule type="cellIs" dxfId="366" priority="16" operator="equal">
      <formula>"Abierta"</formula>
    </cfRule>
  </conditionalFormatting>
  <conditionalFormatting sqref="R136">
    <cfRule type="cellIs" dxfId="365" priority="12" operator="equal">
      <formula>"Plan Mejoramiento"</formula>
    </cfRule>
    <cfRule type="cellIs" dxfId="364" priority="13" operator="equal">
      <formula>"Acción Preventiva"</formula>
    </cfRule>
    <cfRule type="cellIs" dxfId="363" priority="14" operator="equal">
      <formula>"Acción Correctiva"</formula>
    </cfRule>
  </conditionalFormatting>
  <conditionalFormatting sqref="R136">
    <cfRule type="cellIs" dxfId="362" priority="11" operator="equal">
      <formula>"Corrección"</formula>
    </cfRule>
  </conditionalFormatting>
  <conditionalFormatting sqref="R137">
    <cfRule type="cellIs" dxfId="361" priority="8" operator="equal">
      <formula>"Plan Mejoramiento"</formula>
    </cfRule>
    <cfRule type="cellIs" dxfId="360" priority="9" operator="equal">
      <formula>"Acción Preventiva"</formula>
    </cfRule>
    <cfRule type="cellIs" dxfId="359" priority="10" operator="equal">
      <formula>"Acción Correctiva"</formula>
    </cfRule>
  </conditionalFormatting>
  <conditionalFormatting sqref="R137">
    <cfRule type="cellIs" dxfId="358" priority="7" operator="equal">
      <formula>"Corrección"</formula>
    </cfRule>
  </conditionalFormatting>
  <conditionalFormatting sqref="S241:S242">
    <cfRule type="cellIs" dxfId="357" priority="5" operator="equal">
      <formula>"Cerrada"</formula>
    </cfRule>
    <cfRule type="cellIs" dxfId="356" priority="6" operator="equal">
      <formula>"Abierta"</formula>
    </cfRule>
  </conditionalFormatting>
  <conditionalFormatting sqref="S243">
    <cfRule type="cellIs" dxfId="355" priority="3" operator="equal">
      <formula>"Cerrada"</formula>
    </cfRule>
    <cfRule type="cellIs" dxfId="354" priority="4" operator="equal">
      <formula>"Abierta"</formula>
    </cfRule>
  </conditionalFormatting>
  <conditionalFormatting sqref="S245">
    <cfRule type="cellIs" dxfId="353" priority="1" operator="equal">
      <formula>"Cerrada"</formula>
    </cfRule>
    <cfRule type="cellIs" dxfId="352" priority="2" operator="equal">
      <formula>"Abierta"</formula>
    </cfRule>
  </conditionalFormatting>
  <dataValidations count="13">
    <dataValidation type="list" allowBlank="1" showInputMessage="1" showErrorMessage="1" sqref="G332 N4:N27 N30 N32:N50 N55:N300">
      <formula1>"Corrección,Acción Correctiva,Acción Preventiva,Acción Mejora"</formula1>
    </dataValidation>
    <dataValidation type="list" allowBlank="1" showInputMessage="1" showErrorMessage="1" sqref="S304 D162:D164 D157:D159 D282:D284 D278:D280 D196:D197 D193:D194 D185 D166:D181 D237 D234 D232 D230 D228 D226 D222:D223 D220 D218 D205:D216 D261 D249:D259 D241:D242 D263:D273 D244:D247 D286:D300 D145:D155 D140:D142 D138 D239 D183 D190:D191 D199 E312:H312 D5:D6 D55 D71 D73:D75 D61 D110:D112 D116 D119 D96 D8:D16 D22:D32 D36:D51 D57 D66:D69 D77 D79:D80 D82:D91 D93:D94 D99:D103 D107:D108 D125:D127 D129:D134">
      <formula1>"Auditoria,Informes,Especial,Autocontrol"</formula1>
    </dataValidation>
    <dataValidation type="list" allowBlank="1" showInputMessage="1" showErrorMessage="1" sqref="Q305:Q306 S4:S300">
      <formula1>"Abierta,Cerrada"</formula1>
    </dataValidation>
    <dataValidation type="list" allowBlank="1" showInputMessage="1" showErrorMessage="1" sqref="J286:J300 J282:J284 J278:J280 J196:J197 J193:J194 J185 J166:J181 J157:J159 J237 J234 J232 J230 J228 J226 J222:J223 J220 J218 J205:J216 J261 J249:J259 J241:J242 J263:J273 J244:J247 J199 J145:J155 J140:J142 J138 J239 J183 J190:J191 J162:J164 O312 I307 C307 J55 J71 J73:J75 J61 J110:J112 J116 J119 J96 J8:J16 J22:J32 J36:J51 J57 J66:J69 J77 J79:J80 J82:J91 J93:J94 J99:J103 J107:J108 J125:J127 J129:J134 J4:J6">
      <formula1>"No Conformidad,Recomendación, Oportunidad de mejora"</formula1>
    </dataValidation>
    <dataValidation type="list" allowBlank="1" showInputMessage="1" showErrorMessage="1" sqref="L162:L164 L157:L159 L282:L284 L278:L280 L196:L197 L193:L194 L185 L166:L181 L237 L234 L232 L230 L228 L226 L222:L223 L220 L218 L205:L216 L261 L249:L259 L241:L242 L263:L273 L244:L247 L286:L300 L145:L155 L140:L142 L138 L239 L183 L190:L191 L199 L71 L73:L75 L61 L110:L112 L116 L119 L96 L4:L6 L8:L16 L22:L32 L36:L51 L57 L66:L69 L77 L79:L80 L82:L91 L93:L94 L99:L103 L107:L108 L125:L127 L129:L134 L55">
      <formula1>"No,Si"</formula1>
    </dataValidation>
    <dataValidation type="list" allowBlank="1" showInputMessage="1" showErrorMessage="1" sqref="K286:K300 K282:K284 K278:K280 K196:K197 K193:K194 K185 K166:K181 K157:K159 K237 K234 K232 K230 K228 K226 K222:K223 K220 K218 K205:K216 K261 K249:K259 K241:K242 K263:K273 K244:K247 K199 K145:K155 K140:K142 K138 K239 K183 K190:K191 K162:K164 K71 K73:K75 K110:K112 K116 K119 K96 K4:K32 K36:K52 K61 K57 K66:K69 K77 K79:K80 K82:K91 K93:K94 K99:K103 K107:K108 K125:K127 K129:K134 K55">
      <formula1>"Hallazgo Abierto,Hallazgo Cerrado"</formula1>
    </dataValidation>
    <dataValidation type="list" allowBlank="1" showInputMessage="1" showErrorMessage="1" sqref="C312:D312 E162:E164 E157:E159 E282:E284 E278:E280 E196:E197 E193:E194 E185 E166:E181 E237 E234 E232 E230 E228 E226 E222:E223 E220 E218 E205:E216 E261 E249:E259 E241:E242 E263:E273 E244:E247 E286:E300 E145:E155 E140:E142 E138 E239 E183 E190:E191 E199 E110:E112 E116 E119 E55 E61 E4:E5 E73:E75 E96 E71 E8:E16 E22:E32 E36:E51 E57 E66:E69 E77 E79:E80 E82:E91 E93:E94 E99:E103 E107:E108 E125:E127 E129:E134">
      <formula1>"Institucional,Proceso"</formula1>
    </dataValidation>
    <dataValidation type="list" allowBlank="1" showInputMessage="1" showErrorMessage="1" sqref="G36:G92 F36:F300 F4:G35">
      <formula1>Auditores</formula1>
    </dataValidation>
    <dataValidation type="list" allowBlank="1" showInputMessage="1" showErrorMessage="1" sqref="B322:B323 B315 C333:C345 B4:B300">
      <formula1>Proceso</formula1>
    </dataValidation>
    <dataValidation type="list" allowBlank="1" showInputMessage="1" showErrorMessage="1" sqref="N31 N28:N29 N51:N54">
      <formula1>"Corrección,Acción Correctiva,Acción Preventiva, Plan Mejoramiento"</formula1>
    </dataValidation>
    <dataValidation type="list" allowBlank="1" showInputMessage="1" showErrorMessage="1" sqref="D4">
      <formula1>"Auditoria,Especial,Informes"</formula1>
    </dataValidation>
    <dataValidation type="textLength" allowBlank="1" showInputMessage="1" showErrorMessage="1" error="Escriba un texto " promptTitle="Cualquier contenido" sqref="O61:O65 I61:I65 C61:C65">
      <formula1>0</formula1>
      <formula2>3500</formula2>
    </dataValidation>
    <dataValidation showDropDown="1" showInputMessage="1" showErrorMessage="1" sqref="P54"/>
  </dataValidations>
  <pageMargins left="1.1599999999999999" right="0.23622047244094491" top="0.47244094488188981" bottom="0.51181102362204722" header="0.31496062992125984" footer="0.31496062992125984"/>
  <pageSetup paperSize="5" scale="41" fitToHeight="0" orientation="landscape" r:id="rId1"/>
  <headerFooter>
    <oddHeader>&amp;C&amp;"Arial Black,Normal"&amp;12SEGUIMIENTO ACCIONES PLAN DE MEJORAMIENTO DEL PROGRAMA DE AUDITORIA</oddHeader>
    <oddFooter>&amp;L&amp;A&amp;CHoja &amp;P de &amp;N</oddFooter>
  </headerFooter>
  <rowBreaks count="1" manualBreakCount="1">
    <brk id="285" min="1" max="20"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topLeftCell="A8" workbookViewId="0">
      <selection activeCell="F15" sqref="F15"/>
    </sheetView>
  </sheetViews>
  <sheetFormatPr baseColWidth="10" defaultRowHeight="15" x14ac:dyDescent="0.25"/>
  <cols>
    <col min="2" max="2" width="11.42578125" style="1"/>
    <col min="3" max="3" width="26.42578125" customWidth="1"/>
    <col min="4" max="4" width="18.28515625" customWidth="1"/>
    <col min="5" max="5" width="18.7109375" customWidth="1"/>
    <col min="6" max="6" width="58.140625" customWidth="1"/>
    <col min="7" max="7" width="19.85546875" customWidth="1"/>
  </cols>
  <sheetData>
    <row r="1" spans="1:7" ht="26.25" x14ac:dyDescent="0.4">
      <c r="A1" s="198" t="s">
        <v>174</v>
      </c>
      <c r="B1" s="198"/>
      <c r="C1" s="198"/>
      <c r="D1" s="198"/>
      <c r="E1" s="198"/>
    </row>
    <row r="2" spans="1:7" ht="15.75" thickBot="1" x14ac:dyDescent="0.3"/>
    <row r="3" spans="1:7" ht="15.75" thickBot="1" x14ac:dyDescent="0.3">
      <c r="D3" s="793" t="s">
        <v>176</v>
      </c>
      <c r="E3" s="794"/>
    </row>
    <row r="4" spans="1:7" x14ac:dyDescent="0.25">
      <c r="A4" s="204" t="s">
        <v>175</v>
      </c>
      <c r="B4" s="204" t="s">
        <v>179</v>
      </c>
      <c r="C4" s="204" t="s">
        <v>9</v>
      </c>
      <c r="D4" s="205" t="s">
        <v>9</v>
      </c>
      <c r="E4" s="205" t="s">
        <v>177</v>
      </c>
      <c r="F4" s="204" t="s">
        <v>178</v>
      </c>
      <c r="G4" s="204" t="s">
        <v>71</v>
      </c>
    </row>
    <row r="5" spans="1:7" ht="90" x14ac:dyDescent="0.25">
      <c r="A5" s="291">
        <v>42375</v>
      </c>
      <c r="B5" s="359" t="s">
        <v>585</v>
      </c>
      <c r="C5" s="201" t="s">
        <v>2</v>
      </c>
      <c r="D5" s="255" t="s">
        <v>420</v>
      </c>
      <c r="E5" s="255" t="s">
        <v>62</v>
      </c>
      <c r="F5" s="289" t="s">
        <v>586</v>
      </c>
      <c r="G5" s="292">
        <v>2015</v>
      </c>
    </row>
    <row r="6" spans="1:7" ht="45" x14ac:dyDescent="0.25">
      <c r="A6" s="291">
        <v>42381</v>
      </c>
      <c r="B6" s="254" t="s">
        <v>587</v>
      </c>
      <c r="C6" s="201" t="s">
        <v>25</v>
      </c>
      <c r="D6" s="255" t="s">
        <v>588</v>
      </c>
      <c r="E6" s="255" t="s">
        <v>62</v>
      </c>
      <c r="F6" s="289" t="s">
        <v>589</v>
      </c>
      <c r="G6" s="292">
        <v>2015</v>
      </c>
    </row>
    <row r="7" spans="1:7" ht="45" x14ac:dyDescent="0.25">
      <c r="A7" s="534" t="s">
        <v>603</v>
      </c>
      <c r="B7" s="206" t="s">
        <v>607</v>
      </c>
      <c r="C7" s="201" t="s">
        <v>599</v>
      </c>
      <c r="D7" s="255" t="s">
        <v>600</v>
      </c>
      <c r="E7" s="255" t="s">
        <v>62</v>
      </c>
      <c r="F7" s="289" t="s">
        <v>608</v>
      </c>
      <c r="G7" s="292">
        <v>2015</v>
      </c>
    </row>
    <row r="8" spans="1:7" ht="60" x14ac:dyDescent="0.25">
      <c r="A8" s="209">
        <v>42383</v>
      </c>
      <c r="B8" s="313" t="s">
        <v>609</v>
      </c>
      <c r="C8" s="201" t="s">
        <v>610</v>
      </c>
      <c r="D8" s="255" t="s">
        <v>611</v>
      </c>
      <c r="E8" s="255" t="s">
        <v>62</v>
      </c>
      <c r="F8" s="289" t="s">
        <v>612</v>
      </c>
      <c r="G8" s="292">
        <v>2015</v>
      </c>
    </row>
    <row r="9" spans="1:7" ht="60" x14ac:dyDescent="0.25">
      <c r="A9" s="209">
        <v>42383</v>
      </c>
      <c r="B9" s="206" t="s">
        <v>616</v>
      </c>
      <c r="C9" s="201" t="s">
        <v>38</v>
      </c>
      <c r="D9" s="255" t="s">
        <v>617</v>
      </c>
      <c r="E9" s="255" t="s">
        <v>62</v>
      </c>
      <c r="F9" s="289" t="s">
        <v>618</v>
      </c>
      <c r="G9" s="292">
        <v>2015</v>
      </c>
    </row>
    <row r="10" spans="1:7" ht="45" x14ac:dyDescent="0.25">
      <c r="A10" s="209">
        <v>42391</v>
      </c>
      <c r="B10" s="206" t="s">
        <v>632</v>
      </c>
      <c r="C10" s="201" t="s">
        <v>38</v>
      </c>
      <c r="D10" s="255" t="s">
        <v>617</v>
      </c>
      <c r="E10" s="255" t="s">
        <v>62</v>
      </c>
      <c r="F10" s="289" t="s">
        <v>633</v>
      </c>
      <c r="G10" s="292">
        <v>2015</v>
      </c>
    </row>
    <row r="11" spans="1:7" ht="30" x14ac:dyDescent="0.25">
      <c r="A11" s="209">
        <v>42397</v>
      </c>
      <c r="B11" s="351" t="s">
        <v>640</v>
      </c>
      <c r="C11" s="201" t="s">
        <v>2</v>
      </c>
      <c r="D11" s="255" t="s">
        <v>420</v>
      </c>
      <c r="E11" s="255" t="s">
        <v>62</v>
      </c>
      <c r="F11" s="289" t="s">
        <v>638</v>
      </c>
      <c r="G11" s="292">
        <v>2015</v>
      </c>
    </row>
    <row r="12" spans="1:7" ht="30" x14ac:dyDescent="0.25">
      <c r="A12" s="209">
        <v>42398</v>
      </c>
      <c r="B12" s="359" t="s">
        <v>639</v>
      </c>
      <c r="C12" s="201" t="s">
        <v>2</v>
      </c>
      <c r="D12" s="255" t="s">
        <v>420</v>
      </c>
      <c r="E12" s="255" t="s">
        <v>62</v>
      </c>
      <c r="F12" s="200" t="s">
        <v>641</v>
      </c>
      <c r="G12" s="292">
        <v>2015</v>
      </c>
    </row>
    <row r="13" spans="1:7" ht="30" x14ac:dyDescent="0.25">
      <c r="A13" s="209">
        <v>42398</v>
      </c>
      <c r="B13" s="545">
        <v>0.375</v>
      </c>
      <c r="C13" s="201" t="s">
        <v>599</v>
      </c>
      <c r="D13" s="255" t="s">
        <v>600</v>
      </c>
      <c r="E13" s="255" t="s">
        <v>62</v>
      </c>
      <c r="F13" s="200"/>
      <c r="G13" s="292">
        <v>2015</v>
      </c>
    </row>
    <row r="14" spans="1:7" ht="60" x14ac:dyDescent="0.25">
      <c r="A14" s="265">
        <v>42409</v>
      </c>
      <c r="B14" s="359" t="s">
        <v>669</v>
      </c>
      <c r="C14" s="201" t="s">
        <v>610</v>
      </c>
      <c r="D14" s="255" t="s">
        <v>611</v>
      </c>
      <c r="E14" s="255" t="s">
        <v>62</v>
      </c>
      <c r="F14" s="266" t="s">
        <v>670</v>
      </c>
      <c r="G14" s="551">
        <v>2015</v>
      </c>
    </row>
    <row r="15" spans="1:7" x14ac:dyDescent="0.25">
      <c r="A15" s="265"/>
      <c r="B15" s="254"/>
      <c r="C15" s="201"/>
      <c r="D15" s="255"/>
      <c r="E15" s="255"/>
      <c r="F15" s="200"/>
      <c r="G15" s="255"/>
    </row>
    <row r="16" spans="1:7" x14ac:dyDescent="0.25">
      <c r="A16" s="271"/>
      <c r="B16" s="272"/>
      <c r="C16" s="201"/>
      <c r="D16" s="255"/>
      <c r="E16" s="255"/>
      <c r="F16" s="273"/>
      <c r="G16" s="255"/>
    </row>
    <row r="17" spans="1:7" x14ac:dyDescent="0.25">
      <c r="A17" s="209"/>
      <c r="B17" s="254"/>
      <c r="C17" s="201"/>
      <c r="D17" s="255"/>
      <c r="E17" s="255"/>
      <c r="F17" s="200"/>
      <c r="G17" s="255"/>
    </row>
    <row r="18" spans="1:7" x14ac:dyDescent="0.25">
      <c r="A18" s="209"/>
      <c r="B18" s="254"/>
      <c r="C18" s="43"/>
      <c r="D18" s="255"/>
      <c r="E18" s="255"/>
      <c r="F18" s="266"/>
      <c r="G18" s="255"/>
    </row>
    <row r="19" spans="1:7" x14ac:dyDescent="0.25">
      <c r="A19" s="209"/>
      <c r="B19" s="254"/>
      <c r="C19" s="43"/>
      <c r="D19" s="255"/>
      <c r="E19" s="255"/>
      <c r="F19" s="266"/>
      <c r="G19" s="255"/>
    </row>
    <row r="20" spans="1:7" x14ac:dyDescent="0.25">
      <c r="A20" s="209"/>
      <c r="B20" s="254"/>
      <c r="C20" s="43"/>
      <c r="D20" s="255"/>
      <c r="E20" s="255"/>
      <c r="F20" s="289"/>
      <c r="G20" s="255"/>
    </row>
    <row r="21" spans="1:7" x14ac:dyDescent="0.25">
      <c r="A21" s="291"/>
      <c r="B21" s="254"/>
      <c r="C21" s="43"/>
      <c r="D21" s="255"/>
      <c r="E21" s="255"/>
      <c r="F21" s="289"/>
      <c r="G21" s="255"/>
    </row>
    <row r="22" spans="1:7" x14ac:dyDescent="0.25">
      <c r="A22" s="291"/>
      <c r="B22" s="254"/>
      <c r="C22" s="43"/>
      <c r="D22" s="255"/>
      <c r="E22" s="255"/>
      <c r="F22" s="289"/>
      <c r="G22" s="199"/>
    </row>
    <row r="23" spans="1:7" x14ac:dyDescent="0.25">
      <c r="A23" s="291"/>
      <c r="B23" s="254"/>
      <c r="C23" s="201"/>
      <c r="D23" s="255"/>
      <c r="E23" s="255"/>
      <c r="F23" s="289"/>
      <c r="G23" s="292"/>
    </row>
    <row r="24" spans="1:7" s="1" customFormat="1" x14ac:dyDescent="0.25">
      <c r="A24" s="291"/>
      <c r="B24" s="254"/>
      <c r="C24" s="201"/>
      <c r="D24" s="255"/>
      <c r="E24" s="255"/>
      <c r="F24" s="289"/>
      <c r="G24" s="292"/>
    </row>
  </sheetData>
  <mergeCells count="1">
    <mergeCell ref="D3:E3"/>
  </mergeCells>
  <dataValidations count="1">
    <dataValidation type="list" allowBlank="1" showInputMessage="1" showErrorMessage="1" sqref="C18:C22">
      <formula1>Proceso</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37"/>
  <sheetViews>
    <sheetView zoomScale="90" zoomScaleNormal="90" workbookViewId="0">
      <selection activeCell="C6" sqref="C6"/>
    </sheetView>
  </sheetViews>
  <sheetFormatPr baseColWidth="10" defaultRowHeight="15" x14ac:dyDescent="0.25"/>
  <cols>
    <col min="1" max="1" width="6.85546875" customWidth="1"/>
    <col min="2" max="2" width="19.85546875" customWidth="1"/>
    <col min="3" max="3" width="23.7109375" customWidth="1"/>
    <col min="7" max="7" width="60.7109375" customWidth="1"/>
    <col min="8" max="8" width="13.140625" customWidth="1"/>
    <col min="9" max="9" width="16.7109375" customWidth="1"/>
    <col min="10" max="10" width="46.28515625" customWidth="1"/>
    <col min="11" max="11" width="12.5703125" customWidth="1"/>
  </cols>
  <sheetData>
    <row r="1" spans="1:11" s="1" customFormat="1" x14ac:dyDescent="0.25">
      <c r="A1" s="1" t="s">
        <v>204</v>
      </c>
    </row>
    <row r="2" spans="1:11" s="1" customFormat="1" ht="15.75" thickBot="1" x14ac:dyDescent="0.3"/>
    <row r="3" spans="1:11" ht="37.5" thickBot="1" x14ac:dyDescent="0.3">
      <c r="A3" s="34" t="s">
        <v>72</v>
      </c>
      <c r="B3" s="35" t="s">
        <v>0</v>
      </c>
      <c r="C3" s="35" t="s">
        <v>1</v>
      </c>
      <c r="D3" s="36" t="s">
        <v>44</v>
      </c>
      <c r="E3" s="312" t="s">
        <v>73</v>
      </c>
      <c r="F3" s="37" t="s">
        <v>74</v>
      </c>
      <c r="G3" s="311" t="s">
        <v>75</v>
      </c>
      <c r="H3" s="310" t="s">
        <v>47</v>
      </c>
      <c r="I3" s="310" t="s">
        <v>107</v>
      </c>
      <c r="J3" s="310" t="s">
        <v>205</v>
      </c>
      <c r="K3" s="310" t="s">
        <v>206</v>
      </c>
    </row>
    <row r="4" spans="1:11" ht="128.25" thickTop="1" x14ac:dyDescent="0.25">
      <c r="A4" s="214">
        <v>1</v>
      </c>
      <c r="B4" s="43" t="s">
        <v>67</v>
      </c>
      <c r="C4" s="233" t="s">
        <v>605</v>
      </c>
      <c r="D4" s="213" t="s">
        <v>45</v>
      </c>
      <c r="E4" s="227" t="s">
        <v>56</v>
      </c>
      <c r="F4" s="46">
        <v>42368</v>
      </c>
      <c r="G4" s="181" t="s">
        <v>577</v>
      </c>
      <c r="H4" s="309"/>
      <c r="I4" s="525" t="s">
        <v>601</v>
      </c>
      <c r="J4" s="282" t="s">
        <v>604</v>
      </c>
      <c r="K4" s="228">
        <v>42381</v>
      </c>
    </row>
    <row r="5" spans="1:11" s="31" customFormat="1" ht="53.25" customHeight="1" x14ac:dyDescent="0.2">
      <c r="A5" s="216">
        <f>1+A4</f>
        <v>2</v>
      </c>
      <c r="B5" s="43"/>
      <c r="C5" s="233"/>
      <c r="D5" s="308"/>
      <c r="E5" s="227"/>
      <c r="F5" s="46"/>
      <c r="G5" s="282"/>
      <c r="H5" s="309"/>
      <c r="I5" s="15"/>
      <c r="J5" s="282"/>
      <c r="K5" s="228"/>
    </row>
    <row r="6" spans="1:11" s="31" customFormat="1" ht="56.25" customHeight="1" x14ac:dyDescent="0.2">
      <c r="A6" s="477">
        <f t="shared" ref="A6:A37" si="0">1+A5</f>
        <v>3</v>
      </c>
      <c r="B6" s="43"/>
      <c r="C6" s="233"/>
      <c r="D6" s="308"/>
      <c r="E6" s="227"/>
      <c r="F6" s="46"/>
      <c r="G6" s="282"/>
      <c r="H6" s="309"/>
      <c r="I6" s="15"/>
      <c r="J6" s="282"/>
      <c r="K6" s="228"/>
    </row>
    <row r="7" spans="1:11" x14ac:dyDescent="0.25">
      <c r="A7" s="477">
        <f t="shared" si="0"/>
        <v>4</v>
      </c>
      <c r="B7" s="43"/>
      <c r="C7" s="233"/>
      <c r="D7" s="308"/>
      <c r="E7" s="227"/>
      <c r="F7" s="46"/>
      <c r="G7" s="282"/>
      <c r="H7" s="309"/>
      <c r="I7" s="15"/>
      <c r="J7" s="282"/>
      <c r="K7" s="228"/>
    </row>
    <row r="8" spans="1:11" x14ac:dyDescent="0.25">
      <c r="A8" s="477">
        <f t="shared" si="0"/>
        <v>5</v>
      </c>
      <c r="B8" s="43"/>
      <c r="C8" s="233"/>
      <c r="D8" s="308"/>
      <c r="E8" s="227"/>
      <c r="F8" s="46"/>
      <c r="G8" s="282"/>
      <c r="H8" s="309"/>
      <c r="I8" s="15"/>
      <c r="J8" s="282"/>
      <c r="K8" s="228"/>
    </row>
    <row r="9" spans="1:11" x14ac:dyDescent="0.25">
      <c r="A9" s="477">
        <f t="shared" si="0"/>
        <v>6</v>
      </c>
      <c r="B9" s="43"/>
      <c r="C9" s="233"/>
      <c r="D9" s="308"/>
      <c r="E9" s="227"/>
      <c r="F9" s="46"/>
      <c r="G9" s="282"/>
      <c r="H9" s="309"/>
      <c r="I9" s="15"/>
      <c r="J9" s="282"/>
      <c r="K9" s="228"/>
    </row>
    <row r="10" spans="1:11" x14ac:dyDescent="0.25">
      <c r="A10" s="477">
        <f t="shared" si="0"/>
        <v>7</v>
      </c>
      <c r="B10" s="43"/>
      <c r="C10" s="233"/>
      <c r="D10" s="308"/>
      <c r="E10" s="227"/>
      <c r="F10" s="46"/>
      <c r="G10" s="220"/>
      <c r="H10" s="309"/>
      <c r="I10" s="15"/>
      <c r="J10" s="282"/>
      <c r="K10" s="228"/>
    </row>
    <row r="11" spans="1:11" s="1" customFormat="1" x14ac:dyDescent="0.25">
      <c r="A11" s="477">
        <f t="shared" si="0"/>
        <v>8</v>
      </c>
      <c r="B11" s="43"/>
      <c r="C11" s="233"/>
      <c r="D11" s="347"/>
      <c r="E11" s="227"/>
      <c r="F11" s="46"/>
      <c r="G11" s="294"/>
      <c r="H11" s="349"/>
      <c r="I11" s="350"/>
      <c r="J11" s="282"/>
      <c r="K11" s="228"/>
    </row>
    <row r="12" spans="1:11" s="1" customFormat="1" x14ac:dyDescent="0.25">
      <c r="A12" s="477">
        <f t="shared" si="0"/>
        <v>9</v>
      </c>
      <c r="B12" s="43"/>
      <c r="C12" s="233"/>
      <c r="D12" s="347"/>
      <c r="E12" s="227"/>
      <c r="F12" s="46"/>
      <c r="G12" s="294"/>
      <c r="H12" s="349"/>
      <c r="I12" s="350"/>
      <c r="J12" s="282"/>
      <c r="K12" s="228"/>
    </row>
    <row r="13" spans="1:11" s="1" customFormat="1" x14ac:dyDescent="0.25">
      <c r="A13" s="477">
        <f t="shared" si="0"/>
        <v>10</v>
      </c>
      <c r="B13" s="43"/>
      <c r="C13" s="233"/>
      <c r="D13" s="347"/>
      <c r="E13" s="227"/>
      <c r="F13" s="46"/>
      <c r="G13" s="294"/>
      <c r="H13" s="349"/>
      <c r="I13" s="350"/>
      <c r="J13" s="282"/>
      <c r="K13" s="228"/>
    </row>
    <row r="14" spans="1:11" s="1" customFormat="1" x14ac:dyDescent="0.25">
      <c r="A14" s="477">
        <f t="shared" si="0"/>
        <v>11</v>
      </c>
      <c r="B14" s="43"/>
      <c r="C14" s="233"/>
      <c r="D14" s="347"/>
      <c r="E14" s="227"/>
      <c r="F14" s="46"/>
      <c r="G14" s="294"/>
      <c r="H14" s="349"/>
      <c r="I14" s="350"/>
      <c r="J14" s="282"/>
      <c r="K14" s="228"/>
    </row>
    <row r="15" spans="1:11" s="1" customFormat="1" x14ac:dyDescent="0.25">
      <c r="A15" s="477">
        <f t="shared" si="0"/>
        <v>12</v>
      </c>
      <c r="B15" s="43"/>
      <c r="C15" s="233"/>
      <c r="D15" s="347"/>
      <c r="E15" s="227"/>
      <c r="F15" s="46"/>
      <c r="G15" s="305"/>
      <c r="H15" s="349"/>
      <c r="I15" s="350"/>
      <c r="J15" s="282"/>
      <c r="K15" s="228"/>
    </row>
    <row r="16" spans="1:11" s="1" customFormat="1" x14ac:dyDescent="0.25">
      <c r="A16" s="477">
        <f t="shared" si="0"/>
        <v>13</v>
      </c>
      <c r="B16" s="43"/>
      <c r="C16" s="43"/>
      <c r="D16" s="347"/>
      <c r="E16" s="227"/>
      <c r="F16" s="46"/>
      <c r="G16" s="305"/>
      <c r="H16" s="349"/>
      <c r="I16" s="350"/>
      <c r="J16" s="282"/>
      <c r="K16" s="228"/>
    </row>
    <row r="17" spans="1:11" s="1" customFormat="1" x14ac:dyDescent="0.25">
      <c r="A17" s="477">
        <f t="shared" si="0"/>
        <v>14</v>
      </c>
      <c r="B17" s="43"/>
      <c r="C17" s="43"/>
      <c r="D17" s="347"/>
      <c r="E17" s="227"/>
      <c r="F17" s="46"/>
      <c r="G17" s="305"/>
      <c r="H17" s="349"/>
      <c r="I17" s="350"/>
      <c r="J17" s="282"/>
      <c r="K17" s="228"/>
    </row>
    <row r="18" spans="1:11" s="1" customFormat="1" x14ac:dyDescent="0.25">
      <c r="A18" s="477">
        <f t="shared" si="0"/>
        <v>15</v>
      </c>
      <c r="B18" s="43"/>
      <c r="C18" s="43"/>
      <c r="D18" s="347"/>
      <c r="E18" s="227"/>
      <c r="F18" s="46"/>
      <c r="G18" s="305"/>
      <c r="H18" s="349"/>
      <c r="I18" s="350"/>
      <c r="J18" s="282"/>
      <c r="K18" s="228"/>
    </row>
    <row r="19" spans="1:11" s="1" customFormat="1" x14ac:dyDescent="0.25">
      <c r="A19" s="477">
        <f t="shared" si="0"/>
        <v>16</v>
      </c>
      <c r="B19" s="43"/>
      <c r="C19" s="43"/>
      <c r="D19" s="347"/>
      <c r="E19" s="227"/>
      <c r="F19" s="46"/>
      <c r="G19" s="305"/>
      <c r="H19" s="349"/>
      <c r="I19" s="350"/>
      <c r="J19" s="282"/>
      <c r="K19" s="228"/>
    </row>
    <row r="20" spans="1:11" s="1" customFormat="1" x14ac:dyDescent="0.25">
      <c r="A20" s="477">
        <f t="shared" si="0"/>
        <v>17</v>
      </c>
      <c r="B20" s="43"/>
      <c r="C20" s="43"/>
      <c r="D20" s="347"/>
      <c r="E20" s="227"/>
      <c r="F20" s="46"/>
      <c r="G20" s="305"/>
      <c r="H20" s="349"/>
      <c r="I20" s="350"/>
      <c r="J20" s="282"/>
      <c r="K20" s="228"/>
    </row>
    <row r="21" spans="1:11" s="1" customFormat="1" x14ac:dyDescent="0.25">
      <c r="A21" s="477">
        <f t="shared" si="0"/>
        <v>18</v>
      </c>
      <c r="B21" s="43"/>
      <c r="C21" s="43"/>
      <c r="D21" s="347"/>
      <c r="E21" s="227"/>
      <c r="F21" s="46"/>
      <c r="G21" s="305"/>
      <c r="H21" s="349"/>
      <c r="I21" s="350"/>
      <c r="J21" s="282"/>
      <c r="K21" s="228"/>
    </row>
    <row r="22" spans="1:11" s="1" customFormat="1" x14ac:dyDescent="0.25">
      <c r="A22" s="477">
        <f t="shared" si="0"/>
        <v>19</v>
      </c>
      <c r="B22" s="43"/>
      <c r="C22" s="43"/>
      <c r="D22" s="347"/>
      <c r="E22" s="227"/>
      <c r="F22" s="46"/>
      <c r="G22" s="305"/>
      <c r="H22" s="349"/>
      <c r="I22" s="350"/>
      <c r="J22" s="282"/>
      <c r="K22" s="228"/>
    </row>
    <row r="23" spans="1:11" s="1" customFormat="1" x14ac:dyDescent="0.25">
      <c r="A23" s="477">
        <f t="shared" si="0"/>
        <v>20</v>
      </c>
      <c r="B23" s="43"/>
      <c r="C23" s="43"/>
      <c r="D23" s="347"/>
      <c r="E23" s="227"/>
      <c r="F23" s="46"/>
      <c r="G23" s="305"/>
      <c r="H23" s="349"/>
      <c r="I23" s="350"/>
      <c r="J23" s="282"/>
      <c r="K23" s="228"/>
    </row>
    <row r="24" spans="1:11" s="1" customFormat="1" x14ac:dyDescent="0.25">
      <c r="A24" s="477">
        <f t="shared" si="0"/>
        <v>21</v>
      </c>
      <c r="B24" s="43"/>
      <c r="C24" s="43"/>
      <c r="D24" s="347"/>
      <c r="E24" s="227"/>
      <c r="F24" s="46"/>
      <c r="G24" s="294"/>
      <c r="H24" s="349"/>
      <c r="I24" s="350"/>
      <c r="J24" s="282"/>
      <c r="K24" s="228"/>
    </row>
    <row r="25" spans="1:11" s="1" customFormat="1" x14ac:dyDescent="0.25">
      <c r="A25" s="477">
        <f t="shared" si="0"/>
        <v>22</v>
      </c>
      <c r="B25" s="43"/>
      <c r="C25" s="43"/>
      <c r="D25" s="347"/>
      <c r="E25" s="227"/>
      <c r="F25" s="46"/>
      <c r="G25" s="306"/>
      <c r="H25" s="349"/>
      <c r="I25" s="350"/>
      <c r="J25" s="282"/>
      <c r="K25" s="228"/>
    </row>
    <row r="26" spans="1:11" x14ac:dyDescent="0.25">
      <c r="A26" s="477">
        <f t="shared" si="0"/>
        <v>23</v>
      </c>
      <c r="B26" s="43"/>
      <c r="C26" s="43"/>
      <c r="D26" s="371"/>
      <c r="E26" s="227"/>
      <c r="F26" s="376"/>
      <c r="G26" s="375"/>
      <c r="H26" s="373"/>
      <c r="I26" s="374"/>
      <c r="J26" s="282"/>
      <c r="K26" s="228"/>
    </row>
    <row r="27" spans="1:11" x14ac:dyDescent="0.25">
      <c r="A27" s="477">
        <f t="shared" si="0"/>
        <v>24</v>
      </c>
      <c r="B27" s="43"/>
      <c r="C27" s="43"/>
      <c r="D27" s="384"/>
      <c r="E27" s="227"/>
      <c r="F27" s="376"/>
      <c r="G27" s="305"/>
      <c r="H27" s="388"/>
      <c r="I27" s="389"/>
      <c r="J27" s="282"/>
      <c r="K27" s="228"/>
    </row>
    <row r="28" spans="1:11" x14ac:dyDescent="0.25">
      <c r="A28" s="477">
        <f t="shared" si="0"/>
        <v>25</v>
      </c>
      <c r="B28" s="43"/>
      <c r="C28" s="43"/>
      <c r="D28" s="384"/>
      <c r="E28" s="227"/>
      <c r="F28" s="376"/>
      <c r="G28" s="305"/>
      <c r="H28" s="388"/>
      <c r="I28" s="389"/>
      <c r="J28" s="282"/>
      <c r="K28" s="228"/>
    </row>
    <row r="29" spans="1:11" x14ac:dyDescent="0.25">
      <c r="A29" s="477">
        <f t="shared" si="0"/>
        <v>26</v>
      </c>
      <c r="B29" s="43"/>
      <c r="C29" s="43"/>
      <c r="D29" s="384"/>
      <c r="E29" s="227"/>
      <c r="F29" s="376"/>
      <c r="G29" s="305"/>
      <c r="H29" s="388"/>
      <c r="I29" s="389"/>
      <c r="J29" s="282"/>
      <c r="K29" s="228"/>
    </row>
    <row r="30" spans="1:11" s="1" customFormat="1" x14ac:dyDescent="0.25">
      <c r="A30" s="477">
        <f t="shared" si="0"/>
        <v>27</v>
      </c>
      <c r="B30" s="43"/>
      <c r="C30" s="43"/>
      <c r="D30" s="384"/>
      <c r="E30" s="227"/>
      <c r="F30" s="376"/>
      <c r="G30" s="305"/>
      <c r="H30" s="388"/>
      <c r="I30" s="389"/>
      <c r="J30" s="282"/>
      <c r="K30" s="228"/>
    </row>
    <row r="31" spans="1:11" s="1" customFormat="1" x14ac:dyDescent="0.25">
      <c r="A31" s="477">
        <f t="shared" si="0"/>
        <v>28</v>
      </c>
      <c r="B31" s="43"/>
      <c r="C31" s="43"/>
      <c r="D31" s="384"/>
      <c r="E31" s="227"/>
      <c r="F31" s="376"/>
      <c r="G31" s="305"/>
      <c r="H31" s="388"/>
      <c r="I31" s="389"/>
      <c r="J31" s="282"/>
      <c r="K31" s="228"/>
    </row>
    <row r="32" spans="1:11" s="1" customFormat="1" x14ac:dyDescent="0.25">
      <c r="A32" s="477">
        <f t="shared" si="0"/>
        <v>29</v>
      </c>
      <c r="B32" s="43"/>
      <c r="C32" s="43"/>
      <c r="D32" s="384"/>
      <c r="E32" s="227"/>
      <c r="F32" s="376"/>
      <c r="G32" s="305"/>
      <c r="H32" s="388"/>
      <c r="I32" s="389"/>
      <c r="J32" s="282"/>
      <c r="K32" s="228"/>
    </row>
    <row r="33" spans="1:11" s="1" customFormat="1" x14ac:dyDescent="0.25">
      <c r="A33" s="477">
        <f t="shared" si="0"/>
        <v>30</v>
      </c>
      <c r="B33" s="43"/>
      <c r="C33" s="43"/>
      <c r="D33" s="384"/>
      <c r="E33" s="227"/>
      <c r="F33" s="376"/>
      <c r="G33" s="305"/>
      <c r="H33" s="388"/>
      <c r="I33" s="389"/>
      <c r="J33" s="282"/>
      <c r="K33" s="228"/>
    </row>
    <row r="34" spans="1:11" s="1" customFormat="1" x14ac:dyDescent="0.25">
      <c r="A34" s="477">
        <f t="shared" si="0"/>
        <v>31</v>
      </c>
      <c r="B34" s="43"/>
      <c r="C34" s="43"/>
      <c r="D34" s="384"/>
      <c r="E34" s="227"/>
      <c r="F34" s="376"/>
      <c r="G34" s="305"/>
      <c r="H34" s="388"/>
      <c r="I34" s="389"/>
      <c r="J34" s="282"/>
      <c r="K34" s="228"/>
    </row>
    <row r="35" spans="1:11" s="1" customFormat="1" ht="39.75" customHeight="1" x14ac:dyDescent="0.25">
      <c r="A35" s="477">
        <f t="shared" si="0"/>
        <v>32</v>
      </c>
      <c r="B35" s="227"/>
      <c r="C35" s="228"/>
      <c r="D35" s="181"/>
      <c r="E35" s="388"/>
      <c r="F35" s="46"/>
      <c r="G35" s="305"/>
      <c r="H35" s="396"/>
      <c r="I35" s="43"/>
      <c r="J35" s="282"/>
      <c r="K35" s="228"/>
    </row>
    <row r="36" spans="1:11" x14ac:dyDescent="0.25">
      <c r="A36" s="477">
        <f t="shared" si="0"/>
        <v>33</v>
      </c>
      <c r="B36" s="43"/>
      <c r="C36" s="43"/>
      <c r="D36" s="432"/>
      <c r="E36" s="227"/>
      <c r="F36" s="376"/>
      <c r="G36" s="375"/>
      <c r="H36" s="396"/>
      <c r="I36" s="433"/>
      <c r="J36" s="282"/>
      <c r="K36" s="228"/>
    </row>
    <row r="37" spans="1:11" x14ac:dyDescent="0.25">
      <c r="A37" s="477">
        <f t="shared" si="0"/>
        <v>34</v>
      </c>
      <c r="B37" s="233"/>
      <c r="C37" s="233"/>
      <c r="D37" s="478"/>
      <c r="E37" s="227"/>
      <c r="F37" s="376"/>
      <c r="G37" s="375"/>
      <c r="H37" s="396"/>
      <c r="I37" s="478"/>
      <c r="J37" s="282"/>
      <c r="K37" s="228"/>
    </row>
  </sheetData>
  <autoFilter ref="A3:K36"/>
  <conditionalFormatting sqref="G4 J4">
    <cfRule type="cellIs" dxfId="351" priority="600" operator="equal">
      <formula>"Plan Mejoramiento"</formula>
    </cfRule>
    <cfRule type="cellIs" dxfId="350" priority="601" operator="equal">
      <formula>"Acción Preventiva"</formula>
    </cfRule>
    <cfRule type="cellIs" dxfId="349" priority="602" operator="equal">
      <formula>"Acción Correctiva"</formula>
    </cfRule>
  </conditionalFormatting>
  <conditionalFormatting sqref="G4 J4">
    <cfRule type="cellIs" dxfId="348" priority="599" operator="equal">
      <formula>"Corrección"</formula>
    </cfRule>
  </conditionalFormatting>
  <conditionalFormatting sqref="E35 G4:H4">
    <cfRule type="cellIs" dxfId="347" priority="594" operator="equal">
      <formula>"Recomendación"</formula>
    </cfRule>
    <cfRule type="cellIs" dxfId="346" priority="595" operator="equal">
      <formula>"No Conformidad"</formula>
    </cfRule>
  </conditionalFormatting>
  <conditionalFormatting sqref="D4:E4">
    <cfRule type="cellIs" dxfId="345" priority="588" operator="equal">
      <formula>"Especial"</formula>
    </cfRule>
    <cfRule type="cellIs" dxfId="344" priority="589" operator="equal">
      <formula>"Informes"</formula>
    </cfRule>
    <cfRule type="cellIs" dxfId="343" priority="590" operator="equal">
      <formula>"Auditoria"</formula>
    </cfRule>
  </conditionalFormatting>
  <conditionalFormatting sqref="G10">
    <cfRule type="cellIs" dxfId="342" priority="523" operator="equal">
      <formula>"Plan Mejoramiento"</formula>
    </cfRule>
    <cfRule type="cellIs" dxfId="341" priority="524" operator="equal">
      <formula>"Acción Preventiva"</formula>
    </cfRule>
    <cfRule type="cellIs" dxfId="340" priority="525" operator="equal">
      <formula>"Acción Correctiva"</formula>
    </cfRule>
  </conditionalFormatting>
  <conditionalFormatting sqref="G10">
    <cfRule type="cellIs" dxfId="339" priority="522" operator="equal">
      <formula>"Corrección"</formula>
    </cfRule>
  </conditionalFormatting>
  <conditionalFormatting sqref="F26">
    <cfRule type="cellIs" dxfId="338" priority="511" operator="equal">
      <formula>"Plan Mejoramiento"</formula>
    </cfRule>
    <cfRule type="cellIs" dxfId="337" priority="512" operator="equal">
      <formula>"Acción Preventiva"</formula>
    </cfRule>
    <cfRule type="cellIs" dxfId="336" priority="513" operator="equal">
      <formula>"Acción Correctiva"</formula>
    </cfRule>
  </conditionalFormatting>
  <conditionalFormatting sqref="F26">
    <cfRule type="cellIs" dxfId="335" priority="510" operator="equal">
      <formula>"Corrección"</formula>
    </cfRule>
  </conditionalFormatting>
  <conditionalFormatting sqref="F27">
    <cfRule type="cellIs" dxfId="334" priority="499" operator="equal">
      <formula>"Plan Mejoramiento"</formula>
    </cfRule>
    <cfRule type="cellIs" dxfId="333" priority="500" operator="equal">
      <formula>"Acción Preventiva"</formula>
    </cfRule>
    <cfRule type="cellIs" dxfId="332" priority="501" operator="equal">
      <formula>"Acción Correctiva"</formula>
    </cfRule>
  </conditionalFormatting>
  <conditionalFormatting sqref="F27">
    <cfRule type="cellIs" dxfId="331" priority="498" operator="equal">
      <formula>"Corrección"</formula>
    </cfRule>
  </conditionalFormatting>
  <conditionalFormatting sqref="D35">
    <cfRule type="cellIs" dxfId="330" priority="465" operator="equal">
      <formula>"Plan Mejoramiento"</formula>
    </cfRule>
    <cfRule type="cellIs" dxfId="329" priority="466" operator="equal">
      <formula>"Acción Preventiva"</formula>
    </cfRule>
    <cfRule type="cellIs" dxfId="328" priority="467" operator="equal">
      <formula>"Acción Correctiva"</formula>
    </cfRule>
  </conditionalFormatting>
  <conditionalFormatting sqref="D35">
    <cfRule type="cellIs" dxfId="327" priority="462" operator="equal">
      <formula>"Corrección"</formula>
    </cfRule>
  </conditionalFormatting>
  <conditionalFormatting sqref="G5">
    <cfRule type="cellIs" dxfId="326" priority="414" operator="equal">
      <formula>"Corrección"</formula>
    </cfRule>
  </conditionalFormatting>
  <conditionalFormatting sqref="G5">
    <cfRule type="cellIs" dxfId="325" priority="415" operator="equal">
      <formula>"Plan Mejoramiento"</formula>
    </cfRule>
    <cfRule type="cellIs" dxfId="324" priority="416" operator="equal">
      <formula>"Acción Preventiva"</formula>
    </cfRule>
    <cfRule type="cellIs" dxfId="323" priority="417" operator="equal">
      <formula>"Acción Correctiva"</formula>
    </cfRule>
  </conditionalFormatting>
  <conditionalFormatting sqref="D5:E5">
    <cfRule type="cellIs" dxfId="322" priority="411" operator="equal">
      <formula>"Especial"</formula>
    </cfRule>
    <cfRule type="cellIs" dxfId="321" priority="412" operator="equal">
      <formula>"Informes"</formula>
    </cfRule>
    <cfRule type="cellIs" dxfId="320" priority="413" operator="equal">
      <formula>"Auditoria"</formula>
    </cfRule>
  </conditionalFormatting>
  <conditionalFormatting sqref="I5">
    <cfRule type="cellIs" dxfId="319" priority="408" operator="equal">
      <formula>"Plan Mejoramiento"</formula>
    </cfRule>
    <cfRule type="cellIs" dxfId="318" priority="409" operator="equal">
      <formula>"Acción Preventiva"</formula>
    </cfRule>
    <cfRule type="cellIs" dxfId="317" priority="410" operator="equal">
      <formula>"Acción Correctiva"</formula>
    </cfRule>
  </conditionalFormatting>
  <conditionalFormatting sqref="I5">
    <cfRule type="cellIs" dxfId="316" priority="407" operator="equal">
      <formula>"Corrección"</formula>
    </cfRule>
  </conditionalFormatting>
  <conditionalFormatting sqref="H5">
    <cfRule type="cellIs" dxfId="315" priority="405" operator="equal">
      <formula>"Recomendación"</formula>
    </cfRule>
    <cfRule type="cellIs" dxfId="314" priority="406" operator="equal">
      <formula>"No Conformidad"</formula>
    </cfRule>
  </conditionalFormatting>
  <conditionalFormatting sqref="J5">
    <cfRule type="cellIs" dxfId="313" priority="402" operator="equal">
      <formula>"Plan Mejoramiento"</formula>
    </cfRule>
    <cfRule type="cellIs" dxfId="312" priority="403" operator="equal">
      <formula>"Acción Preventiva"</formula>
    </cfRule>
    <cfRule type="cellIs" dxfId="311" priority="404" operator="equal">
      <formula>"Acción Correctiva"</formula>
    </cfRule>
  </conditionalFormatting>
  <conditionalFormatting sqref="J5">
    <cfRule type="cellIs" dxfId="310" priority="401" operator="equal">
      <formula>"Corrección"</formula>
    </cfRule>
  </conditionalFormatting>
  <conditionalFormatting sqref="G6">
    <cfRule type="cellIs" dxfId="309" priority="398" operator="equal">
      <formula>"Plan Mejoramiento"</formula>
    </cfRule>
    <cfRule type="cellIs" dxfId="308" priority="399" operator="equal">
      <formula>"Acción Preventiva"</formula>
    </cfRule>
    <cfRule type="cellIs" dxfId="307" priority="400" operator="equal">
      <formula>"Acción Correctiva"</formula>
    </cfRule>
  </conditionalFormatting>
  <conditionalFormatting sqref="G6">
    <cfRule type="cellIs" dxfId="306" priority="397" operator="equal">
      <formula>"Corrección"</formula>
    </cfRule>
  </conditionalFormatting>
  <conditionalFormatting sqref="D6:E6">
    <cfRule type="cellIs" dxfId="305" priority="394" operator="equal">
      <formula>"Especial"</formula>
    </cfRule>
    <cfRule type="cellIs" dxfId="304" priority="395" operator="equal">
      <formula>"Informes"</formula>
    </cfRule>
    <cfRule type="cellIs" dxfId="303" priority="396" operator="equal">
      <formula>"Auditoria"</formula>
    </cfRule>
  </conditionalFormatting>
  <conditionalFormatting sqref="I6">
    <cfRule type="cellIs" dxfId="302" priority="391" operator="equal">
      <formula>"Plan Mejoramiento"</formula>
    </cfRule>
    <cfRule type="cellIs" dxfId="301" priority="392" operator="equal">
      <formula>"Acción Preventiva"</formula>
    </cfRule>
    <cfRule type="cellIs" dxfId="300" priority="393" operator="equal">
      <formula>"Acción Correctiva"</formula>
    </cfRule>
  </conditionalFormatting>
  <conditionalFormatting sqref="I6">
    <cfRule type="cellIs" dxfId="299" priority="390" operator="equal">
      <formula>"Corrección"</formula>
    </cfRule>
  </conditionalFormatting>
  <conditionalFormatting sqref="H6">
    <cfRule type="cellIs" dxfId="298" priority="388" operator="equal">
      <formula>"Recomendación"</formula>
    </cfRule>
    <cfRule type="cellIs" dxfId="297" priority="389" operator="equal">
      <formula>"No Conformidad"</formula>
    </cfRule>
  </conditionalFormatting>
  <conditionalFormatting sqref="J6">
    <cfRule type="cellIs" dxfId="296" priority="385" operator="equal">
      <formula>"Plan Mejoramiento"</formula>
    </cfRule>
    <cfRule type="cellIs" dxfId="295" priority="386" operator="equal">
      <formula>"Acción Preventiva"</formula>
    </cfRule>
    <cfRule type="cellIs" dxfId="294" priority="387" operator="equal">
      <formula>"Acción Correctiva"</formula>
    </cfRule>
  </conditionalFormatting>
  <conditionalFormatting sqref="J6">
    <cfRule type="cellIs" dxfId="293" priority="384" operator="equal">
      <formula>"Corrección"</formula>
    </cfRule>
  </conditionalFormatting>
  <conditionalFormatting sqref="D7:E7">
    <cfRule type="cellIs" dxfId="292" priority="381" operator="equal">
      <formula>"Especial"</formula>
    </cfRule>
    <cfRule type="cellIs" dxfId="291" priority="382" operator="equal">
      <formula>"Informes"</formula>
    </cfRule>
    <cfRule type="cellIs" dxfId="290" priority="383" operator="equal">
      <formula>"Auditoria"</formula>
    </cfRule>
  </conditionalFormatting>
  <conditionalFormatting sqref="I7">
    <cfRule type="cellIs" dxfId="289" priority="378" operator="equal">
      <formula>"Plan Mejoramiento"</formula>
    </cfRule>
    <cfRule type="cellIs" dxfId="288" priority="379" operator="equal">
      <formula>"Acción Preventiva"</formula>
    </cfRule>
    <cfRule type="cellIs" dxfId="287" priority="380" operator="equal">
      <formula>"Acción Correctiva"</formula>
    </cfRule>
  </conditionalFormatting>
  <conditionalFormatting sqref="I7">
    <cfRule type="cellIs" dxfId="286" priority="377" operator="equal">
      <formula>"Corrección"</formula>
    </cfRule>
  </conditionalFormatting>
  <conditionalFormatting sqref="H7">
    <cfRule type="cellIs" dxfId="285" priority="375" operator="equal">
      <formula>"Recomendación"</formula>
    </cfRule>
    <cfRule type="cellIs" dxfId="284" priority="376" operator="equal">
      <formula>"No Conformidad"</formula>
    </cfRule>
  </conditionalFormatting>
  <conditionalFormatting sqref="J7">
    <cfRule type="cellIs" dxfId="283" priority="372" operator="equal">
      <formula>"Plan Mejoramiento"</formula>
    </cfRule>
    <cfRule type="cellIs" dxfId="282" priority="373" operator="equal">
      <formula>"Acción Preventiva"</formula>
    </cfRule>
    <cfRule type="cellIs" dxfId="281" priority="374" operator="equal">
      <formula>"Acción Correctiva"</formula>
    </cfRule>
  </conditionalFormatting>
  <conditionalFormatting sqref="J7">
    <cfRule type="cellIs" dxfId="280" priority="371" operator="equal">
      <formula>"Corrección"</formula>
    </cfRule>
  </conditionalFormatting>
  <conditionalFormatting sqref="G7">
    <cfRule type="cellIs" dxfId="279" priority="368" operator="equal">
      <formula>"Plan Mejoramiento"</formula>
    </cfRule>
    <cfRule type="cellIs" dxfId="278" priority="369" operator="equal">
      <formula>"Acción Preventiva"</formula>
    </cfRule>
    <cfRule type="cellIs" dxfId="277" priority="370" operator="equal">
      <formula>"Acción Correctiva"</formula>
    </cfRule>
  </conditionalFormatting>
  <conditionalFormatting sqref="G7">
    <cfRule type="cellIs" dxfId="276" priority="367" operator="equal">
      <formula>"Corrección"</formula>
    </cfRule>
  </conditionalFormatting>
  <conditionalFormatting sqref="G8">
    <cfRule type="cellIs" dxfId="275" priority="364" operator="equal">
      <formula>"Plan Mejoramiento"</formula>
    </cfRule>
    <cfRule type="cellIs" dxfId="274" priority="365" operator="equal">
      <formula>"Acción Preventiva"</formula>
    </cfRule>
    <cfRule type="cellIs" dxfId="273" priority="366" operator="equal">
      <formula>"Acción Correctiva"</formula>
    </cfRule>
  </conditionalFormatting>
  <conditionalFormatting sqref="G8">
    <cfRule type="cellIs" dxfId="272" priority="363" operator="equal">
      <formula>"Corrección"</formula>
    </cfRule>
  </conditionalFormatting>
  <conditionalFormatting sqref="D8:E8">
    <cfRule type="cellIs" dxfId="271" priority="360" operator="equal">
      <formula>"Especial"</formula>
    </cfRule>
    <cfRule type="cellIs" dxfId="270" priority="361" operator="equal">
      <formula>"Informes"</formula>
    </cfRule>
    <cfRule type="cellIs" dxfId="269" priority="362" operator="equal">
      <formula>"Auditoria"</formula>
    </cfRule>
  </conditionalFormatting>
  <conditionalFormatting sqref="I8">
    <cfRule type="cellIs" dxfId="268" priority="357" operator="equal">
      <formula>"Plan Mejoramiento"</formula>
    </cfRule>
    <cfRule type="cellIs" dxfId="267" priority="358" operator="equal">
      <formula>"Acción Preventiva"</formula>
    </cfRule>
    <cfRule type="cellIs" dxfId="266" priority="359" operator="equal">
      <formula>"Acción Correctiva"</formula>
    </cfRule>
  </conditionalFormatting>
  <conditionalFormatting sqref="I8">
    <cfRule type="cellIs" dxfId="265" priority="356" operator="equal">
      <formula>"Corrección"</formula>
    </cfRule>
  </conditionalFormatting>
  <conditionalFormatting sqref="H8">
    <cfRule type="cellIs" dxfId="264" priority="354" operator="equal">
      <formula>"Recomendación"</formula>
    </cfRule>
    <cfRule type="cellIs" dxfId="263" priority="355" operator="equal">
      <formula>"No Conformidad"</formula>
    </cfRule>
  </conditionalFormatting>
  <conditionalFormatting sqref="J8">
    <cfRule type="cellIs" dxfId="262" priority="351" operator="equal">
      <formula>"Plan Mejoramiento"</formula>
    </cfRule>
    <cfRule type="cellIs" dxfId="261" priority="352" operator="equal">
      <formula>"Acción Preventiva"</formula>
    </cfRule>
    <cfRule type="cellIs" dxfId="260" priority="353" operator="equal">
      <formula>"Acción Correctiva"</formula>
    </cfRule>
  </conditionalFormatting>
  <conditionalFormatting sqref="J8">
    <cfRule type="cellIs" dxfId="259" priority="350" operator="equal">
      <formula>"Corrección"</formula>
    </cfRule>
  </conditionalFormatting>
  <conditionalFormatting sqref="D9:E9">
    <cfRule type="cellIs" dxfId="258" priority="347" operator="equal">
      <formula>"Especial"</formula>
    </cfRule>
    <cfRule type="cellIs" dxfId="257" priority="348" operator="equal">
      <formula>"Informes"</formula>
    </cfRule>
    <cfRule type="cellIs" dxfId="256" priority="349" operator="equal">
      <formula>"Auditoria"</formula>
    </cfRule>
  </conditionalFormatting>
  <conditionalFormatting sqref="I9">
    <cfRule type="cellIs" dxfId="255" priority="344" operator="equal">
      <formula>"Plan Mejoramiento"</formula>
    </cfRule>
    <cfRule type="cellIs" dxfId="254" priority="345" operator="equal">
      <formula>"Acción Preventiva"</formula>
    </cfRule>
    <cfRule type="cellIs" dxfId="253" priority="346" operator="equal">
      <formula>"Acción Correctiva"</formula>
    </cfRule>
  </conditionalFormatting>
  <conditionalFormatting sqref="I9">
    <cfRule type="cellIs" dxfId="252" priority="343" operator="equal">
      <formula>"Corrección"</formula>
    </cfRule>
  </conditionalFormatting>
  <conditionalFormatting sqref="H9">
    <cfRule type="cellIs" dxfId="251" priority="341" operator="equal">
      <formula>"Recomendación"</formula>
    </cfRule>
    <cfRule type="cellIs" dxfId="250" priority="342" operator="equal">
      <formula>"No Conformidad"</formula>
    </cfRule>
  </conditionalFormatting>
  <conditionalFormatting sqref="J9">
    <cfRule type="cellIs" dxfId="249" priority="338" operator="equal">
      <formula>"Plan Mejoramiento"</formula>
    </cfRule>
    <cfRule type="cellIs" dxfId="248" priority="339" operator="equal">
      <formula>"Acción Preventiva"</formula>
    </cfRule>
    <cfRule type="cellIs" dxfId="247" priority="340" operator="equal">
      <formula>"Acción Correctiva"</formula>
    </cfRule>
  </conditionalFormatting>
  <conditionalFormatting sqref="J9">
    <cfRule type="cellIs" dxfId="246" priority="337" operator="equal">
      <formula>"Corrección"</formula>
    </cfRule>
  </conditionalFormatting>
  <conditionalFormatting sqref="G9">
    <cfRule type="cellIs" dxfId="245" priority="334" operator="equal">
      <formula>"Plan Mejoramiento"</formula>
    </cfRule>
    <cfRule type="cellIs" dxfId="244" priority="335" operator="equal">
      <formula>"Acción Preventiva"</formula>
    </cfRule>
    <cfRule type="cellIs" dxfId="243" priority="336" operator="equal">
      <formula>"Acción Correctiva"</formula>
    </cfRule>
  </conditionalFormatting>
  <conditionalFormatting sqref="G9">
    <cfRule type="cellIs" dxfId="242" priority="333" operator="equal">
      <formula>"Corrección"</formula>
    </cfRule>
  </conditionalFormatting>
  <conditionalFormatting sqref="D10:E10">
    <cfRule type="cellIs" dxfId="241" priority="330" operator="equal">
      <formula>"Especial"</formula>
    </cfRule>
    <cfRule type="cellIs" dxfId="240" priority="331" operator="equal">
      <formula>"Informes"</formula>
    </cfRule>
    <cfRule type="cellIs" dxfId="239" priority="332" operator="equal">
      <formula>"Auditoria"</formula>
    </cfRule>
  </conditionalFormatting>
  <conditionalFormatting sqref="I10">
    <cfRule type="cellIs" dxfId="238" priority="327" operator="equal">
      <formula>"Plan Mejoramiento"</formula>
    </cfRule>
    <cfRule type="cellIs" dxfId="237" priority="328" operator="equal">
      <formula>"Acción Preventiva"</formula>
    </cfRule>
    <cfRule type="cellIs" dxfId="236" priority="329" operator="equal">
      <formula>"Acción Correctiva"</formula>
    </cfRule>
  </conditionalFormatting>
  <conditionalFormatting sqref="I10">
    <cfRule type="cellIs" dxfId="235" priority="326" operator="equal">
      <formula>"Corrección"</formula>
    </cfRule>
  </conditionalFormatting>
  <conditionalFormatting sqref="H10">
    <cfRule type="cellIs" dxfId="234" priority="324" operator="equal">
      <formula>"Recomendación"</formula>
    </cfRule>
    <cfRule type="cellIs" dxfId="233" priority="325" operator="equal">
      <formula>"No Conformidad"</formula>
    </cfRule>
  </conditionalFormatting>
  <conditionalFormatting sqref="J10">
    <cfRule type="cellIs" dxfId="232" priority="321" operator="equal">
      <formula>"Plan Mejoramiento"</formula>
    </cfRule>
    <cfRule type="cellIs" dxfId="231" priority="322" operator="equal">
      <formula>"Acción Preventiva"</formula>
    </cfRule>
    <cfRule type="cellIs" dxfId="230" priority="323" operator="equal">
      <formula>"Acción Correctiva"</formula>
    </cfRule>
  </conditionalFormatting>
  <conditionalFormatting sqref="J10">
    <cfRule type="cellIs" dxfId="229" priority="320" operator="equal">
      <formula>"Corrección"</formula>
    </cfRule>
  </conditionalFormatting>
  <conditionalFormatting sqref="E11">
    <cfRule type="cellIs" dxfId="228" priority="313" operator="equal">
      <formula>"Especial"</formula>
    </cfRule>
    <cfRule type="cellIs" dxfId="227" priority="314" operator="equal">
      <formula>"Informes"</formula>
    </cfRule>
    <cfRule type="cellIs" dxfId="226" priority="315" operator="equal">
      <formula>"Auditoria"</formula>
    </cfRule>
  </conditionalFormatting>
  <conditionalFormatting sqref="I11">
    <cfRule type="cellIs" dxfId="225" priority="310" operator="equal">
      <formula>"Plan Mejoramiento"</formula>
    </cfRule>
    <cfRule type="cellIs" dxfId="224" priority="311" operator="equal">
      <formula>"Acción Preventiva"</formula>
    </cfRule>
    <cfRule type="cellIs" dxfId="223" priority="312" operator="equal">
      <formula>"Acción Correctiva"</formula>
    </cfRule>
  </conditionalFormatting>
  <conditionalFormatting sqref="I11">
    <cfRule type="cellIs" dxfId="222" priority="309" operator="equal">
      <formula>"Corrección"</formula>
    </cfRule>
  </conditionalFormatting>
  <conditionalFormatting sqref="H11">
    <cfRule type="cellIs" dxfId="221" priority="307" operator="equal">
      <formula>"Recomendación"</formula>
    </cfRule>
    <cfRule type="cellIs" dxfId="220" priority="308" operator="equal">
      <formula>"No Conformidad"</formula>
    </cfRule>
  </conditionalFormatting>
  <conditionalFormatting sqref="J11">
    <cfRule type="cellIs" dxfId="219" priority="304" operator="equal">
      <formula>"Plan Mejoramiento"</formula>
    </cfRule>
    <cfRule type="cellIs" dxfId="218" priority="305" operator="equal">
      <formula>"Acción Preventiva"</formula>
    </cfRule>
    <cfRule type="cellIs" dxfId="217" priority="306" operator="equal">
      <formula>"Acción Correctiva"</formula>
    </cfRule>
  </conditionalFormatting>
  <conditionalFormatting sqref="J11">
    <cfRule type="cellIs" dxfId="216" priority="303" operator="equal">
      <formula>"Corrección"</formula>
    </cfRule>
  </conditionalFormatting>
  <conditionalFormatting sqref="D11:D15">
    <cfRule type="cellIs" dxfId="215" priority="283" operator="equal">
      <formula>"Especial"</formula>
    </cfRule>
    <cfRule type="cellIs" dxfId="214" priority="284" operator="equal">
      <formula>"Informes"</formula>
    </cfRule>
    <cfRule type="cellIs" dxfId="213" priority="285" operator="equal">
      <formula>"Auditoria"</formula>
    </cfRule>
  </conditionalFormatting>
  <conditionalFormatting sqref="E12:E15">
    <cfRule type="cellIs" dxfId="212" priority="280" operator="equal">
      <formula>"Especial"</formula>
    </cfRule>
    <cfRule type="cellIs" dxfId="211" priority="281" operator="equal">
      <formula>"Informes"</formula>
    </cfRule>
    <cfRule type="cellIs" dxfId="210" priority="282" operator="equal">
      <formula>"Auditoria"</formula>
    </cfRule>
  </conditionalFormatting>
  <conditionalFormatting sqref="G11:G15">
    <cfRule type="cellIs" dxfId="209" priority="277" operator="equal">
      <formula>"Plan Mejoramiento"</formula>
    </cfRule>
    <cfRule type="cellIs" dxfId="208" priority="278" operator="equal">
      <formula>"Acción Preventiva"</formula>
    </cfRule>
    <cfRule type="cellIs" dxfId="207" priority="279" operator="equal">
      <formula>"Acción Correctiva"</formula>
    </cfRule>
  </conditionalFormatting>
  <conditionalFormatting sqref="G11:G15">
    <cfRule type="cellIs" dxfId="206" priority="276" operator="equal">
      <formula>"Corrección"</formula>
    </cfRule>
  </conditionalFormatting>
  <conditionalFormatting sqref="G11:G15">
    <cfRule type="cellIs" dxfId="205" priority="273" operator="equal">
      <formula>"Plan Mejoramiento"</formula>
    </cfRule>
    <cfRule type="cellIs" dxfId="204" priority="274" operator="equal">
      <formula>"Acción Preventiva"</formula>
    </cfRule>
    <cfRule type="cellIs" dxfId="203" priority="275" operator="equal">
      <formula>"Acción Correctiva"</formula>
    </cfRule>
  </conditionalFormatting>
  <conditionalFormatting sqref="G11:G15">
    <cfRule type="cellIs" dxfId="202" priority="272" operator="equal">
      <formula>"Corrección"</formula>
    </cfRule>
  </conditionalFormatting>
  <conditionalFormatting sqref="H12:H15">
    <cfRule type="cellIs" dxfId="201" priority="270" operator="equal">
      <formula>"Recomendación"</formula>
    </cfRule>
    <cfRule type="cellIs" dxfId="200" priority="271" operator="equal">
      <formula>"No Conformidad"</formula>
    </cfRule>
  </conditionalFormatting>
  <conditionalFormatting sqref="I12:I15">
    <cfRule type="cellIs" dxfId="199" priority="267" operator="equal">
      <formula>"Plan Mejoramiento"</formula>
    </cfRule>
    <cfRule type="cellIs" dxfId="198" priority="268" operator="equal">
      <formula>"Acción Preventiva"</formula>
    </cfRule>
    <cfRule type="cellIs" dxfId="197" priority="269" operator="equal">
      <formula>"Acción Correctiva"</formula>
    </cfRule>
  </conditionalFormatting>
  <conditionalFormatting sqref="I12:I15">
    <cfRule type="cellIs" dxfId="196" priority="266" operator="equal">
      <formula>"Corrección"</formula>
    </cfRule>
  </conditionalFormatting>
  <conditionalFormatting sqref="J12:J15 J17:J22">
    <cfRule type="cellIs" dxfId="195" priority="263" operator="equal">
      <formula>"Plan Mejoramiento"</formula>
    </cfRule>
    <cfRule type="cellIs" dxfId="194" priority="264" operator="equal">
      <formula>"Acción Preventiva"</formula>
    </cfRule>
    <cfRule type="cellIs" dxfId="193" priority="265" operator="equal">
      <formula>"Acción Correctiva"</formula>
    </cfRule>
  </conditionalFormatting>
  <conditionalFormatting sqref="J12:J15 J17:J22">
    <cfRule type="cellIs" dxfId="192" priority="262" operator="equal">
      <formula>"Corrección"</formula>
    </cfRule>
  </conditionalFormatting>
  <conditionalFormatting sqref="H16">
    <cfRule type="cellIs" dxfId="191" priority="246" operator="equal">
      <formula>"Recomendación"</formula>
    </cfRule>
    <cfRule type="cellIs" dxfId="190" priority="247" operator="equal">
      <formula>"No Conformidad"</formula>
    </cfRule>
  </conditionalFormatting>
  <conditionalFormatting sqref="I16">
    <cfRule type="cellIs" dxfId="189" priority="243" operator="equal">
      <formula>"Plan Mejoramiento"</formula>
    </cfRule>
    <cfRule type="cellIs" dxfId="188" priority="244" operator="equal">
      <formula>"Acción Preventiva"</formula>
    </cfRule>
    <cfRule type="cellIs" dxfId="187" priority="245" operator="equal">
      <formula>"Acción Correctiva"</formula>
    </cfRule>
  </conditionalFormatting>
  <conditionalFormatting sqref="I16">
    <cfRule type="cellIs" dxfId="186" priority="242" operator="equal">
      <formula>"Corrección"</formula>
    </cfRule>
  </conditionalFormatting>
  <conditionalFormatting sqref="I17:I22">
    <cfRule type="cellIs" dxfId="185" priority="197" operator="equal">
      <formula>"Plan Mejoramiento"</formula>
    </cfRule>
    <cfRule type="cellIs" dxfId="184" priority="198" operator="equal">
      <formula>"Acción Preventiva"</formula>
    </cfRule>
    <cfRule type="cellIs" dxfId="183" priority="199" operator="equal">
      <formula>"Acción Correctiva"</formula>
    </cfRule>
  </conditionalFormatting>
  <conditionalFormatting sqref="I17:I22">
    <cfRule type="cellIs" dxfId="182" priority="196" operator="equal">
      <formula>"Corrección"</formula>
    </cfRule>
  </conditionalFormatting>
  <conditionalFormatting sqref="J16">
    <cfRule type="cellIs" dxfId="181" priority="235" operator="equal">
      <formula>"Plan Mejoramiento"</formula>
    </cfRule>
    <cfRule type="cellIs" dxfId="180" priority="236" operator="equal">
      <formula>"Acción Preventiva"</formula>
    </cfRule>
    <cfRule type="cellIs" dxfId="179" priority="237" operator="equal">
      <formula>"Acción Correctiva"</formula>
    </cfRule>
  </conditionalFormatting>
  <conditionalFormatting sqref="J16">
    <cfRule type="cellIs" dxfId="178" priority="234" operator="equal">
      <formula>"Corrección"</formula>
    </cfRule>
  </conditionalFormatting>
  <conditionalFormatting sqref="H17:H22">
    <cfRule type="cellIs" dxfId="177" priority="218" operator="equal">
      <formula>"Recomendación"</formula>
    </cfRule>
    <cfRule type="cellIs" dxfId="176" priority="219" operator="equal">
      <formula>"No Conformidad"</formula>
    </cfRule>
  </conditionalFormatting>
  <conditionalFormatting sqref="D16:D22">
    <cfRule type="cellIs" dxfId="175" priority="211" operator="equal">
      <formula>"Especial"</formula>
    </cfRule>
    <cfRule type="cellIs" dxfId="174" priority="212" operator="equal">
      <formula>"Informes"</formula>
    </cfRule>
    <cfRule type="cellIs" dxfId="173" priority="213" operator="equal">
      <formula>"Auditoria"</formula>
    </cfRule>
  </conditionalFormatting>
  <conditionalFormatting sqref="E16:E22">
    <cfRule type="cellIs" dxfId="172" priority="208" operator="equal">
      <formula>"Especial"</formula>
    </cfRule>
    <cfRule type="cellIs" dxfId="171" priority="209" operator="equal">
      <formula>"Informes"</formula>
    </cfRule>
    <cfRule type="cellIs" dxfId="170" priority="210" operator="equal">
      <formula>"Auditoria"</formula>
    </cfRule>
  </conditionalFormatting>
  <conditionalFormatting sqref="G16:G22">
    <cfRule type="cellIs" dxfId="169" priority="205" operator="equal">
      <formula>"Plan Mejoramiento"</formula>
    </cfRule>
    <cfRule type="cellIs" dxfId="168" priority="206" operator="equal">
      <formula>"Acción Preventiva"</formula>
    </cfRule>
    <cfRule type="cellIs" dxfId="167" priority="207" operator="equal">
      <formula>"Acción Correctiva"</formula>
    </cfRule>
  </conditionalFormatting>
  <conditionalFormatting sqref="G16:G22">
    <cfRule type="cellIs" dxfId="166" priority="204" operator="equal">
      <formula>"Corrección"</formula>
    </cfRule>
  </conditionalFormatting>
  <conditionalFormatting sqref="G16:G22">
    <cfRule type="cellIs" dxfId="165" priority="201" operator="equal">
      <formula>"Plan Mejoramiento"</formula>
    </cfRule>
    <cfRule type="cellIs" dxfId="164" priority="202" operator="equal">
      <formula>"Acción Preventiva"</formula>
    </cfRule>
    <cfRule type="cellIs" dxfId="163" priority="203" operator="equal">
      <formula>"Acción Correctiva"</formula>
    </cfRule>
  </conditionalFormatting>
  <conditionalFormatting sqref="G16:G22">
    <cfRule type="cellIs" dxfId="162" priority="200" operator="equal">
      <formula>"Corrección"</formula>
    </cfRule>
  </conditionalFormatting>
  <conditionalFormatting sqref="J23">
    <cfRule type="cellIs" dxfId="161" priority="193" operator="equal">
      <formula>"Plan Mejoramiento"</formula>
    </cfRule>
    <cfRule type="cellIs" dxfId="160" priority="194" operator="equal">
      <formula>"Acción Preventiva"</formula>
    </cfRule>
    <cfRule type="cellIs" dxfId="159" priority="195" operator="equal">
      <formula>"Acción Correctiva"</formula>
    </cfRule>
  </conditionalFormatting>
  <conditionalFormatting sqref="J23">
    <cfRule type="cellIs" dxfId="158" priority="192" operator="equal">
      <formula>"Corrección"</formula>
    </cfRule>
  </conditionalFormatting>
  <conditionalFormatting sqref="D23">
    <cfRule type="cellIs" dxfId="157" priority="187" operator="equal">
      <formula>"Especial"</formula>
    </cfRule>
    <cfRule type="cellIs" dxfId="156" priority="188" operator="equal">
      <formula>"Informes"</formula>
    </cfRule>
    <cfRule type="cellIs" dxfId="155" priority="189" operator="equal">
      <formula>"Auditoria"</formula>
    </cfRule>
  </conditionalFormatting>
  <conditionalFormatting sqref="E23">
    <cfRule type="cellIs" dxfId="154" priority="169" operator="equal">
      <formula>"Especial"</formula>
    </cfRule>
    <cfRule type="cellIs" dxfId="153" priority="170" operator="equal">
      <formula>"Informes"</formula>
    </cfRule>
    <cfRule type="cellIs" dxfId="152" priority="171" operator="equal">
      <formula>"Auditoria"</formula>
    </cfRule>
  </conditionalFormatting>
  <conditionalFormatting sqref="J24:J25">
    <cfRule type="cellIs" dxfId="151" priority="166" operator="equal">
      <formula>"Plan Mejoramiento"</formula>
    </cfRule>
    <cfRule type="cellIs" dxfId="150" priority="167" operator="equal">
      <formula>"Acción Preventiva"</formula>
    </cfRule>
    <cfRule type="cellIs" dxfId="149" priority="168" operator="equal">
      <formula>"Acción Correctiva"</formula>
    </cfRule>
  </conditionalFormatting>
  <conditionalFormatting sqref="J24:J25">
    <cfRule type="cellIs" dxfId="148" priority="165" operator="equal">
      <formula>"Corrección"</formula>
    </cfRule>
  </conditionalFormatting>
  <conditionalFormatting sqref="D24:D25">
    <cfRule type="cellIs" dxfId="147" priority="160" operator="equal">
      <formula>"Especial"</formula>
    </cfRule>
    <cfRule type="cellIs" dxfId="146" priority="161" operator="equal">
      <formula>"Informes"</formula>
    </cfRule>
    <cfRule type="cellIs" dxfId="145" priority="162" operator="equal">
      <formula>"Auditoria"</formula>
    </cfRule>
  </conditionalFormatting>
  <conditionalFormatting sqref="E24:E25">
    <cfRule type="cellIs" dxfId="144" priority="145" operator="equal">
      <formula>"Especial"</formula>
    </cfRule>
    <cfRule type="cellIs" dxfId="143" priority="146" operator="equal">
      <formula>"Informes"</formula>
    </cfRule>
    <cfRule type="cellIs" dxfId="142" priority="147" operator="equal">
      <formula>"Auditoria"</formula>
    </cfRule>
  </conditionalFormatting>
  <conditionalFormatting sqref="G23:G25">
    <cfRule type="cellIs" dxfId="141" priority="142" operator="equal">
      <formula>"Plan Mejoramiento"</formula>
    </cfRule>
    <cfRule type="cellIs" dxfId="140" priority="143" operator="equal">
      <formula>"Acción Preventiva"</formula>
    </cfRule>
    <cfRule type="cellIs" dxfId="139" priority="144" operator="equal">
      <formula>"Acción Correctiva"</formula>
    </cfRule>
  </conditionalFormatting>
  <conditionalFormatting sqref="G23:G25">
    <cfRule type="cellIs" dxfId="138" priority="141" operator="equal">
      <formula>"Corrección"</formula>
    </cfRule>
  </conditionalFormatting>
  <conditionalFormatting sqref="H23:H25">
    <cfRule type="cellIs" dxfId="137" priority="139" operator="equal">
      <formula>"Recomendación"</formula>
    </cfRule>
    <cfRule type="cellIs" dxfId="136" priority="140" operator="equal">
      <formula>"No Conformidad"</formula>
    </cfRule>
  </conditionalFormatting>
  <conditionalFormatting sqref="I23">
    <cfRule type="cellIs" dxfId="135" priority="136" operator="equal">
      <formula>"Plan Mejoramiento"</formula>
    </cfRule>
    <cfRule type="cellIs" dxfId="134" priority="137" operator="equal">
      <formula>"Acción Preventiva"</formula>
    </cfRule>
    <cfRule type="cellIs" dxfId="133" priority="138" operator="equal">
      <formula>"Acción Correctiva"</formula>
    </cfRule>
  </conditionalFormatting>
  <conditionalFormatting sqref="I23">
    <cfRule type="cellIs" dxfId="132" priority="135" operator="equal">
      <formula>"Corrección"</formula>
    </cfRule>
  </conditionalFormatting>
  <conditionalFormatting sqref="I24:I25">
    <cfRule type="cellIs" dxfId="131" priority="132" operator="equal">
      <formula>"Plan Mejoramiento"</formula>
    </cfRule>
    <cfRule type="cellIs" dxfId="130" priority="133" operator="equal">
      <formula>"Acción Preventiva"</formula>
    </cfRule>
    <cfRule type="cellIs" dxfId="129" priority="134" operator="equal">
      <formula>"Acción Correctiva"</formula>
    </cfRule>
  </conditionalFormatting>
  <conditionalFormatting sqref="I24:I25">
    <cfRule type="cellIs" dxfId="128" priority="131" operator="equal">
      <formula>"Corrección"</formula>
    </cfRule>
  </conditionalFormatting>
  <conditionalFormatting sqref="D26">
    <cfRule type="cellIs" dxfId="127" priority="128" operator="equal">
      <formula>"Especial"</formula>
    </cfRule>
    <cfRule type="cellIs" dxfId="126" priority="129" operator="equal">
      <formula>"Informes"</formula>
    </cfRule>
    <cfRule type="cellIs" dxfId="125" priority="130" operator="equal">
      <formula>"Auditoria"</formula>
    </cfRule>
  </conditionalFormatting>
  <conditionalFormatting sqref="E26">
    <cfRule type="cellIs" dxfId="124" priority="125" operator="equal">
      <formula>"Especial"</formula>
    </cfRule>
    <cfRule type="cellIs" dxfId="123" priority="126" operator="equal">
      <formula>"Informes"</formula>
    </cfRule>
    <cfRule type="cellIs" dxfId="122" priority="127" operator="equal">
      <formula>"Auditoria"</formula>
    </cfRule>
  </conditionalFormatting>
  <conditionalFormatting sqref="H26">
    <cfRule type="cellIs" dxfId="121" priority="123" operator="equal">
      <formula>"Recomendación"</formula>
    </cfRule>
    <cfRule type="cellIs" dxfId="120" priority="124" operator="equal">
      <formula>"No Conformidad"</formula>
    </cfRule>
  </conditionalFormatting>
  <conditionalFormatting sqref="G26">
    <cfRule type="cellIs" dxfId="119" priority="120" operator="equal">
      <formula>"Plan Mejoramiento"</formula>
    </cfRule>
    <cfRule type="cellIs" dxfId="118" priority="121" operator="equal">
      <formula>"Acción Preventiva"</formula>
    </cfRule>
    <cfRule type="cellIs" dxfId="117" priority="122" operator="equal">
      <formula>"Acción Correctiva"</formula>
    </cfRule>
  </conditionalFormatting>
  <conditionalFormatting sqref="G26">
    <cfRule type="cellIs" dxfId="116" priority="119" operator="equal">
      <formula>"Corrección"</formula>
    </cfRule>
  </conditionalFormatting>
  <conditionalFormatting sqref="G26">
    <cfRule type="cellIs" dxfId="115" priority="116" operator="equal">
      <formula>"Plan Mejoramiento"</formula>
    </cfRule>
    <cfRule type="cellIs" dxfId="114" priority="117" operator="equal">
      <formula>"Acción Preventiva"</formula>
    </cfRule>
    <cfRule type="cellIs" dxfId="113" priority="118" operator="equal">
      <formula>"Acción Correctiva"</formula>
    </cfRule>
  </conditionalFormatting>
  <conditionalFormatting sqref="G26">
    <cfRule type="cellIs" dxfId="112" priority="115" operator="equal">
      <formula>"Corrección"</formula>
    </cfRule>
  </conditionalFormatting>
  <conditionalFormatting sqref="J26">
    <cfRule type="cellIs" dxfId="111" priority="112" operator="equal">
      <formula>"Plan Mejoramiento"</formula>
    </cfRule>
    <cfRule type="cellIs" dxfId="110" priority="113" operator="equal">
      <formula>"Acción Preventiva"</formula>
    </cfRule>
    <cfRule type="cellIs" dxfId="109" priority="114" operator="equal">
      <formula>"Acción Correctiva"</formula>
    </cfRule>
  </conditionalFormatting>
  <conditionalFormatting sqref="J26">
    <cfRule type="cellIs" dxfId="108" priority="111" operator="equal">
      <formula>"Corrección"</formula>
    </cfRule>
  </conditionalFormatting>
  <conditionalFormatting sqref="I26">
    <cfRule type="cellIs" dxfId="107" priority="108" operator="equal">
      <formula>"Plan Mejoramiento"</formula>
    </cfRule>
    <cfRule type="cellIs" dxfId="106" priority="109" operator="equal">
      <formula>"Acción Preventiva"</formula>
    </cfRule>
    <cfRule type="cellIs" dxfId="105" priority="110" operator="equal">
      <formula>"Acción Correctiva"</formula>
    </cfRule>
  </conditionalFormatting>
  <conditionalFormatting sqref="I26">
    <cfRule type="cellIs" dxfId="104" priority="107" operator="equal">
      <formula>"Corrección"</formula>
    </cfRule>
  </conditionalFormatting>
  <conditionalFormatting sqref="G27:G34">
    <cfRule type="cellIs" dxfId="103" priority="104" operator="equal">
      <formula>"Plan Mejoramiento"</formula>
    </cfRule>
    <cfRule type="cellIs" dxfId="102" priority="105" operator="equal">
      <formula>"Acción Preventiva"</formula>
    </cfRule>
    <cfRule type="cellIs" dxfId="101" priority="106" operator="equal">
      <formula>"Acción Correctiva"</formula>
    </cfRule>
  </conditionalFormatting>
  <conditionalFormatting sqref="G27:G34">
    <cfRule type="cellIs" dxfId="100" priority="103" operator="equal">
      <formula>"Corrección"</formula>
    </cfRule>
  </conditionalFormatting>
  <conditionalFormatting sqref="D27:D34">
    <cfRule type="cellIs" dxfId="99" priority="100" operator="equal">
      <formula>"Especial"</formula>
    </cfRule>
    <cfRule type="cellIs" dxfId="98" priority="101" operator="equal">
      <formula>"Informes"</formula>
    </cfRule>
    <cfRule type="cellIs" dxfId="97" priority="102" operator="equal">
      <formula>"Auditoria"</formula>
    </cfRule>
  </conditionalFormatting>
  <conditionalFormatting sqref="E27:E34">
    <cfRule type="cellIs" dxfId="96" priority="97" operator="equal">
      <formula>"Especial"</formula>
    </cfRule>
    <cfRule type="cellIs" dxfId="95" priority="98" operator="equal">
      <formula>"Informes"</formula>
    </cfRule>
    <cfRule type="cellIs" dxfId="94" priority="99" operator="equal">
      <formula>"Auditoria"</formula>
    </cfRule>
  </conditionalFormatting>
  <conditionalFormatting sqref="F28:F34">
    <cfRule type="cellIs" dxfId="93" priority="94" operator="equal">
      <formula>"Plan Mejoramiento"</formula>
    </cfRule>
    <cfRule type="cellIs" dxfId="92" priority="95" operator="equal">
      <formula>"Acción Preventiva"</formula>
    </cfRule>
    <cfRule type="cellIs" dxfId="91" priority="96" operator="equal">
      <formula>"Acción Correctiva"</formula>
    </cfRule>
  </conditionalFormatting>
  <conditionalFormatting sqref="F28:F34">
    <cfRule type="cellIs" dxfId="90" priority="93" operator="equal">
      <formula>"Corrección"</formula>
    </cfRule>
  </conditionalFormatting>
  <conditionalFormatting sqref="H27:H34">
    <cfRule type="cellIs" dxfId="89" priority="91" operator="equal">
      <formula>"Recomendación"</formula>
    </cfRule>
    <cfRule type="cellIs" dxfId="88" priority="92" operator="equal">
      <formula>"No Conformidad"</formula>
    </cfRule>
  </conditionalFormatting>
  <conditionalFormatting sqref="I27:I34">
    <cfRule type="cellIs" dxfId="87" priority="84" operator="equal">
      <formula>"Plan Mejoramiento"</formula>
    </cfRule>
    <cfRule type="cellIs" dxfId="86" priority="85" operator="equal">
      <formula>"Acción Preventiva"</formula>
    </cfRule>
    <cfRule type="cellIs" dxfId="85" priority="86" operator="equal">
      <formula>"Acción Correctiva"</formula>
    </cfRule>
  </conditionalFormatting>
  <conditionalFormatting sqref="I27:I34">
    <cfRule type="cellIs" dxfId="84" priority="83" operator="equal">
      <formula>"Corrección"</formula>
    </cfRule>
  </conditionalFormatting>
  <conditionalFormatting sqref="J35">
    <cfRule type="cellIs" dxfId="83" priority="80" operator="equal">
      <formula>"Plan Mejoramiento"</formula>
    </cfRule>
    <cfRule type="cellIs" dxfId="82" priority="81" operator="equal">
      <formula>"Acción Preventiva"</formula>
    </cfRule>
    <cfRule type="cellIs" dxfId="81" priority="82" operator="equal">
      <formula>"Acción Correctiva"</formula>
    </cfRule>
  </conditionalFormatting>
  <conditionalFormatting sqref="J35">
    <cfRule type="cellIs" dxfId="80" priority="79" operator="equal">
      <formula>"Corrección"</formula>
    </cfRule>
  </conditionalFormatting>
  <conditionalFormatting sqref="J27:J34">
    <cfRule type="cellIs" dxfId="79" priority="72" operator="equal">
      <formula>"Plan Mejoramiento"</formula>
    </cfRule>
    <cfRule type="cellIs" dxfId="78" priority="73" operator="equal">
      <formula>"Acción Preventiva"</formula>
    </cfRule>
    <cfRule type="cellIs" dxfId="77" priority="74" operator="equal">
      <formula>"Acción Correctiva"</formula>
    </cfRule>
  </conditionalFormatting>
  <conditionalFormatting sqref="J27:J34">
    <cfRule type="cellIs" dxfId="76" priority="71" operator="equal">
      <formula>"Corrección"</formula>
    </cfRule>
  </conditionalFormatting>
  <conditionalFormatting sqref="G35">
    <cfRule type="cellIs" dxfId="75" priority="68" operator="equal">
      <formula>"Plan Mejoramiento"</formula>
    </cfRule>
    <cfRule type="cellIs" dxfId="74" priority="69" operator="equal">
      <formula>"Acción Preventiva"</formula>
    </cfRule>
    <cfRule type="cellIs" dxfId="73" priority="70" operator="equal">
      <formula>"Acción Correctiva"</formula>
    </cfRule>
  </conditionalFormatting>
  <conditionalFormatting sqref="G35">
    <cfRule type="cellIs" dxfId="72" priority="67" operator="equal">
      <formula>"Corrección"</formula>
    </cfRule>
  </conditionalFormatting>
  <conditionalFormatting sqref="H35">
    <cfRule type="cellIs" dxfId="71" priority="65" operator="equal">
      <formula>"Recomendación"</formula>
    </cfRule>
    <cfRule type="cellIs" dxfId="70" priority="66" operator="equal">
      <formula>"No Conformidad"</formula>
    </cfRule>
  </conditionalFormatting>
  <conditionalFormatting sqref="F36">
    <cfRule type="cellIs" dxfId="69" priority="62" operator="equal">
      <formula>"Plan Mejoramiento"</formula>
    </cfRule>
    <cfRule type="cellIs" dxfId="68" priority="63" operator="equal">
      <formula>"Acción Preventiva"</formula>
    </cfRule>
    <cfRule type="cellIs" dxfId="67" priority="64" operator="equal">
      <formula>"Acción Correctiva"</formula>
    </cfRule>
  </conditionalFormatting>
  <conditionalFormatting sqref="F36">
    <cfRule type="cellIs" dxfId="66" priority="61" operator="equal">
      <formula>"Corrección"</formula>
    </cfRule>
  </conditionalFormatting>
  <conditionalFormatting sqref="D36">
    <cfRule type="cellIs" dxfId="65" priority="58" operator="equal">
      <formula>"Especial"</formula>
    </cfRule>
    <cfRule type="cellIs" dxfId="64" priority="59" operator="equal">
      <formula>"Informes"</formula>
    </cfRule>
    <cfRule type="cellIs" dxfId="63" priority="60" operator="equal">
      <formula>"Auditoria"</formula>
    </cfRule>
  </conditionalFormatting>
  <conditionalFormatting sqref="E36">
    <cfRule type="cellIs" dxfId="62" priority="55" operator="equal">
      <formula>"Especial"</formula>
    </cfRule>
    <cfRule type="cellIs" dxfId="61" priority="56" operator="equal">
      <formula>"Informes"</formula>
    </cfRule>
    <cfRule type="cellIs" dxfId="60" priority="57" operator="equal">
      <formula>"Auditoria"</formula>
    </cfRule>
  </conditionalFormatting>
  <conditionalFormatting sqref="H36">
    <cfRule type="cellIs" dxfId="59" priority="53" operator="equal">
      <formula>"Recomendación"</formula>
    </cfRule>
    <cfRule type="cellIs" dxfId="58" priority="54" operator="equal">
      <formula>"No Conformidad"</formula>
    </cfRule>
  </conditionalFormatting>
  <conditionalFormatting sqref="G36">
    <cfRule type="cellIs" dxfId="57" priority="50" operator="equal">
      <formula>"Plan Mejoramiento"</formula>
    </cfRule>
    <cfRule type="cellIs" dxfId="56" priority="51" operator="equal">
      <formula>"Acción Preventiva"</formula>
    </cfRule>
    <cfRule type="cellIs" dxfId="55" priority="52" operator="equal">
      <formula>"Acción Correctiva"</formula>
    </cfRule>
  </conditionalFormatting>
  <conditionalFormatting sqref="G36">
    <cfRule type="cellIs" dxfId="54" priority="49" operator="equal">
      <formula>"Corrección"</formula>
    </cfRule>
  </conditionalFormatting>
  <conditionalFormatting sqref="G36">
    <cfRule type="cellIs" dxfId="53" priority="46" operator="equal">
      <formula>"Plan Mejoramiento"</formula>
    </cfRule>
    <cfRule type="cellIs" dxfId="52" priority="47" operator="equal">
      <formula>"Acción Preventiva"</formula>
    </cfRule>
    <cfRule type="cellIs" dxfId="51" priority="48" operator="equal">
      <formula>"Acción Correctiva"</formula>
    </cfRule>
  </conditionalFormatting>
  <conditionalFormatting sqref="G36">
    <cfRule type="cellIs" dxfId="50" priority="45" operator="equal">
      <formula>"Corrección"</formula>
    </cfRule>
  </conditionalFormatting>
  <conditionalFormatting sqref="J36">
    <cfRule type="cellIs" dxfId="49" priority="42" operator="equal">
      <formula>"Plan Mejoramiento"</formula>
    </cfRule>
    <cfRule type="cellIs" dxfId="48" priority="43" operator="equal">
      <formula>"Acción Preventiva"</formula>
    </cfRule>
    <cfRule type="cellIs" dxfId="47" priority="44" operator="equal">
      <formula>"Acción Correctiva"</formula>
    </cfRule>
  </conditionalFormatting>
  <conditionalFormatting sqref="J36">
    <cfRule type="cellIs" dxfId="46" priority="41" operator="equal">
      <formula>"Corrección"</formula>
    </cfRule>
  </conditionalFormatting>
  <conditionalFormatting sqref="I36">
    <cfRule type="cellIs" dxfId="45" priority="38" operator="equal">
      <formula>"Plan Mejoramiento"</formula>
    </cfRule>
    <cfRule type="cellIs" dxfId="44" priority="39" operator="equal">
      <formula>"Acción Preventiva"</formula>
    </cfRule>
    <cfRule type="cellIs" dxfId="43" priority="40" operator="equal">
      <formula>"Acción Correctiva"</formula>
    </cfRule>
  </conditionalFormatting>
  <conditionalFormatting sqref="I36">
    <cfRule type="cellIs" dxfId="42" priority="37" operator="equal">
      <formula>"Corrección"</formula>
    </cfRule>
  </conditionalFormatting>
  <conditionalFormatting sqref="F37">
    <cfRule type="cellIs" dxfId="41" priority="34" operator="equal">
      <formula>"Plan Mejoramiento"</formula>
    </cfRule>
    <cfRule type="cellIs" dxfId="40" priority="35" operator="equal">
      <formula>"Acción Preventiva"</formula>
    </cfRule>
    <cfRule type="cellIs" dxfId="39" priority="36" operator="equal">
      <formula>"Acción Correctiva"</formula>
    </cfRule>
  </conditionalFormatting>
  <conditionalFormatting sqref="F37">
    <cfRule type="cellIs" dxfId="38" priority="33" operator="equal">
      <formula>"Corrección"</formula>
    </cfRule>
  </conditionalFormatting>
  <conditionalFormatting sqref="D37">
    <cfRule type="cellIs" dxfId="37" priority="30" operator="equal">
      <formula>"Especial"</formula>
    </cfRule>
    <cfRule type="cellIs" dxfId="36" priority="31" operator="equal">
      <formula>"Informes"</formula>
    </cfRule>
    <cfRule type="cellIs" dxfId="35" priority="32" operator="equal">
      <formula>"Auditoria"</formula>
    </cfRule>
  </conditionalFormatting>
  <conditionalFormatting sqref="E37">
    <cfRule type="cellIs" dxfId="34" priority="27" operator="equal">
      <formula>"Especial"</formula>
    </cfRule>
    <cfRule type="cellIs" dxfId="33" priority="28" operator="equal">
      <formula>"Informes"</formula>
    </cfRule>
    <cfRule type="cellIs" dxfId="32" priority="29" operator="equal">
      <formula>"Auditoria"</formula>
    </cfRule>
  </conditionalFormatting>
  <conditionalFormatting sqref="H37">
    <cfRule type="cellIs" dxfId="31" priority="25" operator="equal">
      <formula>"Recomendación"</formula>
    </cfRule>
    <cfRule type="cellIs" dxfId="30" priority="26" operator="equal">
      <formula>"No Conformidad"</formula>
    </cfRule>
  </conditionalFormatting>
  <conditionalFormatting sqref="J37">
    <cfRule type="cellIs" dxfId="29" priority="22" operator="equal">
      <formula>"Plan Mejoramiento"</formula>
    </cfRule>
    <cfRule type="cellIs" dxfId="28" priority="23" operator="equal">
      <formula>"Acción Preventiva"</formula>
    </cfRule>
    <cfRule type="cellIs" dxfId="27" priority="24" operator="equal">
      <formula>"Acción Correctiva"</formula>
    </cfRule>
  </conditionalFormatting>
  <conditionalFormatting sqref="J37">
    <cfRule type="cellIs" dxfId="26" priority="21" operator="equal">
      <formula>"Corrección"</formula>
    </cfRule>
  </conditionalFormatting>
  <conditionalFormatting sqref="G37">
    <cfRule type="cellIs" dxfId="25" priority="14" operator="equal">
      <formula>"Plan Mejoramiento"</formula>
    </cfRule>
    <cfRule type="cellIs" dxfId="24" priority="15" operator="equal">
      <formula>"Acción Preventiva"</formula>
    </cfRule>
    <cfRule type="cellIs" dxfId="23" priority="16" operator="equal">
      <formula>"Acción Correctiva"</formula>
    </cfRule>
  </conditionalFormatting>
  <conditionalFormatting sqref="G37">
    <cfRule type="cellIs" dxfId="22" priority="13" operator="equal">
      <formula>"Corrección"</formula>
    </cfRule>
  </conditionalFormatting>
  <conditionalFormatting sqref="G37">
    <cfRule type="cellIs" dxfId="21" priority="10" operator="equal">
      <formula>"Plan Mejoramiento"</formula>
    </cfRule>
    <cfRule type="cellIs" dxfId="20" priority="11" operator="equal">
      <formula>"Acción Preventiva"</formula>
    </cfRule>
    <cfRule type="cellIs" dxfId="19" priority="12" operator="equal">
      <formula>"Acción Correctiva"</formula>
    </cfRule>
  </conditionalFormatting>
  <conditionalFormatting sqref="G37">
    <cfRule type="cellIs" dxfId="18" priority="9" operator="equal">
      <formula>"Corrección"</formula>
    </cfRule>
  </conditionalFormatting>
  <conditionalFormatting sqref="I37">
    <cfRule type="cellIs" dxfId="17" priority="6" operator="equal">
      <formula>"Plan Mejoramiento"</formula>
    </cfRule>
    <cfRule type="cellIs" dxfId="16" priority="7" operator="equal">
      <formula>"Acción Preventiva"</formula>
    </cfRule>
    <cfRule type="cellIs" dxfId="15" priority="8" operator="equal">
      <formula>"Acción Correctiva"</formula>
    </cfRule>
  </conditionalFormatting>
  <conditionalFormatting sqref="I37">
    <cfRule type="cellIs" dxfId="14" priority="5" operator="equal">
      <formula>"Corrección"</formula>
    </cfRule>
  </conditionalFormatting>
  <conditionalFormatting sqref="I4">
    <cfRule type="cellIs" dxfId="13" priority="2" operator="equal">
      <formula>"Plan Mejoramiento"</formula>
    </cfRule>
    <cfRule type="cellIs" dxfId="12" priority="3" operator="equal">
      <formula>"Acción Preventiva"</formula>
    </cfRule>
    <cfRule type="cellIs" dxfId="11" priority="4" operator="equal">
      <formula>"Acción Correctiva"</formula>
    </cfRule>
  </conditionalFormatting>
  <conditionalFormatting sqref="I4">
    <cfRule type="cellIs" dxfId="10" priority="1" operator="equal">
      <formula>"Corrección"</formula>
    </cfRule>
  </conditionalFormatting>
  <dataValidations count="4">
    <dataValidation type="list" allowBlank="1" showInputMessage="1" showErrorMessage="1" sqref="B35 E4:E34 E36:E37">
      <formula1>Auditores</formula1>
    </dataValidation>
    <dataValidation type="list" allowBlank="1" showInputMessage="1" showErrorMessage="1" sqref="D4:D34 D36:D37">
      <formula1>"Auditoria,Especial,Informes"</formula1>
    </dataValidation>
    <dataValidation type="list" allowBlank="1" showInputMessage="1" showErrorMessage="1" sqref="C16:C34 B4:B34 I35 B36:C36">
      <formula1>Proceso</formula1>
    </dataValidation>
    <dataValidation type="list" allowBlank="1" showInputMessage="1" showErrorMessage="1" sqref="E35 H4:H37">
      <formula1>"No Conformidad,Recomendación"</formula1>
    </dataValidation>
  </dataValidation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18"/>
  <sheetViews>
    <sheetView workbookViewId="0">
      <selection activeCell="M11" sqref="M11"/>
    </sheetView>
  </sheetViews>
  <sheetFormatPr baseColWidth="10" defaultRowHeight="15" x14ac:dyDescent="0.25"/>
  <cols>
    <col min="2" max="2" width="32.85546875" customWidth="1"/>
    <col min="3" max="3" width="10.7109375" hidden="1" customWidth="1"/>
    <col min="4" max="4" width="11" hidden="1" customWidth="1"/>
    <col min="5" max="5" width="11.28515625" hidden="1" customWidth="1"/>
    <col min="6" max="6" width="14.140625" hidden="1" customWidth="1"/>
    <col min="7" max="7" width="12.7109375" hidden="1" customWidth="1"/>
    <col min="8" max="9" width="0" hidden="1" customWidth="1"/>
    <col min="10" max="10" width="3.42578125" hidden="1" customWidth="1"/>
    <col min="11" max="11" width="11.28515625" style="1" customWidth="1"/>
    <col min="12" max="12" width="9.5703125" customWidth="1"/>
    <col min="13" max="13" width="12.7109375" customWidth="1"/>
    <col min="14" max="14" width="11.85546875" customWidth="1"/>
    <col min="15" max="15" width="15.42578125" customWidth="1"/>
  </cols>
  <sheetData>
    <row r="1" spans="2:17" ht="15.75" thickBot="1" x14ac:dyDescent="0.3"/>
    <row r="2" spans="2:17" ht="41.25" customHeight="1" thickBot="1" x14ac:dyDescent="0.3">
      <c r="B2" s="800" t="s">
        <v>0</v>
      </c>
      <c r="C2" s="749" t="s">
        <v>224</v>
      </c>
      <c r="D2" s="750"/>
      <c r="E2" s="772" t="s">
        <v>136</v>
      </c>
      <c r="F2" s="773"/>
      <c r="G2" s="773"/>
      <c r="H2" s="774"/>
      <c r="I2" s="747" t="s">
        <v>90</v>
      </c>
      <c r="J2" s="582"/>
      <c r="K2" s="798" t="s">
        <v>90</v>
      </c>
      <c r="L2" s="802" t="s">
        <v>99</v>
      </c>
      <c r="M2" s="803"/>
      <c r="N2" s="804"/>
      <c r="O2" s="795" t="s">
        <v>847</v>
      </c>
      <c r="P2" s="796"/>
      <c r="Q2" s="797"/>
    </row>
    <row r="3" spans="2:17" ht="27" customHeight="1" thickBot="1" x14ac:dyDescent="0.3">
      <c r="B3" s="801"/>
      <c r="C3" s="244" t="s">
        <v>225</v>
      </c>
      <c r="D3" s="244" t="s">
        <v>0</v>
      </c>
      <c r="E3" s="112" t="s">
        <v>45</v>
      </c>
      <c r="F3" s="112" t="s">
        <v>46</v>
      </c>
      <c r="G3" s="112" t="s">
        <v>50</v>
      </c>
      <c r="H3" s="576" t="s">
        <v>201</v>
      </c>
      <c r="I3" s="748"/>
      <c r="J3" s="596"/>
      <c r="K3" s="799"/>
      <c r="L3" s="604" t="s">
        <v>82</v>
      </c>
      <c r="M3" s="614" t="s">
        <v>57</v>
      </c>
      <c r="N3" s="615" t="s">
        <v>460</v>
      </c>
      <c r="O3" s="623" t="s">
        <v>848</v>
      </c>
      <c r="P3" s="593" t="s">
        <v>55</v>
      </c>
      <c r="Q3" s="594" t="s">
        <v>59</v>
      </c>
    </row>
    <row r="4" spans="2:17" ht="15.75" thickTop="1" x14ac:dyDescent="0.25">
      <c r="B4" s="624" t="s">
        <v>53</v>
      </c>
      <c r="C4" s="597">
        <v>36</v>
      </c>
      <c r="D4" s="597">
        <v>4</v>
      </c>
      <c r="E4" s="597">
        <v>25</v>
      </c>
      <c r="F4" s="597">
        <v>0</v>
      </c>
      <c r="G4" s="597">
        <v>15</v>
      </c>
      <c r="H4" s="597">
        <v>0</v>
      </c>
      <c r="I4" s="597">
        <v>40</v>
      </c>
      <c r="J4" s="597"/>
      <c r="K4" s="613">
        <v>40</v>
      </c>
      <c r="L4" s="605">
        <v>30</v>
      </c>
      <c r="M4" s="601">
        <v>2</v>
      </c>
      <c r="N4" s="609">
        <v>8</v>
      </c>
      <c r="O4" s="607">
        <v>53</v>
      </c>
      <c r="P4" s="601">
        <v>53</v>
      </c>
      <c r="Q4" s="602">
        <v>0</v>
      </c>
    </row>
    <row r="5" spans="2:17" ht="15.75" customHeight="1" x14ac:dyDescent="0.25">
      <c r="B5" s="625" t="s">
        <v>10</v>
      </c>
      <c r="C5" s="598">
        <v>0</v>
      </c>
      <c r="D5" s="598">
        <v>13</v>
      </c>
      <c r="E5" s="598">
        <v>13</v>
      </c>
      <c r="F5" s="598">
        <v>0</v>
      </c>
      <c r="G5" s="598">
        <v>0</v>
      </c>
      <c r="H5" s="598">
        <v>0</v>
      </c>
      <c r="I5" s="598">
        <v>13</v>
      </c>
      <c r="J5" s="598"/>
      <c r="K5" s="613">
        <v>13</v>
      </c>
      <c r="L5" s="606">
        <v>11</v>
      </c>
      <c r="M5" s="595">
        <v>0</v>
      </c>
      <c r="N5" s="610">
        <v>2</v>
      </c>
      <c r="O5" s="608">
        <v>2</v>
      </c>
      <c r="P5" s="595">
        <v>2</v>
      </c>
      <c r="Q5" s="603">
        <v>0</v>
      </c>
    </row>
    <row r="6" spans="2:17" ht="29.25" customHeight="1" x14ac:dyDescent="0.25">
      <c r="B6" s="625" t="s">
        <v>416</v>
      </c>
      <c r="C6" s="598">
        <v>0</v>
      </c>
      <c r="D6" s="598">
        <v>15</v>
      </c>
      <c r="E6" s="598">
        <v>14</v>
      </c>
      <c r="F6" s="598">
        <v>0</v>
      </c>
      <c r="G6" s="598">
        <v>0</v>
      </c>
      <c r="H6" s="598">
        <v>1</v>
      </c>
      <c r="I6" s="598">
        <v>15</v>
      </c>
      <c r="J6" s="598"/>
      <c r="K6" s="613">
        <v>15</v>
      </c>
      <c r="L6" s="606">
        <v>15</v>
      </c>
      <c r="M6" s="595">
        <v>0</v>
      </c>
      <c r="N6" s="610">
        <v>0</v>
      </c>
      <c r="O6" s="608">
        <v>26</v>
      </c>
      <c r="P6" s="595">
        <v>12</v>
      </c>
      <c r="Q6" s="603">
        <v>14</v>
      </c>
    </row>
    <row r="7" spans="2:17" ht="16.5" customHeight="1" x14ac:dyDescent="0.25">
      <c r="B7" s="626" t="s">
        <v>2</v>
      </c>
      <c r="C7" s="598">
        <v>0</v>
      </c>
      <c r="D7" s="598">
        <v>17</v>
      </c>
      <c r="E7" s="598">
        <v>16</v>
      </c>
      <c r="F7" s="598">
        <v>1</v>
      </c>
      <c r="G7" s="598">
        <v>0</v>
      </c>
      <c r="H7" s="598">
        <v>0</v>
      </c>
      <c r="I7" s="598">
        <v>17</v>
      </c>
      <c r="J7" s="598"/>
      <c r="K7" s="613">
        <v>17</v>
      </c>
      <c r="L7" s="606">
        <v>6</v>
      </c>
      <c r="M7" s="595">
        <v>1</v>
      </c>
      <c r="N7" s="610">
        <v>10</v>
      </c>
      <c r="O7" s="608">
        <v>30</v>
      </c>
      <c r="P7" s="595">
        <v>30</v>
      </c>
      <c r="Q7" s="603">
        <v>0</v>
      </c>
    </row>
    <row r="8" spans="2:17" ht="16.5" customHeight="1" x14ac:dyDescent="0.25">
      <c r="B8" s="626" t="s">
        <v>25</v>
      </c>
      <c r="C8" s="598">
        <v>0</v>
      </c>
      <c r="D8" s="598">
        <v>11</v>
      </c>
      <c r="E8" s="598">
        <v>10</v>
      </c>
      <c r="F8" s="598">
        <v>0</v>
      </c>
      <c r="G8" s="598">
        <v>1</v>
      </c>
      <c r="H8" s="598">
        <v>0</v>
      </c>
      <c r="I8" s="598">
        <v>11</v>
      </c>
      <c r="J8" s="598"/>
      <c r="K8" s="613">
        <v>11</v>
      </c>
      <c r="L8" s="606">
        <v>5</v>
      </c>
      <c r="M8" s="595">
        <v>0</v>
      </c>
      <c r="N8" s="610">
        <v>6</v>
      </c>
      <c r="O8" s="608">
        <v>25</v>
      </c>
      <c r="P8" s="595">
        <v>25</v>
      </c>
      <c r="Q8" s="603">
        <v>0</v>
      </c>
    </row>
    <row r="9" spans="2:17" x14ac:dyDescent="0.25">
      <c r="B9" s="626" t="s">
        <v>38</v>
      </c>
      <c r="C9" s="598">
        <v>0</v>
      </c>
      <c r="D9" s="598">
        <v>4</v>
      </c>
      <c r="E9" s="598">
        <v>4</v>
      </c>
      <c r="F9" s="598">
        <v>0</v>
      </c>
      <c r="G9" s="598">
        <v>0</v>
      </c>
      <c r="H9" s="598">
        <v>0</v>
      </c>
      <c r="I9" s="598">
        <v>4</v>
      </c>
      <c r="J9" s="598"/>
      <c r="K9" s="613">
        <v>4</v>
      </c>
      <c r="L9" s="606">
        <v>2</v>
      </c>
      <c r="M9" s="595">
        <v>0</v>
      </c>
      <c r="N9" s="610">
        <v>2</v>
      </c>
      <c r="O9" s="608">
        <v>7</v>
      </c>
      <c r="P9" s="595">
        <v>7</v>
      </c>
      <c r="Q9" s="603">
        <v>0</v>
      </c>
    </row>
    <row r="10" spans="2:17" x14ac:dyDescent="0.25">
      <c r="B10" s="626" t="s">
        <v>37</v>
      </c>
      <c r="C10" s="598">
        <v>0</v>
      </c>
      <c r="D10" s="598">
        <v>8</v>
      </c>
      <c r="E10" s="598">
        <v>8</v>
      </c>
      <c r="F10" s="598">
        <v>0</v>
      </c>
      <c r="G10" s="598">
        <v>0</v>
      </c>
      <c r="H10" s="598">
        <v>0</v>
      </c>
      <c r="I10" s="598">
        <v>8</v>
      </c>
      <c r="J10" s="598"/>
      <c r="K10" s="613">
        <v>8</v>
      </c>
      <c r="L10" s="606">
        <v>1</v>
      </c>
      <c r="M10" s="595">
        <v>3</v>
      </c>
      <c r="N10" s="610">
        <v>4</v>
      </c>
      <c r="O10" s="608">
        <v>4</v>
      </c>
      <c r="P10" s="595">
        <v>4</v>
      </c>
      <c r="Q10" s="603">
        <v>0</v>
      </c>
    </row>
    <row r="11" spans="2:17" x14ac:dyDescent="0.25">
      <c r="B11" s="626" t="s">
        <v>324</v>
      </c>
      <c r="C11" s="598">
        <v>0</v>
      </c>
      <c r="D11" s="598">
        <v>7</v>
      </c>
      <c r="E11" s="598">
        <v>0</v>
      </c>
      <c r="F11" s="598">
        <v>0</v>
      </c>
      <c r="G11" s="598">
        <v>7</v>
      </c>
      <c r="H11" s="598">
        <v>0</v>
      </c>
      <c r="I11" s="598">
        <v>7</v>
      </c>
      <c r="J11" s="598"/>
      <c r="K11" s="613">
        <v>7</v>
      </c>
      <c r="L11" s="606">
        <v>2</v>
      </c>
      <c r="M11" s="595">
        <v>5</v>
      </c>
      <c r="N11" s="610">
        <v>0</v>
      </c>
      <c r="O11" s="608">
        <v>2</v>
      </c>
      <c r="P11" s="595">
        <v>2</v>
      </c>
      <c r="Q11" s="603">
        <v>0</v>
      </c>
    </row>
    <row r="12" spans="2:17" ht="28.5" x14ac:dyDescent="0.25">
      <c r="B12" s="627" t="s">
        <v>66</v>
      </c>
      <c r="C12" s="598">
        <v>1</v>
      </c>
      <c r="D12" s="598">
        <v>27</v>
      </c>
      <c r="E12" s="598">
        <v>12</v>
      </c>
      <c r="F12" s="598">
        <v>8</v>
      </c>
      <c r="G12" s="598">
        <v>8</v>
      </c>
      <c r="H12" s="598">
        <v>0</v>
      </c>
      <c r="I12" s="598">
        <v>28</v>
      </c>
      <c r="J12" s="598"/>
      <c r="K12" s="613">
        <v>28</v>
      </c>
      <c r="L12" s="606">
        <v>4</v>
      </c>
      <c r="M12" s="595">
        <v>10</v>
      </c>
      <c r="N12" s="610">
        <v>14</v>
      </c>
      <c r="O12" s="608">
        <v>11</v>
      </c>
      <c r="P12" s="595">
        <v>11</v>
      </c>
      <c r="Q12" s="603">
        <v>0</v>
      </c>
    </row>
    <row r="13" spans="2:17" x14ac:dyDescent="0.25">
      <c r="B13" s="627" t="s">
        <v>67</v>
      </c>
      <c r="C13" s="598">
        <v>1</v>
      </c>
      <c r="D13" s="598">
        <v>16</v>
      </c>
      <c r="E13" s="598">
        <v>16</v>
      </c>
      <c r="F13" s="598">
        <v>0</v>
      </c>
      <c r="G13" s="598">
        <v>1</v>
      </c>
      <c r="H13" s="598">
        <v>0</v>
      </c>
      <c r="I13" s="598">
        <v>17</v>
      </c>
      <c r="J13" s="598"/>
      <c r="K13" s="613">
        <v>17</v>
      </c>
      <c r="L13" s="606">
        <v>9</v>
      </c>
      <c r="M13" s="595">
        <v>0</v>
      </c>
      <c r="N13" s="610">
        <v>8</v>
      </c>
      <c r="O13" s="608">
        <v>25</v>
      </c>
      <c r="P13" s="595">
        <v>25</v>
      </c>
      <c r="Q13" s="603">
        <v>0</v>
      </c>
    </row>
    <row r="14" spans="2:17" x14ac:dyDescent="0.25">
      <c r="B14" s="627" t="s">
        <v>414</v>
      </c>
      <c r="C14" s="598">
        <v>0</v>
      </c>
      <c r="D14" s="598">
        <v>21</v>
      </c>
      <c r="E14" s="598">
        <v>21</v>
      </c>
      <c r="F14" s="598">
        <v>0</v>
      </c>
      <c r="G14" s="598">
        <v>0</v>
      </c>
      <c r="H14" s="598">
        <v>0</v>
      </c>
      <c r="I14" s="598">
        <v>21</v>
      </c>
      <c r="J14" s="598"/>
      <c r="K14" s="613">
        <v>21</v>
      </c>
      <c r="L14" s="606">
        <v>16</v>
      </c>
      <c r="M14" s="595">
        <v>1</v>
      </c>
      <c r="N14" s="610">
        <v>4</v>
      </c>
      <c r="O14" s="608">
        <v>12</v>
      </c>
      <c r="P14" s="595">
        <v>12</v>
      </c>
      <c r="Q14" s="603">
        <v>0</v>
      </c>
    </row>
    <row r="15" spans="2:17" x14ac:dyDescent="0.25">
      <c r="B15" s="627" t="s">
        <v>65</v>
      </c>
      <c r="C15" s="598">
        <v>0</v>
      </c>
      <c r="D15" s="598">
        <v>13</v>
      </c>
      <c r="E15" s="598">
        <v>13</v>
      </c>
      <c r="F15" s="598">
        <v>0</v>
      </c>
      <c r="G15" s="598">
        <v>0</v>
      </c>
      <c r="H15" s="598">
        <v>0</v>
      </c>
      <c r="I15" s="598">
        <v>13</v>
      </c>
      <c r="J15" s="598"/>
      <c r="K15" s="613">
        <v>13</v>
      </c>
      <c r="L15" s="606">
        <v>5</v>
      </c>
      <c r="M15" s="595">
        <v>0</v>
      </c>
      <c r="N15" s="610">
        <v>8</v>
      </c>
      <c r="O15" s="608">
        <v>28</v>
      </c>
      <c r="P15" s="595">
        <v>28</v>
      </c>
      <c r="Q15" s="603">
        <v>0</v>
      </c>
    </row>
    <row r="16" spans="2:17" ht="15.75" thickBot="1" x14ac:dyDescent="0.3">
      <c r="B16" s="628" t="s">
        <v>69</v>
      </c>
      <c r="C16" s="599">
        <v>1</v>
      </c>
      <c r="D16" s="599">
        <v>5</v>
      </c>
      <c r="E16" s="599">
        <v>2</v>
      </c>
      <c r="F16" s="599">
        <v>0</v>
      </c>
      <c r="G16" s="599">
        <v>1</v>
      </c>
      <c r="H16" s="599">
        <v>3</v>
      </c>
      <c r="I16" s="599">
        <v>6</v>
      </c>
      <c r="J16" s="599"/>
      <c r="K16" s="616">
        <v>6</v>
      </c>
      <c r="L16" s="617">
        <v>6</v>
      </c>
      <c r="M16" s="618">
        <v>0</v>
      </c>
      <c r="N16" s="619">
        <v>0</v>
      </c>
      <c r="O16" s="620">
        <v>7</v>
      </c>
      <c r="P16" s="618">
        <v>7</v>
      </c>
      <c r="Q16" s="621">
        <v>0</v>
      </c>
    </row>
    <row r="17" spans="2:17" ht="19.5" thickTop="1" thickBot="1" x14ac:dyDescent="0.3">
      <c r="B17" s="600" t="s">
        <v>90</v>
      </c>
      <c r="C17" s="592">
        <v>39</v>
      </c>
      <c r="D17" s="592">
        <v>161</v>
      </c>
      <c r="E17" s="592">
        <v>154</v>
      </c>
      <c r="F17" s="592">
        <v>9</v>
      </c>
      <c r="G17" s="592">
        <v>33</v>
      </c>
      <c r="H17" s="592">
        <v>4</v>
      </c>
      <c r="I17" s="592">
        <v>200</v>
      </c>
      <c r="J17" s="592" t="s">
        <v>90</v>
      </c>
      <c r="K17" s="622">
        <f>SUM(K4:K16)</f>
        <v>200</v>
      </c>
      <c r="L17" s="611">
        <f>SUM(L4:L16)</f>
        <v>112</v>
      </c>
      <c r="M17" s="611">
        <v>22</v>
      </c>
      <c r="N17" s="611">
        <v>66</v>
      </c>
      <c r="O17" s="611">
        <v>232</v>
      </c>
      <c r="P17" s="611">
        <v>218</v>
      </c>
      <c r="Q17" s="612">
        <v>14</v>
      </c>
    </row>
    <row r="18" spans="2:17" x14ac:dyDescent="0.25">
      <c r="B18" s="592"/>
      <c r="C18" s="592"/>
      <c r="D18" s="592"/>
      <c r="E18" s="592"/>
      <c r="F18" s="592" t="s">
        <v>90</v>
      </c>
      <c r="G18" s="592">
        <v>200</v>
      </c>
      <c r="H18" s="592"/>
      <c r="I18" s="592"/>
      <c r="J18" s="592"/>
      <c r="K18" s="592"/>
      <c r="L18" s="592"/>
      <c r="M18" s="592"/>
      <c r="N18" s="592"/>
      <c r="O18" s="592"/>
      <c r="P18" s="592"/>
      <c r="Q18" s="592"/>
    </row>
  </sheetData>
  <mergeCells count="7">
    <mergeCell ref="O2:Q2"/>
    <mergeCell ref="K2:K3"/>
    <mergeCell ref="B2:B3"/>
    <mergeCell ref="C2:D2"/>
    <mergeCell ref="E2:H2"/>
    <mergeCell ref="I2:I3"/>
    <mergeCell ref="L2:N2"/>
  </mergeCells>
  <conditionalFormatting sqref="C3">
    <cfRule type="cellIs" dxfId="9" priority="8" operator="equal">
      <formula>"Institucional"</formula>
    </cfRule>
    <cfRule type="cellIs" dxfId="8" priority="9" operator="equal">
      <formula>"Proceso"</formula>
    </cfRule>
  </conditionalFormatting>
  <conditionalFormatting sqref="D3">
    <cfRule type="cellIs" dxfId="7" priority="6" operator="equal">
      <formula>"Institucional"</formula>
    </cfRule>
    <cfRule type="cellIs" dxfId="6" priority="7" operator="equal">
      <formula>"Proceso"</formula>
    </cfRule>
  </conditionalFormatting>
  <conditionalFormatting sqref="N3">
    <cfRule type="cellIs" dxfId="5" priority="3" operator="equal">
      <formula>"Oportunidad de mejora"</formula>
    </cfRule>
    <cfRule type="cellIs" dxfId="4" priority="4" operator="equal">
      <formula>"Recomendación"</formula>
    </cfRule>
    <cfRule type="cellIs" dxfId="3" priority="5" operator="equal">
      <formula>"No Conformidad"</formula>
    </cfRule>
  </conditionalFormatting>
  <conditionalFormatting sqref="P3:Q3">
    <cfRule type="cellIs" dxfId="2" priority="1" operator="equal">
      <formula>"Cerrada"</formula>
    </cfRule>
    <cfRule type="cellIs" dxfId="1" priority="2" operator="equal">
      <formula>"Abierta"</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4"/>
  <sheetViews>
    <sheetView topLeftCell="A19" zoomScaleNormal="100" workbookViewId="0">
      <selection activeCell="B44" sqref="B44"/>
    </sheetView>
  </sheetViews>
  <sheetFormatPr baseColWidth="10" defaultRowHeight="14.25" x14ac:dyDescent="0.2"/>
  <cols>
    <col min="1" max="1" width="18.42578125" style="633" customWidth="1"/>
    <col min="2" max="2" width="18.28515625" style="633" customWidth="1"/>
    <col min="3" max="3" width="73.140625" style="633" customWidth="1"/>
    <col min="4" max="4" width="46.42578125" style="633" customWidth="1"/>
    <col min="5" max="16384" width="11.42578125" style="633"/>
  </cols>
  <sheetData>
    <row r="1" spans="1:4" ht="15" x14ac:dyDescent="0.25">
      <c r="A1" s="635" t="s">
        <v>862</v>
      </c>
    </row>
    <row r="2" spans="1:4" ht="15" x14ac:dyDescent="0.25">
      <c r="A2" s="634" t="s">
        <v>863</v>
      </c>
    </row>
    <row r="3" spans="1:4" x14ac:dyDescent="0.2">
      <c r="A3" s="671" t="s">
        <v>1146</v>
      </c>
    </row>
    <row r="4" spans="1:4" ht="15" x14ac:dyDescent="0.25">
      <c r="A4" s="663" t="s">
        <v>1149</v>
      </c>
      <c r="B4" s="635" t="s">
        <v>979</v>
      </c>
      <c r="D4" s="668" t="s">
        <v>1116</v>
      </c>
    </row>
    <row r="5" spans="1:4" ht="15" x14ac:dyDescent="0.25">
      <c r="B5" s="635" t="s">
        <v>1147</v>
      </c>
      <c r="C5" s="635" t="s">
        <v>864</v>
      </c>
      <c r="D5" s="635" t="s">
        <v>865</v>
      </c>
    </row>
    <row r="6" spans="1:4" x14ac:dyDescent="0.2">
      <c r="A6" s="633">
        <v>1</v>
      </c>
      <c r="B6" s="633" t="s">
        <v>1041</v>
      </c>
      <c r="C6" s="633" t="s">
        <v>1105</v>
      </c>
    </row>
    <row r="7" spans="1:4" x14ac:dyDescent="0.2">
      <c r="A7" s="633">
        <v>2</v>
      </c>
      <c r="B7" s="633" t="s">
        <v>1083</v>
      </c>
      <c r="C7" s="633" t="s">
        <v>1111</v>
      </c>
    </row>
    <row r="8" spans="1:4" x14ac:dyDescent="0.2">
      <c r="A8" s="633">
        <v>3</v>
      </c>
      <c r="B8" s="633" t="s">
        <v>1085</v>
      </c>
      <c r="C8" s="633" t="s">
        <v>1106</v>
      </c>
    </row>
    <row r="9" spans="1:4" x14ac:dyDescent="0.2">
      <c r="A9" s="633">
        <v>4</v>
      </c>
      <c r="B9" s="633" t="s">
        <v>1087</v>
      </c>
      <c r="C9" s="633" t="s">
        <v>1108</v>
      </c>
    </row>
    <row r="10" spans="1:4" x14ac:dyDescent="0.2">
      <c r="A10" s="633">
        <v>5</v>
      </c>
      <c r="B10" s="633" t="s">
        <v>1089</v>
      </c>
      <c r="C10" s="633" t="s">
        <v>1114</v>
      </c>
    </row>
    <row r="11" spans="1:4" x14ac:dyDescent="0.2">
      <c r="A11" s="633">
        <v>6</v>
      </c>
      <c r="B11" s="633" t="s">
        <v>1091</v>
      </c>
      <c r="C11" s="633" t="s">
        <v>1115</v>
      </c>
    </row>
    <row r="12" spans="1:4" x14ac:dyDescent="0.2">
      <c r="A12" s="633">
        <v>7</v>
      </c>
      <c r="B12" s="633" t="s">
        <v>892</v>
      </c>
      <c r="C12" s="633" t="s">
        <v>1107</v>
      </c>
    </row>
    <row r="13" spans="1:4" x14ac:dyDescent="0.2">
      <c r="A13" s="633">
        <v>8</v>
      </c>
      <c r="B13" s="633" t="s">
        <v>900</v>
      </c>
      <c r="C13" s="633" t="s">
        <v>1110</v>
      </c>
    </row>
    <row r="14" spans="1:4" x14ac:dyDescent="0.2">
      <c r="A14" s="633">
        <v>9</v>
      </c>
      <c r="B14" s="633" t="s">
        <v>939</v>
      </c>
      <c r="C14" s="633" t="s">
        <v>1103</v>
      </c>
    </row>
    <row r="15" spans="1:4" x14ac:dyDescent="0.2">
      <c r="A15" s="633">
        <v>10</v>
      </c>
      <c r="B15" s="633" t="s">
        <v>943</v>
      </c>
      <c r="C15" s="633" t="s">
        <v>1109</v>
      </c>
    </row>
    <row r="16" spans="1:4" x14ac:dyDescent="0.2">
      <c r="A16" s="633">
        <v>11</v>
      </c>
      <c r="B16" s="633" t="s">
        <v>953</v>
      </c>
      <c r="C16" s="633" t="s">
        <v>1104</v>
      </c>
    </row>
    <row r="17" spans="1:4" x14ac:dyDescent="0.2">
      <c r="A17" s="672"/>
      <c r="B17" s="633" t="s">
        <v>1112</v>
      </c>
      <c r="C17" s="633" t="s">
        <v>1113</v>
      </c>
    </row>
    <row r="18" spans="1:4" x14ac:dyDescent="0.2">
      <c r="A18" s="672"/>
      <c r="B18" s="671" t="s">
        <v>1150</v>
      </c>
      <c r="C18" s="671" t="s">
        <v>1151</v>
      </c>
    </row>
    <row r="19" spans="1:4" ht="15" x14ac:dyDescent="0.25">
      <c r="A19" s="635" t="s">
        <v>1148</v>
      </c>
      <c r="B19" s="635" t="s">
        <v>981</v>
      </c>
      <c r="D19" s="671" t="s">
        <v>1119</v>
      </c>
    </row>
    <row r="20" spans="1:4" x14ac:dyDescent="0.2">
      <c r="A20" s="633">
        <v>1</v>
      </c>
      <c r="B20" s="671" t="s">
        <v>1037</v>
      </c>
      <c r="C20" s="671" t="s">
        <v>1142</v>
      </c>
    </row>
    <row r="21" spans="1:4" x14ac:dyDescent="0.2">
      <c r="A21" s="633">
        <v>2</v>
      </c>
      <c r="B21" s="671" t="s">
        <v>1047</v>
      </c>
      <c r="C21" s="671" t="s">
        <v>1126</v>
      </c>
    </row>
    <row r="22" spans="1:4" x14ac:dyDescent="0.2">
      <c r="A22" s="633">
        <v>3</v>
      </c>
      <c r="B22" s="668" t="s">
        <v>1049</v>
      </c>
      <c r="C22" s="668" t="s">
        <v>1123</v>
      </c>
    </row>
    <row r="23" spans="1:4" x14ac:dyDescent="0.2">
      <c r="A23" s="633">
        <v>4</v>
      </c>
      <c r="B23" s="671" t="s">
        <v>1051</v>
      </c>
      <c r="C23" s="671" t="s">
        <v>1127</v>
      </c>
    </row>
    <row r="24" spans="1:4" x14ac:dyDescent="0.2">
      <c r="A24" s="633">
        <v>5</v>
      </c>
      <c r="B24" s="671" t="s">
        <v>1053</v>
      </c>
      <c r="C24" s="671" t="s">
        <v>1128</v>
      </c>
    </row>
    <row r="25" spans="1:4" x14ac:dyDescent="0.2">
      <c r="A25" s="633">
        <v>6</v>
      </c>
      <c r="B25" s="671" t="s">
        <v>1055</v>
      </c>
      <c r="C25" s="671" t="s">
        <v>1139</v>
      </c>
    </row>
    <row r="26" spans="1:4" x14ac:dyDescent="0.2">
      <c r="A26" s="633">
        <v>7</v>
      </c>
      <c r="B26" s="671" t="s">
        <v>1057</v>
      </c>
      <c r="C26" s="671" t="s">
        <v>1140</v>
      </c>
    </row>
    <row r="27" spans="1:4" x14ac:dyDescent="0.2">
      <c r="A27" s="633">
        <v>8</v>
      </c>
      <c r="B27" s="671" t="s">
        <v>1063</v>
      </c>
      <c r="C27" s="671" t="s">
        <v>1129</v>
      </c>
    </row>
    <row r="28" spans="1:4" x14ac:dyDescent="0.2">
      <c r="A28" s="633">
        <v>9</v>
      </c>
      <c r="B28" s="671" t="s">
        <v>1065</v>
      </c>
      <c r="C28" s="668" t="s">
        <v>1122</v>
      </c>
    </row>
    <row r="29" spans="1:4" x14ac:dyDescent="0.2">
      <c r="A29" s="633">
        <v>10</v>
      </c>
      <c r="B29" s="671" t="s">
        <v>1069</v>
      </c>
      <c r="C29" s="671" t="s">
        <v>1137</v>
      </c>
    </row>
    <row r="30" spans="1:4" x14ac:dyDescent="0.2">
      <c r="A30" s="633">
        <v>11</v>
      </c>
      <c r="B30" s="671" t="s">
        <v>1097</v>
      </c>
      <c r="C30" s="671" t="s">
        <v>1124</v>
      </c>
    </row>
    <row r="31" spans="1:4" x14ac:dyDescent="0.2">
      <c r="A31" s="633">
        <v>12</v>
      </c>
      <c r="B31" s="671" t="s">
        <v>886</v>
      </c>
      <c r="C31" s="671" t="s">
        <v>1141</v>
      </c>
    </row>
    <row r="32" spans="1:4" x14ac:dyDescent="0.2">
      <c r="A32" s="633">
        <v>13</v>
      </c>
      <c r="B32" s="668" t="s">
        <v>892</v>
      </c>
      <c r="C32" s="668" t="s">
        <v>1120</v>
      </c>
    </row>
    <row r="33" spans="1:4" x14ac:dyDescent="0.2">
      <c r="A33" s="633">
        <v>14</v>
      </c>
      <c r="B33" s="671" t="s">
        <v>931</v>
      </c>
      <c r="C33" s="671" t="s">
        <v>1125</v>
      </c>
      <c r="D33" s="671" t="s">
        <v>1152</v>
      </c>
    </row>
    <row r="34" spans="1:4" x14ac:dyDescent="0.2">
      <c r="A34" s="633">
        <v>15</v>
      </c>
      <c r="B34" s="668" t="s">
        <v>937</v>
      </c>
      <c r="C34" s="668" t="s">
        <v>1121</v>
      </c>
    </row>
    <row r="35" spans="1:4" x14ac:dyDescent="0.2">
      <c r="A35" s="633">
        <v>16</v>
      </c>
      <c r="B35" s="671" t="s">
        <v>957</v>
      </c>
      <c r="C35" s="671" t="s">
        <v>1144</v>
      </c>
    </row>
    <row r="36" spans="1:4" x14ac:dyDescent="0.2">
      <c r="A36" s="633">
        <v>17</v>
      </c>
      <c r="B36" s="671" t="s">
        <v>986</v>
      </c>
      <c r="C36" s="671" t="s">
        <v>1136</v>
      </c>
    </row>
    <row r="37" spans="1:4" x14ac:dyDescent="0.2">
      <c r="A37" s="633">
        <v>18</v>
      </c>
      <c r="B37" s="671" t="s">
        <v>988</v>
      </c>
      <c r="C37" s="633" t="s">
        <v>1133</v>
      </c>
    </row>
    <row r="38" spans="1:4" x14ac:dyDescent="0.2">
      <c r="A38" s="633">
        <v>19</v>
      </c>
      <c r="B38" s="671" t="s">
        <v>990</v>
      </c>
      <c r="C38" s="671" t="s">
        <v>1135</v>
      </c>
    </row>
    <row r="39" spans="1:4" x14ac:dyDescent="0.2">
      <c r="A39" s="633">
        <v>20</v>
      </c>
      <c r="B39" s="671" t="s">
        <v>992</v>
      </c>
      <c r="C39" s="671" t="s">
        <v>1145</v>
      </c>
    </row>
    <row r="40" spans="1:4" x14ac:dyDescent="0.2">
      <c r="A40" s="633">
        <v>21</v>
      </c>
      <c r="B40" s="671" t="s">
        <v>994</v>
      </c>
      <c r="C40" s="671" t="s">
        <v>1143</v>
      </c>
    </row>
    <row r="41" spans="1:4" x14ac:dyDescent="0.2">
      <c r="A41" s="633">
        <v>22</v>
      </c>
      <c r="B41" s="671" t="s">
        <v>996</v>
      </c>
      <c r="C41" s="671" t="s">
        <v>1134</v>
      </c>
    </row>
    <row r="42" spans="1:4" x14ac:dyDescent="0.2">
      <c r="A42" s="633">
        <v>23</v>
      </c>
      <c r="B42" s="671" t="s">
        <v>998</v>
      </c>
      <c r="C42" s="671" t="s">
        <v>1132</v>
      </c>
    </row>
    <row r="43" spans="1:4" x14ac:dyDescent="0.2">
      <c r="B43" s="671" t="s">
        <v>972</v>
      </c>
      <c r="C43" s="671" t="s">
        <v>1138</v>
      </c>
    </row>
    <row r="44" spans="1:4" x14ac:dyDescent="0.2">
      <c r="B44" s="671" t="s">
        <v>1131</v>
      </c>
      <c r="C44" s="671" t="s">
        <v>1130</v>
      </c>
    </row>
  </sheetData>
  <sortState ref="B22:C58">
    <sortCondition ref="B22:B58"/>
  </sortState>
  <pageMargins left="1.1417322834645669" right="0.31496062992125984" top="0.35433070866141736" bottom="0.43307086614173229" header="0.23622047244094491" footer="0.31496062992125984"/>
  <pageSetup paperSize="5" orientation="landscape" r:id="rId1"/>
  <headerFooter>
    <oddFooter xml:space="preserve">&amp;CHoja &amp;P de &amp;N&amp;R&amp;A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10</vt:i4>
      </vt:variant>
    </vt:vector>
  </HeadingPairs>
  <TitlesOfParts>
    <vt:vector size="20" baseType="lpstr">
      <vt:lpstr>Parametros</vt:lpstr>
      <vt:lpstr>PM FORMATO V1 Mar 2014</vt:lpstr>
      <vt:lpstr>recibo PM</vt:lpstr>
      <vt:lpstr>ControlCambiosHerra</vt:lpstr>
      <vt:lpstr>PM 2016</vt:lpstr>
      <vt:lpstr>coherencia</vt:lpstr>
      <vt:lpstr>HyRsinplan</vt:lpstr>
      <vt:lpstr>Hoja1</vt:lpstr>
      <vt:lpstr>Formatos Proced</vt:lpstr>
      <vt:lpstr>LMD MV 11Abr2016</vt:lpstr>
      <vt:lpstr>'Formatos Proced'!Área_de_impresión</vt:lpstr>
      <vt:lpstr>'LMD MV 11Abr2016'!Área_de_impresión</vt:lpstr>
      <vt:lpstr>'PM 2016'!Área_de_impresión</vt:lpstr>
      <vt:lpstr>Auditores</vt:lpstr>
      <vt:lpstr>Proceso</vt:lpstr>
      <vt:lpstr>'Formatos Proced'!Títulos_a_imprimir</vt:lpstr>
      <vt:lpstr>'LMD MV 11Abr2016'!Títulos_a_imprimir</vt:lpstr>
      <vt:lpstr>'PM 2016'!Títulos_a_imprimir</vt:lpstr>
      <vt:lpstr>'PM FORMATO V1 Mar 2014'!Títulos_a_imprimir</vt:lpstr>
      <vt:lpstr>'recibo PM'!Títulos_a_imprimir</vt:lpstr>
    </vt:vector>
  </TitlesOfParts>
  <Company>Caja de la Vivienda Popular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Plan Mejoramiento</dc:title>
  <dc:creator>CVP Control Interno</dc:creator>
  <cp:keywords>Seguimiento Plan de Mejoramiento</cp:keywords>
  <cp:lastModifiedBy>Claudia Marcela García</cp:lastModifiedBy>
  <cp:lastPrinted>2016-09-19T16:20:22Z</cp:lastPrinted>
  <dcterms:created xsi:type="dcterms:W3CDTF">2012-12-10T14:26:22Z</dcterms:created>
  <dcterms:modified xsi:type="dcterms:W3CDTF">2016-10-24T14:46:38Z</dcterms:modified>
</cp:coreProperties>
</file>