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serv-cv11\calidad\18. CONSOLIDADO PLANES DE MEJORAMIENTO\PROCESOS\2017\"/>
    </mc:Choice>
  </mc:AlternateContent>
  <bookViews>
    <workbookView xWindow="0" yWindow="0" windowWidth="20490" windowHeight="7530" firstSheet="2" activeTab="4"/>
  </bookViews>
  <sheets>
    <sheet name="Parametros" sheetId="16" state="hidden" r:id="rId1"/>
    <sheet name="PM FORMATO V1 Mar 2014" sheetId="17" state="hidden" r:id="rId2"/>
    <sheet name="recibo PM" sheetId="11" r:id="rId3"/>
    <sheet name="ControlCambiosHerra" sheetId="22" r:id="rId4"/>
    <sheet name="PM 2017" sheetId="18" r:id="rId5"/>
    <sheet name="coherencia" sheetId="20" r:id="rId6"/>
    <sheet name="HyRsinplan" sheetId="21" r:id="rId7"/>
    <sheet name="Resumen Vig2017" sheetId="23" r:id="rId8"/>
  </sheets>
  <externalReferences>
    <externalReference r:id="rId9"/>
  </externalReferences>
  <definedNames>
    <definedName name="_xlnm._FilterDatabase" localSheetId="6" hidden="1">HyRsinplan!$A$3:$K$36</definedName>
    <definedName name="_xlnm._FilterDatabase" localSheetId="4" hidden="1">'PM 2017'!$A$3:$Y$317</definedName>
    <definedName name="_xlnm._FilterDatabase" localSheetId="1" hidden="1">'PM FORMATO V1 Mar 2014'!$A$3:$R$129</definedName>
    <definedName name="Administración_de_la_Información">'PM 2017'!$B$231</definedName>
    <definedName name="_xlnm.Print_Area" localSheetId="4">'PM 2017'!$A$1:$T$299</definedName>
    <definedName name="_xlnm.Print_Area" localSheetId="7">'Resumen Vig2017'!$A$1:$M$19</definedName>
    <definedName name="Auditores">Parametros!$E$2:$E$15</definedName>
    <definedName name="Estado">'[1]LISTAS SOPORTE'!$A$2:$A$3</definedName>
    <definedName name="Proceso">Parametros!$A$2:$A$14</definedName>
    <definedName name="Procesos">#REF!</definedName>
    <definedName name="_xlnm.Print_Titles" localSheetId="4">'PM 2017'!$A:$B,'PM 2017'!$1:$3</definedName>
    <definedName name="_xlnm.Print_Titles" localSheetId="1">'PM FORMATO V1 Mar 2014'!$A:$B,'PM FORMATO V1 Mar 2014'!$1:$3</definedName>
    <definedName name="_xlnm.Print_Titles" localSheetId="2">'recibo PM'!$1:$1</definedName>
  </definedNames>
  <calcPr calcId="171027"/>
</workbook>
</file>

<file path=xl/calcChain.xml><?xml version="1.0" encoding="utf-8"?>
<calcChain xmlns="http://schemas.openxmlformats.org/spreadsheetml/2006/main">
  <c r="U276" i="18" l="1"/>
  <c r="U277" i="18"/>
  <c r="U278" i="18"/>
  <c r="U279" i="18"/>
  <c r="U280" i="18"/>
  <c r="U281" i="18"/>
  <c r="U282" i="18"/>
  <c r="U283" i="18"/>
  <c r="U284" i="18"/>
  <c r="U285" i="18"/>
  <c r="U286" i="18"/>
  <c r="U287" i="18"/>
  <c r="U288" i="18"/>
  <c r="U289" i="18"/>
  <c r="U290" i="18"/>
  <c r="U272" i="18"/>
  <c r="U273" i="18"/>
  <c r="U274" i="18"/>
  <c r="U275" i="18"/>
  <c r="U257" i="18"/>
  <c r="U258" i="18"/>
  <c r="U259" i="18"/>
  <c r="U260" i="18"/>
  <c r="U261" i="18"/>
  <c r="U262" i="18"/>
  <c r="U263" i="18"/>
  <c r="U264" i="18"/>
  <c r="U265" i="18"/>
  <c r="U266" i="18"/>
  <c r="U267" i="18"/>
  <c r="U268" i="18"/>
  <c r="U269" i="18"/>
  <c r="V269" i="18" s="1"/>
  <c r="U270" i="18"/>
  <c r="V270" i="18" s="1"/>
  <c r="U271" i="18"/>
  <c r="V271" i="18" s="1"/>
  <c r="V247" i="18"/>
  <c r="V248" i="18"/>
  <c r="V249" i="18"/>
  <c r="V250" i="18"/>
  <c r="V251" i="18"/>
  <c r="V252" i="18"/>
  <c r="V253" i="18"/>
  <c r="V254" i="18"/>
  <c r="V255" i="18"/>
  <c r="V257" i="18"/>
  <c r="V258" i="18"/>
  <c r="V259" i="18"/>
  <c r="V260" i="18"/>
  <c r="V261" i="18"/>
  <c r="V262" i="18"/>
  <c r="V263" i="18"/>
  <c r="V264" i="18"/>
  <c r="V265" i="18"/>
  <c r="V266" i="18"/>
  <c r="V267" i="18"/>
  <c r="V268" i="18"/>
  <c r="U244" i="18"/>
  <c r="V244" i="18" s="1"/>
  <c r="U245" i="18"/>
  <c r="V245" i="18" s="1"/>
  <c r="U246" i="18"/>
  <c r="V246" i="18" s="1"/>
  <c r="U243" i="18"/>
  <c r="V243" i="18" s="1"/>
  <c r="U143" i="18"/>
  <c r="U93" i="18"/>
  <c r="U87" i="18"/>
  <c r="U86" i="18"/>
  <c r="U55" i="18"/>
  <c r="U53" i="18"/>
  <c r="U49" i="18"/>
  <c r="U28" i="18"/>
  <c r="U18" i="18"/>
  <c r="U12" i="18"/>
  <c r="U234" i="18" l="1"/>
  <c r="V234" i="18" s="1"/>
  <c r="U235" i="18"/>
  <c r="V235" i="18" s="1"/>
  <c r="U236" i="18"/>
  <c r="V236" i="18" s="1"/>
  <c r="U237" i="18"/>
  <c r="V237" i="18" s="1"/>
  <c r="U238" i="18"/>
  <c r="V238" i="18" s="1"/>
  <c r="U226" i="18"/>
  <c r="V226" i="18" s="1"/>
  <c r="U227" i="18"/>
  <c r="V227" i="18" s="1"/>
  <c r="U228" i="18"/>
  <c r="V228" i="18" s="1"/>
  <c r="U229" i="18"/>
  <c r="V229" i="18" s="1"/>
  <c r="U230" i="18"/>
  <c r="V230" i="18" s="1"/>
  <c r="U231" i="18"/>
  <c r="V231" i="18" s="1"/>
  <c r="U232" i="18"/>
  <c r="V232" i="18" s="1"/>
  <c r="U233" i="18"/>
  <c r="V233" i="18" s="1"/>
  <c r="U222" i="18"/>
  <c r="V222" i="18" s="1"/>
  <c r="U220" i="18"/>
  <c r="V220" i="18" s="1"/>
  <c r="U219" i="18"/>
  <c r="V219" i="18" s="1"/>
  <c r="U211" i="18"/>
  <c r="U176" i="18"/>
  <c r="U172" i="18"/>
  <c r="V172" i="18" s="1"/>
  <c r="U171" i="18"/>
  <c r="V171" i="18" s="1"/>
  <c r="U166" i="18"/>
  <c r="V166" i="18" s="1"/>
  <c r="U164" i="18"/>
  <c r="V164" i="18" s="1"/>
  <c r="U162" i="18"/>
  <c r="U160" i="18"/>
  <c r="U158" i="18"/>
  <c r="U148" i="18"/>
  <c r="U146" i="18"/>
  <c r="U142" i="18"/>
  <c r="U141" i="18"/>
  <c r="U140" i="18"/>
  <c r="U139" i="18"/>
  <c r="U126" i="18"/>
  <c r="U125" i="18"/>
  <c r="U124" i="18"/>
  <c r="U120" i="18"/>
  <c r="U117" i="18"/>
  <c r="U109" i="18"/>
  <c r="U106" i="18"/>
  <c r="U102" i="18"/>
  <c r="U98" i="18"/>
  <c r="U84" i="18"/>
  <c r="U79" i="18"/>
  <c r="U75" i="18"/>
  <c r="U73" i="18"/>
  <c r="U69" i="18"/>
  <c r="U67" i="18"/>
  <c r="U59" i="18"/>
  <c r="U33" i="18"/>
  <c r="A10" i="18" l="1"/>
  <c r="U193" i="18"/>
  <c r="U191" i="18"/>
  <c r="U189" i="18"/>
  <c r="U187" i="18"/>
  <c r="U183" i="18"/>
  <c r="U4" i="18"/>
  <c r="C19" i="23" l="1"/>
  <c r="A175" i="18" l="1"/>
  <c r="K323" i="18" l="1"/>
  <c r="A21" i="18" l="1"/>
  <c r="A22" i="18" s="1"/>
  <c r="A23" i="18" s="1"/>
  <c r="A24" i="18" s="1"/>
  <c r="A25" i="18" s="1"/>
  <c r="A26" i="18" s="1"/>
  <c r="A27" i="18" s="1"/>
  <c r="U174" i="18" l="1"/>
  <c r="V174" i="18" s="1"/>
  <c r="W174" i="18"/>
  <c r="W164" i="18" l="1"/>
  <c r="W162" i="18"/>
  <c r="W160" i="18"/>
  <c r="V160" i="18"/>
  <c r="N309" i="18" l="1"/>
  <c r="W224" i="18" l="1"/>
  <c r="U224" i="18"/>
  <c r="V224" i="18" s="1"/>
  <c r="W223" i="18"/>
  <c r="U223" i="18"/>
  <c r="V223" i="18" s="1"/>
  <c r="W221" i="18"/>
  <c r="U221" i="18"/>
  <c r="V221" i="18" s="1"/>
  <c r="W218" i="18"/>
  <c r="U218" i="18"/>
  <c r="V218" i="18" s="1"/>
  <c r="W217" i="18"/>
  <c r="U217" i="18"/>
  <c r="W216" i="18"/>
  <c r="U216" i="18"/>
  <c r="W215" i="18"/>
  <c r="U215" i="18"/>
  <c r="W214" i="18"/>
  <c r="U214" i="18"/>
  <c r="W213" i="18"/>
  <c r="U213" i="18"/>
  <c r="W212" i="18"/>
  <c r="U212" i="18"/>
  <c r="W206" i="18" l="1"/>
  <c r="U206" i="18"/>
  <c r="V206" i="18" s="1"/>
  <c r="W205" i="18"/>
  <c r="U205" i="18"/>
  <c r="V205" i="18" s="1"/>
  <c r="W204" i="18"/>
  <c r="U204" i="18"/>
  <c r="V204" i="18" s="1"/>
  <c r="W208" i="18" l="1"/>
  <c r="U208" i="18"/>
  <c r="V208" i="18" s="1"/>
  <c r="W210" i="18"/>
  <c r="U210" i="18"/>
  <c r="V210" i="18" s="1"/>
  <c r="W209" i="18"/>
  <c r="U209" i="18"/>
  <c r="V209" i="18" s="1"/>
  <c r="W88" i="18"/>
  <c r="U88" i="18"/>
  <c r="V88" i="18" s="1"/>
  <c r="W87" i="18"/>
  <c r="V87" i="18"/>
  <c r="W86" i="18"/>
  <c r="V86" i="18"/>
  <c r="W89" i="18"/>
  <c r="U89" i="18"/>
  <c r="V89" i="18" s="1"/>
  <c r="W85" i="18"/>
  <c r="U85" i="18"/>
  <c r="V85" i="18" s="1"/>
  <c r="W256" i="18" l="1"/>
  <c r="U256" i="18"/>
  <c r="V256" i="18" s="1"/>
  <c r="W225" i="18"/>
  <c r="U225" i="18"/>
  <c r="V225" i="18" s="1"/>
  <c r="W207" i="18"/>
  <c r="U207" i="18"/>
  <c r="V207" i="18" s="1"/>
  <c r="W203" i="18"/>
  <c r="U203" i="18"/>
  <c r="V203" i="18" s="1"/>
  <c r="W202" i="18"/>
  <c r="U202" i="18"/>
  <c r="V202" i="18" s="1"/>
  <c r="W201" i="18"/>
  <c r="U201" i="18"/>
  <c r="V201" i="18" s="1"/>
  <c r="W200" i="18"/>
  <c r="U200" i="18"/>
  <c r="V200" i="18" s="1"/>
  <c r="W199" i="18"/>
  <c r="U199" i="18"/>
  <c r="V199" i="18" s="1"/>
  <c r="W198" i="18"/>
  <c r="U198" i="18"/>
  <c r="V198" i="18" s="1"/>
  <c r="W197" i="18"/>
  <c r="U197" i="18"/>
  <c r="V197" i="18" s="1"/>
  <c r="W196" i="18"/>
  <c r="U196" i="18"/>
  <c r="V196" i="18" s="1"/>
  <c r="Y293" i="18" l="1"/>
  <c r="D323" i="18"/>
  <c r="W178" i="18" l="1"/>
  <c r="U178" i="18"/>
  <c r="V178" i="18" s="1"/>
  <c r="W177" i="18"/>
  <c r="U177" i="18"/>
  <c r="V177" i="18" s="1"/>
  <c r="D330" i="18" l="1"/>
  <c r="D315" i="18"/>
  <c r="W195" i="18"/>
  <c r="U195" i="18"/>
  <c r="V195" i="18" s="1"/>
  <c r="W190" i="18"/>
  <c r="U190" i="18"/>
  <c r="V190" i="18" s="1"/>
  <c r="W80" i="18" l="1"/>
  <c r="U80" i="18"/>
  <c r="V80" i="18" s="1"/>
  <c r="W35" i="18"/>
  <c r="U35" i="18"/>
  <c r="V35" i="18" s="1"/>
  <c r="W34" i="18"/>
  <c r="U34" i="18"/>
  <c r="V34" i="18" s="1"/>
  <c r="W33" i="18"/>
  <c r="V33" i="18"/>
  <c r="W194" i="18" l="1"/>
  <c r="U194" i="18"/>
  <c r="V194" i="18" s="1"/>
  <c r="W192" i="18"/>
  <c r="U192" i="18"/>
  <c r="V192" i="18" s="1"/>
  <c r="W193" i="18"/>
  <c r="V193" i="18"/>
  <c r="W191" i="18"/>
  <c r="V191" i="18"/>
  <c r="W189" i="18"/>
  <c r="V189" i="18"/>
  <c r="W188" i="18"/>
  <c r="U188" i="18"/>
  <c r="V188" i="18" s="1"/>
  <c r="W187" i="18"/>
  <c r="V187" i="18"/>
  <c r="W186" i="18" l="1"/>
  <c r="U186" i="18"/>
  <c r="V186" i="18" s="1"/>
  <c r="W185" i="18"/>
  <c r="U185" i="18"/>
  <c r="V185" i="18" s="1"/>
  <c r="W184" i="18"/>
  <c r="U184" i="18"/>
  <c r="V184" i="18" s="1"/>
  <c r="W183" i="18"/>
  <c r="V183" i="18"/>
  <c r="W182" i="18"/>
  <c r="U182" i="18"/>
  <c r="V182" i="18" s="1"/>
  <c r="W181" i="18"/>
  <c r="U181" i="18"/>
  <c r="V181" i="18" s="1"/>
  <c r="D297" i="18" l="1"/>
  <c r="E326" i="18" l="1"/>
  <c r="D326" i="18"/>
  <c r="W180" i="18"/>
  <c r="U180" i="18"/>
  <c r="V180" i="18" s="1"/>
  <c r="W153" i="18"/>
  <c r="U153" i="18"/>
  <c r="V153" i="18" s="1"/>
  <c r="W152" i="18"/>
  <c r="U152" i="18"/>
  <c r="V152" i="18" s="1"/>
  <c r="W151" i="18"/>
  <c r="U151" i="18"/>
  <c r="V151" i="18" s="1"/>
  <c r="W150" i="18"/>
  <c r="U150" i="18"/>
  <c r="V150" i="18" s="1"/>
  <c r="W149" i="18"/>
  <c r="U149" i="18"/>
  <c r="V149" i="18" s="1"/>
  <c r="W148" i="18"/>
  <c r="V148" i="18"/>
  <c r="W147" i="18"/>
  <c r="U147" i="18"/>
  <c r="V147" i="18" s="1"/>
  <c r="W146" i="18"/>
  <c r="V146" i="18"/>
  <c r="W76" i="18"/>
  <c r="U76" i="18"/>
  <c r="V76" i="18" s="1"/>
  <c r="W75" i="18"/>
  <c r="V75" i="18"/>
  <c r="W168" i="18"/>
  <c r="U168" i="18"/>
  <c r="V168" i="18" s="1"/>
  <c r="W167" i="18"/>
  <c r="U167" i="18"/>
  <c r="V167" i="18" s="1"/>
  <c r="W165" i="18"/>
  <c r="U165" i="18"/>
  <c r="V165" i="18" s="1"/>
  <c r="W163" i="18"/>
  <c r="U163" i="18"/>
  <c r="V163" i="18" s="1"/>
  <c r="W161" i="18"/>
  <c r="U161" i="18"/>
  <c r="V161" i="18" s="1"/>
  <c r="W159" i="18"/>
  <c r="U159" i="18"/>
  <c r="V159" i="18" s="1"/>
  <c r="W157" i="18"/>
  <c r="U157" i="18"/>
  <c r="V157" i="18" s="1"/>
  <c r="W156" i="18"/>
  <c r="U156" i="18"/>
  <c r="V156" i="18" s="1"/>
  <c r="W155" i="18"/>
  <c r="U155" i="18"/>
  <c r="V155" i="18" s="1"/>
  <c r="W154" i="18"/>
  <c r="U154" i="18"/>
  <c r="V154" i="18" s="1"/>
  <c r="W170" i="18"/>
  <c r="U170" i="18"/>
  <c r="V170" i="18" s="1"/>
  <c r="W169" i="18"/>
  <c r="U169" i="18"/>
  <c r="V169" i="18" s="1"/>
  <c r="U173" i="18"/>
  <c r="V173" i="18" s="1"/>
  <c r="W173" i="18"/>
  <c r="P315" i="18"/>
  <c r="F16" i="23" s="1"/>
  <c r="P314" i="18"/>
  <c r="F15" i="23" s="1"/>
  <c r="P313" i="18"/>
  <c r="F14" i="23" s="1"/>
  <c r="P312" i="18"/>
  <c r="F13" i="23" s="1"/>
  <c r="P311" i="18"/>
  <c r="F12" i="23" s="1"/>
  <c r="P310" i="18"/>
  <c r="F11" i="23" s="1"/>
  <c r="P309" i="18"/>
  <c r="F10" i="23" s="1"/>
  <c r="P308" i="18"/>
  <c r="F9" i="23" s="1"/>
  <c r="P307" i="18"/>
  <c r="F8" i="23" s="1"/>
  <c r="P306" i="18"/>
  <c r="F7" i="23" s="1"/>
  <c r="P305" i="18"/>
  <c r="F6" i="23" s="1"/>
  <c r="P304" i="18"/>
  <c r="F5" i="23" s="1"/>
  <c r="P303" i="18"/>
  <c r="F4" i="23" s="1"/>
  <c r="I315" i="18"/>
  <c r="I314" i="18"/>
  <c r="I313" i="18"/>
  <c r="I312" i="18"/>
  <c r="I311" i="18"/>
  <c r="I310" i="18"/>
  <c r="I309" i="18"/>
  <c r="I308" i="18"/>
  <c r="I307" i="18"/>
  <c r="I306" i="18"/>
  <c r="I305" i="18"/>
  <c r="I304" i="18"/>
  <c r="I303" i="18"/>
  <c r="L297" i="18"/>
  <c r="L296" i="18"/>
  <c r="L295" i="18"/>
  <c r="D314" i="18"/>
  <c r="D313" i="18"/>
  <c r="D312" i="18"/>
  <c r="D311" i="18"/>
  <c r="D310" i="18"/>
  <c r="D309" i="18"/>
  <c r="D308" i="18"/>
  <c r="D307" i="18"/>
  <c r="D306" i="18"/>
  <c r="D305" i="18"/>
  <c r="D304" i="18"/>
  <c r="D303" i="18"/>
  <c r="E310" i="18"/>
  <c r="E303" i="18"/>
  <c r="W179" i="18"/>
  <c r="U179" i="18"/>
  <c r="V179" i="18" s="1"/>
  <c r="W176" i="18"/>
  <c r="V176" i="18"/>
  <c r="W175" i="18"/>
  <c r="U175" i="18"/>
  <c r="V175" i="18" s="1"/>
  <c r="W145" i="18"/>
  <c r="U145" i="18"/>
  <c r="V145" i="18" s="1"/>
  <c r="W144" i="18"/>
  <c r="U144" i="18"/>
  <c r="V144" i="18" s="1"/>
  <c r="K297" i="18"/>
  <c r="J297" i="18"/>
  <c r="I297" i="18"/>
  <c r="V141" i="18"/>
  <c r="V143" i="18"/>
  <c r="W141" i="18"/>
  <c r="W139" i="18"/>
  <c r="W142" i="18"/>
  <c r="W116" i="18"/>
  <c r="U116" i="18"/>
  <c r="V116" i="18" s="1"/>
  <c r="W83" i="18"/>
  <c r="U83" i="18"/>
  <c r="V83" i="18" s="1"/>
  <c r="K331" i="18"/>
  <c r="L12" i="23" s="1"/>
  <c r="L331" i="18"/>
  <c r="M12" i="23" s="1"/>
  <c r="K332" i="18"/>
  <c r="L13" i="23" s="1"/>
  <c r="L332" i="18"/>
  <c r="M13" i="23" s="1"/>
  <c r="K333" i="18"/>
  <c r="L14" i="23" s="1"/>
  <c r="L333" i="18"/>
  <c r="M14" i="23" s="1"/>
  <c r="K334" i="18"/>
  <c r="L15" i="23" s="1"/>
  <c r="L334" i="18"/>
  <c r="M15" i="23" s="1"/>
  <c r="K335" i="18"/>
  <c r="L16" i="23" s="1"/>
  <c r="L335" i="18"/>
  <c r="M16" i="23" s="1"/>
  <c r="K330" i="18"/>
  <c r="L11" i="23" s="1"/>
  <c r="L330" i="18"/>
  <c r="M11" i="23" s="1"/>
  <c r="E330" i="18"/>
  <c r="F330" i="18"/>
  <c r="G330" i="18"/>
  <c r="C310" i="18"/>
  <c r="F310" i="18"/>
  <c r="G310" i="18"/>
  <c r="L310" i="18"/>
  <c r="I11" i="23" s="1"/>
  <c r="M310" i="18"/>
  <c r="J11" i="23" s="1"/>
  <c r="N310" i="18"/>
  <c r="D11" i="23" s="1"/>
  <c r="O310" i="18"/>
  <c r="E11" i="23" s="1"/>
  <c r="Q310" i="18"/>
  <c r="G11" i="23" s="1"/>
  <c r="R310" i="18"/>
  <c r="H11" i="23" s="1"/>
  <c r="W140" i="18"/>
  <c r="A5" i="2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W30" i="18"/>
  <c r="U30" i="18"/>
  <c r="V30" i="18" s="1"/>
  <c r="W29" i="18"/>
  <c r="U29" i="18"/>
  <c r="V29" i="18" s="1"/>
  <c r="W28" i="18"/>
  <c r="V28" i="18"/>
  <c r="W123" i="18"/>
  <c r="U123" i="18"/>
  <c r="W122" i="18"/>
  <c r="U122" i="18"/>
  <c r="W121" i="18"/>
  <c r="U121" i="18"/>
  <c r="W125" i="18"/>
  <c r="W124" i="18"/>
  <c r="W143" i="18"/>
  <c r="W133" i="18"/>
  <c r="U133" i="18"/>
  <c r="V133" i="18" s="1"/>
  <c r="W132" i="18"/>
  <c r="U132" i="18"/>
  <c r="V132" i="18" s="1"/>
  <c r="W131" i="18"/>
  <c r="U131" i="18"/>
  <c r="V131" i="18" s="1"/>
  <c r="W82" i="18"/>
  <c r="U82" i="18"/>
  <c r="V82" i="18" s="1"/>
  <c r="U130" i="18"/>
  <c r="V130" i="18" s="1"/>
  <c r="U129" i="18"/>
  <c r="V129" i="18" s="1"/>
  <c r="U128" i="18"/>
  <c r="U127" i="18"/>
  <c r="W130" i="18"/>
  <c r="W129" i="18"/>
  <c r="W128" i="18"/>
  <c r="W127" i="18"/>
  <c r="W126" i="18"/>
  <c r="W117" i="18"/>
  <c r="V117" i="18"/>
  <c r="U134" i="18"/>
  <c r="V134" i="18" s="1"/>
  <c r="U135" i="18"/>
  <c r="V135" i="18" s="1"/>
  <c r="U136" i="18"/>
  <c r="V136" i="18" s="1"/>
  <c r="U137" i="18"/>
  <c r="V137" i="18" s="1"/>
  <c r="U138" i="18"/>
  <c r="V138" i="18" s="1"/>
  <c r="W138" i="18"/>
  <c r="W137" i="18"/>
  <c r="W136" i="18"/>
  <c r="W135" i="18"/>
  <c r="W134" i="18"/>
  <c r="W114" i="18"/>
  <c r="U114" i="18"/>
  <c r="V114" i="18" s="1"/>
  <c r="W113" i="18"/>
  <c r="U113" i="18"/>
  <c r="W112" i="18"/>
  <c r="U112" i="18"/>
  <c r="V112" i="18" s="1"/>
  <c r="W111" i="18"/>
  <c r="U111" i="18"/>
  <c r="V111" i="18" s="1"/>
  <c r="W110" i="18"/>
  <c r="U110" i="18"/>
  <c r="V110" i="18" s="1"/>
  <c r="W108" i="18"/>
  <c r="U108" i="18"/>
  <c r="V108" i="18" s="1"/>
  <c r="W107" i="18"/>
  <c r="U107" i="18"/>
  <c r="V107" i="18" s="1"/>
  <c r="W105" i="18"/>
  <c r="U105" i="18"/>
  <c r="V105" i="18" s="1"/>
  <c r="W104" i="18"/>
  <c r="U104" i="18"/>
  <c r="V104" i="18" s="1"/>
  <c r="W103" i="18"/>
  <c r="U103" i="18"/>
  <c r="V103" i="18" s="1"/>
  <c r="W59" i="18"/>
  <c r="V59" i="18"/>
  <c r="W63" i="18"/>
  <c r="U63" i="18"/>
  <c r="V63" i="18" s="1"/>
  <c r="W62" i="18"/>
  <c r="U62" i="18"/>
  <c r="V62" i="18" s="1"/>
  <c r="W61" i="18"/>
  <c r="U61" i="18"/>
  <c r="V61" i="18" s="1"/>
  <c r="W60" i="18"/>
  <c r="U60" i="18"/>
  <c r="V60" i="18" s="1"/>
  <c r="W99" i="18"/>
  <c r="U99" i="18"/>
  <c r="V99" i="18" s="1"/>
  <c r="W119" i="18"/>
  <c r="U119" i="18"/>
  <c r="V119" i="18" s="1"/>
  <c r="W118" i="18"/>
  <c r="U118" i="18"/>
  <c r="V118" i="18" s="1"/>
  <c r="W96" i="18"/>
  <c r="U96" i="18"/>
  <c r="V96" i="18" s="1"/>
  <c r="W95" i="18"/>
  <c r="U95" i="18"/>
  <c r="V95" i="18" s="1"/>
  <c r="W94" i="18"/>
  <c r="U94" i="18"/>
  <c r="V94" i="18" s="1"/>
  <c r="W93" i="18"/>
  <c r="V93" i="18"/>
  <c r="W91" i="18"/>
  <c r="U91" i="18"/>
  <c r="V91" i="18" s="1"/>
  <c r="W120" i="18"/>
  <c r="V120" i="18"/>
  <c r="W115" i="18"/>
  <c r="U115" i="18"/>
  <c r="V115" i="18" s="1"/>
  <c r="W109" i="18"/>
  <c r="V109" i="18"/>
  <c r="W106" i="18"/>
  <c r="V106" i="18"/>
  <c r="W102" i="18"/>
  <c r="V102" i="18"/>
  <c r="W101" i="18"/>
  <c r="U101" i="18"/>
  <c r="V101" i="18" s="1"/>
  <c r="W100" i="18"/>
  <c r="U100" i="18"/>
  <c r="V100" i="18" s="1"/>
  <c r="W98" i="18"/>
  <c r="V98" i="18"/>
  <c r="W97" i="18"/>
  <c r="U97" i="18"/>
  <c r="V97" i="18" s="1"/>
  <c r="W92" i="18"/>
  <c r="U92" i="18"/>
  <c r="V92" i="18" s="1"/>
  <c r="W90" i="18"/>
  <c r="U90" i="18"/>
  <c r="V90" i="18" s="1"/>
  <c r="W84" i="18"/>
  <c r="V84" i="18"/>
  <c r="U7" i="18"/>
  <c r="V7" i="18" s="1"/>
  <c r="W74" i="18"/>
  <c r="U74" i="18"/>
  <c r="V74" i="18" s="1"/>
  <c r="W73" i="18"/>
  <c r="V73" i="18"/>
  <c r="W72" i="18"/>
  <c r="U72" i="18"/>
  <c r="V72" i="18" s="1"/>
  <c r="W71" i="18"/>
  <c r="U71" i="18"/>
  <c r="V71" i="18" s="1"/>
  <c r="W70" i="18"/>
  <c r="U70" i="18"/>
  <c r="V70" i="18" s="1"/>
  <c r="W69" i="18"/>
  <c r="V69" i="18"/>
  <c r="W68" i="18"/>
  <c r="U68" i="18"/>
  <c r="V68" i="18" s="1"/>
  <c r="W67" i="18"/>
  <c r="V67" i="18"/>
  <c r="W66" i="18"/>
  <c r="U66" i="18"/>
  <c r="V66" i="18" s="1"/>
  <c r="W65" i="18"/>
  <c r="U65" i="18"/>
  <c r="V65" i="18" s="1"/>
  <c r="W78" i="18"/>
  <c r="U78" i="18"/>
  <c r="V78" i="18" s="1"/>
  <c r="W81" i="18"/>
  <c r="U81" i="18"/>
  <c r="V81" i="18" s="1"/>
  <c r="W79" i="18"/>
  <c r="W77" i="18"/>
  <c r="U77" i="18"/>
  <c r="V77" i="18" s="1"/>
  <c r="G315" i="18"/>
  <c r="F315" i="18"/>
  <c r="E315" i="18"/>
  <c r="C315" i="18"/>
  <c r="G314" i="18"/>
  <c r="F314" i="18"/>
  <c r="E314" i="18"/>
  <c r="C314" i="18"/>
  <c r="G313" i="18"/>
  <c r="F313" i="18"/>
  <c r="E313" i="18"/>
  <c r="C313" i="18"/>
  <c r="G312" i="18"/>
  <c r="F312" i="18"/>
  <c r="E312" i="18"/>
  <c r="C312" i="18"/>
  <c r="G311" i="18"/>
  <c r="F311" i="18"/>
  <c r="E311" i="18"/>
  <c r="C311" i="18"/>
  <c r="G309" i="18"/>
  <c r="F309" i="18"/>
  <c r="E309" i="18"/>
  <c r="C309" i="18"/>
  <c r="G308" i="18"/>
  <c r="F308" i="18"/>
  <c r="E308" i="18"/>
  <c r="C308" i="18"/>
  <c r="G307" i="18"/>
  <c r="F307" i="18"/>
  <c r="E307" i="18"/>
  <c r="C307" i="18"/>
  <c r="G306" i="18"/>
  <c r="F306" i="18"/>
  <c r="E306" i="18"/>
  <c r="C306" i="18"/>
  <c r="G305" i="18"/>
  <c r="F305" i="18"/>
  <c r="E305" i="18"/>
  <c r="C305" i="18"/>
  <c r="E304" i="18"/>
  <c r="C304" i="18"/>
  <c r="G303" i="18"/>
  <c r="F303" i="18"/>
  <c r="C303" i="18"/>
  <c r="R315" i="18"/>
  <c r="H16" i="23" s="1"/>
  <c r="Q315" i="18"/>
  <c r="G16" i="23" s="1"/>
  <c r="O315" i="18"/>
  <c r="E16" i="23" s="1"/>
  <c r="N315" i="18"/>
  <c r="D16" i="23" s="1"/>
  <c r="R314" i="18"/>
  <c r="H15" i="23" s="1"/>
  <c r="Q314" i="18"/>
  <c r="G15" i="23" s="1"/>
  <c r="O314" i="18"/>
  <c r="E15" i="23" s="1"/>
  <c r="N314" i="18"/>
  <c r="D15" i="23" s="1"/>
  <c r="R313" i="18"/>
  <c r="H14" i="23" s="1"/>
  <c r="Q313" i="18"/>
  <c r="G14" i="23" s="1"/>
  <c r="O313" i="18"/>
  <c r="E14" i="23" s="1"/>
  <c r="N313" i="18"/>
  <c r="D14" i="23" s="1"/>
  <c r="R312" i="18"/>
  <c r="H13" i="23" s="1"/>
  <c r="Q312" i="18"/>
  <c r="G13" i="23" s="1"/>
  <c r="O312" i="18"/>
  <c r="E13" i="23" s="1"/>
  <c r="N312" i="18"/>
  <c r="D13" i="23" s="1"/>
  <c r="R311" i="18"/>
  <c r="H12" i="23" s="1"/>
  <c r="Q311" i="18"/>
  <c r="G12" i="23" s="1"/>
  <c r="O311" i="18"/>
  <c r="E12" i="23" s="1"/>
  <c r="N311" i="18"/>
  <c r="D12" i="23" s="1"/>
  <c r="R309" i="18"/>
  <c r="H10" i="23" s="1"/>
  <c r="Q309" i="18"/>
  <c r="G10" i="23" s="1"/>
  <c r="O309" i="18"/>
  <c r="E10" i="23" s="1"/>
  <c r="D10" i="23"/>
  <c r="R308" i="18"/>
  <c r="H9" i="23" s="1"/>
  <c r="Q308" i="18"/>
  <c r="G9" i="23" s="1"/>
  <c r="O308" i="18"/>
  <c r="E9" i="23" s="1"/>
  <c r="N308" i="18"/>
  <c r="D9" i="23" s="1"/>
  <c r="R307" i="18"/>
  <c r="H8" i="23" s="1"/>
  <c r="Q307" i="18"/>
  <c r="G8" i="23" s="1"/>
  <c r="O307" i="18"/>
  <c r="E8" i="23" s="1"/>
  <c r="N307" i="18"/>
  <c r="D8" i="23" s="1"/>
  <c r="R306" i="18"/>
  <c r="H7" i="23" s="1"/>
  <c r="Q306" i="18"/>
  <c r="G7" i="23" s="1"/>
  <c r="O306" i="18"/>
  <c r="E7" i="23" s="1"/>
  <c r="N306" i="18"/>
  <c r="D7" i="23" s="1"/>
  <c r="R305" i="18"/>
  <c r="H6" i="23" s="1"/>
  <c r="Q305" i="18"/>
  <c r="G6" i="23" s="1"/>
  <c r="O305" i="18"/>
  <c r="E6" i="23" s="1"/>
  <c r="N305" i="18"/>
  <c r="D6" i="23" s="1"/>
  <c r="M315" i="18"/>
  <c r="J16" i="23" s="1"/>
  <c r="L315" i="18"/>
  <c r="I16" i="23" s="1"/>
  <c r="M314" i="18"/>
  <c r="J15" i="23" s="1"/>
  <c r="L314" i="18"/>
  <c r="I15" i="23" s="1"/>
  <c r="M313" i="18"/>
  <c r="J14" i="23" s="1"/>
  <c r="L313" i="18"/>
  <c r="I14" i="23" s="1"/>
  <c r="M312" i="18"/>
  <c r="J13" i="23" s="1"/>
  <c r="L312" i="18"/>
  <c r="I13" i="23" s="1"/>
  <c r="M311" i="18"/>
  <c r="J12" i="23" s="1"/>
  <c r="L311" i="18"/>
  <c r="I12" i="23" s="1"/>
  <c r="M309" i="18"/>
  <c r="J10" i="23" s="1"/>
  <c r="L309" i="18"/>
  <c r="I10" i="23" s="1"/>
  <c r="M308" i="18"/>
  <c r="J9" i="23" s="1"/>
  <c r="L308" i="18"/>
  <c r="I9" i="23" s="1"/>
  <c r="M307" i="18"/>
  <c r="J8" i="23" s="1"/>
  <c r="L307" i="18"/>
  <c r="I8" i="23" s="1"/>
  <c r="M306" i="18"/>
  <c r="J7" i="23" s="1"/>
  <c r="L306" i="18"/>
  <c r="I7" i="23" s="1"/>
  <c r="M305" i="18"/>
  <c r="J6" i="23" s="1"/>
  <c r="L305" i="18"/>
  <c r="I6" i="23" s="1"/>
  <c r="R304" i="18"/>
  <c r="H5" i="23" s="1"/>
  <c r="Q304" i="18"/>
  <c r="G5" i="23" s="1"/>
  <c r="O304" i="18"/>
  <c r="E5" i="23" s="1"/>
  <c r="N304" i="18"/>
  <c r="D5" i="23" s="1"/>
  <c r="M304" i="18"/>
  <c r="J5" i="23" s="1"/>
  <c r="L304" i="18"/>
  <c r="I5" i="23" s="1"/>
  <c r="R303" i="18"/>
  <c r="H4" i="23" s="1"/>
  <c r="Q303" i="18"/>
  <c r="G4" i="23" s="1"/>
  <c r="O303" i="18"/>
  <c r="E4" i="23" s="1"/>
  <c r="N303" i="18"/>
  <c r="D4" i="23" s="1"/>
  <c r="M303" i="18"/>
  <c r="J4" i="23" s="1"/>
  <c r="L303" i="18"/>
  <c r="I4" i="23" s="1"/>
  <c r="G335" i="18"/>
  <c r="F335" i="18"/>
  <c r="G334" i="18"/>
  <c r="F334" i="18"/>
  <c r="G333" i="18"/>
  <c r="F333" i="18"/>
  <c r="G332" i="18"/>
  <c r="F332" i="18"/>
  <c r="G331" i="18"/>
  <c r="F331" i="18"/>
  <c r="G329" i="18"/>
  <c r="F329" i="18"/>
  <c r="G328" i="18"/>
  <c r="F328" i="18"/>
  <c r="G327" i="18"/>
  <c r="F327" i="18"/>
  <c r="G326" i="18"/>
  <c r="F326" i="18"/>
  <c r="G325" i="18"/>
  <c r="F325" i="18"/>
  <c r="G324" i="18"/>
  <c r="F324" i="18"/>
  <c r="E335" i="18"/>
  <c r="E334" i="18"/>
  <c r="D334" i="18"/>
  <c r="E333" i="18"/>
  <c r="E332" i="18"/>
  <c r="D332" i="18"/>
  <c r="E331" i="18"/>
  <c r="E329" i="18"/>
  <c r="D329" i="18"/>
  <c r="E328" i="18"/>
  <c r="E327" i="18"/>
  <c r="D327" i="18"/>
  <c r="E325" i="18"/>
  <c r="D325" i="18"/>
  <c r="E324" i="18"/>
  <c r="D335" i="18"/>
  <c r="D333" i="18"/>
  <c r="D331" i="18"/>
  <c r="D328" i="18"/>
  <c r="D324" i="18"/>
  <c r="V4" i="18"/>
  <c r="U5" i="18"/>
  <c r="V5" i="18" s="1"/>
  <c r="U6" i="18"/>
  <c r="V6" i="18" s="1"/>
  <c r="U8" i="18"/>
  <c r="V8" i="18" s="1"/>
  <c r="U9" i="18"/>
  <c r="V9" i="18" s="1"/>
  <c r="U10" i="18"/>
  <c r="V10" i="18" s="1"/>
  <c r="U11" i="18"/>
  <c r="V11" i="18" s="1"/>
  <c r="V12" i="18"/>
  <c r="U13" i="18"/>
  <c r="V13" i="18" s="1"/>
  <c r="U14" i="18"/>
  <c r="V14" i="18" s="1"/>
  <c r="U15" i="18"/>
  <c r="V15" i="18" s="1"/>
  <c r="U16" i="18"/>
  <c r="V16" i="18" s="1"/>
  <c r="U17" i="18"/>
  <c r="V17" i="18" s="1"/>
  <c r="V18" i="18"/>
  <c r="U19" i="18"/>
  <c r="U20" i="18"/>
  <c r="V20" i="18" s="1"/>
  <c r="U21" i="18"/>
  <c r="V21" i="18" s="1"/>
  <c r="U22" i="18"/>
  <c r="V22" i="18" s="1"/>
  <c r="U23" i="18"/>
  <c r="V23" i="18" s="1"/>
  <c r="U24" i="18"/>
  <c r="V24" i="18" s="1"/>
  <c r="U25" i="18"/>
  <c r="V25" i="18" s="1"/>
  <c r="U26" i="18"/>
  <c r="V26" i="18" s="1"/>
  <c r="U27" i="18"/>
  <c r="V27" i="18" s="1"/>
  <c r="U31" i="18"/>
  <c r="V31" i="18" s="1"/>
  <c r="U32" i="18"/>
  <c r="V32" i="18" s="1"/>
  <c r="U36" i="18"/>
  <c r="V36" i="18" s="1"/>
  <c r="U37" i="18"/>
  <c r="V37" i="18" s="1"/>
  <c r="U38" i="18"/>
  <c r="V38" i="18" s="1"/>
  <c r="U39" i="18"/>
  <c r="V39" i="18" s="1"/>
  <c r="U40" i="18"/>
  <c r="V40" i="18" s="1"/>
  <c r="U41" i="18"/>
  <c r="V41" i="18" s="1"/>
  <c r="U42" i="18"/>
  <c r="V42" i="18" s="1"/>
  <c r="U43" i="18"/>
  <c r="V43" i="18" s="1"/>
  <c r="U44" i="18"/>
  <c r="V44" i="18" s="1"/>
  <c r="U45" i="18"/>
  <c r="V45" i="18" s="1"/>
  <c r="U46" i="18"/>
  <c r="V46" i="18" s="1"/>
  <c r="U47" i="18"/>
  <c r="V47" i="18" s="1"/>
  <c r="U48" i="18"/>
  <c r="V48" i="18" s="1"/>
  <c r="V49" i="18"/>
  <c r="U50" i="18"/>
  <c r="V50" i="18" s="1"/>
  <c r="U51" i="18"/>
  <c r="V51" i="18" s="1"/>
  <c r="U52" i="18"/>
  <c r="V52" i="18" s="1"/>
  <c r="V53" i="18"/>
  <c r="U54" i="18"/>
  <c r="V54" i="18" s="1"/>
  <c r="V55" i="18"/>
  <c r="U56" i="18"/>
  <c r="V56" i="18" s="1"/>
  <c r="U57" i="18"/>
  <c r="V57" i="18" s="1"/>
  <c r="U58" i="18"/>
  <c r="V58" i="18" s="1"/>
  <c r="U64" i="18"/>
  <c r="V64" i="18" s="1"/>
  <c r="F304" i="18"/>
  <c r="G304" i="18"/>
  <c r="G323" i="18"/>
  <c r="F323" i="18"/>
  <c r="E323" i="18"/>
  <c r="W64" i="18"/>
  <c r="W58" i="18"/>
  <c r="W57" i="18"/>
  <c r="W56" i="18"/>
  <c r="W55" i="18"/>
  <c r="W54" i="18"/>
  <c r="W53" i="18"/>
  <c r="W52" i="18"/>
  <c r="W51" i="18"/>
  <c r="W50" i="18"/>
  <c r="W49" i="18"/>
  <c r="W48" i="18"/>
  <c r="W47" i="18"/>
  <c r="W46" i="18"/>
  <c r="W45" i="18"/>
  <c r="W44" i="18"/>
  <c r="W43" i="18"/>
  <c r="W42" i="18"/>
  <c r="W41" i="18"/>
  <c r="W40" i="18"/>
  <c r="W39" i="18"/>
  <c r="W38" i="18"/>
  <c r="W37" i="18"/>
  <c r="W36" i="18"/>
  <c r="W32" i="18"/>
  <c r="W31" i="18"/>
  <c r="W27" i="18"/>
  <c r="W26" i="18"/>
  <c r="W25" i="18"/>
  <c r="W24" i="18"/>
  <c r="W23" i="18"/>
  <c r="W22" i="18"/>
  <c r="W21" i="18"/>
  <c r="W20" i="18"/>
  <c r="W19" i="18"/>
  <c r="W18" i="18"/>
  <c r="W17" i="18"/>
  <c r="W16" i="18"/>
  <c r="W15" i="18"/>
  <c r="W14" i="18"/>
  <c r="W13" i="18"/>
  <c r="W12" i="18"/>
  <c r="W11" i="18"/>
  <c r="W10" i="18"/>
  <c r="W9" i="18"/>
  <c r="W8" i="18"/>
  <c r="W6" i="18"/>
  <c r="W5" i="18"/>
  <c r="W4" i="18"/>
  <c r="K324" i="18"/>
  <c r="L5" i="23" s="1"/>
  <c r="L329" i="18"/>
  <c r="M10" i="23" s="1"/>
  <c r="L328" i="18"/>
  <c r="M9" i="23" s="1"/>
  <c r="L327" i="18"/>
  <c r="M8" i="23" s="1"/>
  <c r="L326" i="18"/>
  <c r="M7" i="23" s="1"/>
  <c r="L325" i="18"/>
  <c r="M6" i="23" s="1"/>
  <c r="L324" i="18"/>
  <c r="M5" i="23" s="1"/>
  <c r="K329" i="18"/>
  <c r="L10" i="23" s="1"/>
  <c r="K328" i="18"/>
  <c r="L9" i="23" s="1"/>
  <c r="K327" i="18"/>
  <c r="L8" i="23" s="1"/>
  <c r="K326" i="18"/>
  <c r="L7" i="23" s="1"/>
  <c r="K325" i="18"/>
  <c r="L6" i="23" s="1"/>
  <c r="L323" i="18"/>
  <c r="L4" i="23"/>
  <c r="D295" i="18"/>
  <c r="D300" i="18"/>
  <c r="K296" i="18"/>
  <c r="J296" i="18"/>
  <c r="I296" i="18"/>
  <c r="F296" i="18"/>
  <c r="D296" i="18"/>
  <c r="K295" i="18"/>
  <c r="J295" i="18"/>
  <c r="I295" i="18"/>
  <c r="F295" i="18"/>
  <c r="J144" i="17"/>
  <c r="I144" i="17"/>
  <c r="H144" i="17"/>
  <c r="E144" i="17"/>
  <c r="D144" i="17"/>
  <c r="C144" i="17"/>
  <c r="J143" i="17"/>
  <c r="I143" i="17"/>
  <c r="H143" i="17"/>
  <c r="E143" i="17"/>
  <c r="D143" i="17"/>
  <c r="C143" i="17"/>
  <c r="J142" i="17"/>
  <c r="I142" i="17"/>
  <c r="H142" i="17"/>
  <c r="E142" i="17"/>
  <c r="D142" i="17"/>
  <c r="C142" i="17"/>
  <c r="J141" i="17"/>
  <c r="I141" i="17"/>
  <c r="H141" i="17"/>
  <c r="E141" i="17"/>
  <c r="D141" i="17"/>
  <c r="C141" i="17"/>
  <c r="J140" i="17"/>
  <c r="I140" i="17"/>
  <c r="H140" i="17"/>
  <c r="E140" i="17"/>
  <c r="D140" i="17"/>
  <c r="C140" i="17"/>
  <c r="J139" i="17"/>
  <c r="I139" i="17"/>
  <c r="H139" i="17"/>
  <c r="E139" i="17"/>
  <c r="D139" i="17"/>
  <c r="C139" i="17"/>
  <c r="J138" i="17"/>
  <c r="I138" i="17"/>
  <c r="H138" i="17"/>
  <c r="E138" i="17"/>
  <c r="D138" i="17"/>
  <c r="C138" i="17"/>
  <c r="J137" i="17"/>
  <c r="I137" i="17"/>
  <c r="H137" i="17"/>
  <c r="E137" i="17"/>
  <c r="D137" i="17"/>
  <c r="C137" i="17"/>
  <c r="J136" i="17"/>
  <c r="I136" i="17"/>
  <c r="H136" i="17"/>
  <c r="E136" i="17"/>
  <c r="D136" i="17"/>
  <c r="C136" i="17"/>
  <c r="J135" i="17"/>
  <c r="I135" i="17"/>
  <c r="H135" i="17"/>
  <c r="E135" i="17"/>
  <c r="D135" i="17"/>
  <c r="C135" i="17"/>
  <c r="J134" i="17"/>
  <c r="I134" i="17"/>
  <c r="H134" i="17"/>
  <c r="E134" i="17"/>
  <c r="D134" i="17"/>
  <c r="C134" i="17"/>
  <c r="J133" i="17"/>
  <c r="I133" i="17"/>
  <c r="H133" i="17"/>
  <c r="E133" i="17"/>
  <c r="D133" i="17"/>
  <c r="C133" i="17"/>
  <c r="K127" i="17"/>
  <c r="J127" i="17"/>
  <c r="I127" i="17"/>
  <c r="H127" i="17"/>
  <c r="F127" i="17"/>
  <c r="E127" i="17"/>
  <c r="D127" i="17"/>
  <c r="C127" i="17"/>
  <c r="K126" i="17"/>
  <c r="J126" i="17"/>
  <c r="I126" i="17"/>
  <c r="H126" i="17"/>
  <c r="F126" i="17"/>
  <c r="E126" i="17"/>
  <c r="D126" i="17"/>
  <c r="C126" i="17"/>
  <c r="K125" i="17"/>
  <c r="J125" i="17"/>
  <c r="I125" i="17"/>
  <c r="H125" i="17"/>
  <c r="F125" i="17"/>
  <c r="E125" i="17"/>
  <c r="D125" i="17"/>
  <c r="C125" i="17"/>
  <c r="K124" i="17"/>
  <c r="J124" i="17"/>
  <c r="I124" i="17"/>
  <c r="H124" i="17"/>
  <c r="F124" i="17"/>
  <c r="E124" i="17"/>
  <c r="D124" i="17"/>
  <c r="C124" i="17"/>
  <c r="K123" i="17"/>
  <c r="J123" i="17"/>
  <c r="I123" i="17"/>
  <c r="H123" i="17"/>
  <c r="F123" i="17"/>
  <c r="E123" i="17"/>
  <c r="D123" i="17"/>
  <c r="C123" i="17"/>
  <c r="K122" i="17"/>
  <c r="J122" i="17"/>
  <c r="I122" i="17"/>
  <c r="H122" i="17"/>
  <c r="F122" i="17"/>
  <c r="E122" i="17"/>
  <c r="D122" i="17"/>
  <c r="C122" i="17"/>
  <c r="P121" i="17"/>
  <c r="O121" i="17"/>
  <c r="N121" i="17"/>
  <c r="K121" i="17"/>
  <c r="J121" i="17"/>
  <c r="I121" i="17"/>
  <c r="H121" i="17"/>
  <c r="F121" i="17"/>
  <c r="E121" i="17"/>
  <c r="D121" i="17"/>
  <c r="C121" i="17"/>
  <c r="P120" i="17"/>
  <c r="O120" i="17"/>
  <c r="N120" i="17"/>
  <c r="K120" i="17"/>
  <c r="J120" i="17"/>
  <c r="I120" i="17"/>
  <c r="H120" i="17"/>
  <c r="F120" i="17"/>
  <c r="E120" i="17"/>
  <c r="D120" i="17"/>
  <c r="C120" i="17"/>
  <c r="K119" i="17"/>
  <c r="J119" i="17"/>
  <c r="I119" i="17"/>
  <c r="H119" i="17"/>
  <c r="F119" i="17"/>
  <c r="E119" i="17"/>
  <c r="D119" i="17"/>
  <c r="C119" i="17"/>
  <c r="K118" i="17"/>
  <c r="J118" i="17"/>
  <c r="I118" i="17"/>
  <c r="H118" i="17"/>
  <c r="F118" i="17"/>
  <c r="E118" i="17"/>
  <c r="D118" i="17"/>
  <c r="C118" i="17"/>
  <c r="K117" i="17"/>
  <c r="J117" i="17"/>
  <c r="I117" i="17"/>
  <c r="H117" i="17"/>
  <c r="F117" i="17"/>
  <c r="E117" i="17"/>
  <c r="D117" i="17"/>
  <c r="C117" i="17"/>
  <c r="K116" i="17"/>
  <c r="J116" i="17"/>
  <c r="I116" i="17"/>
  <c r="H116" i="17"/>
  <c r="F116" i="17"/>
  <c r="E116" i="17"/>
  <c r="D116" i="17"/>
  <c r="C116" i="17"/>
  <c r="P114" i="17"/>
  <c r="O114" i="17"/>
  <c r="N114" i="17"/>
  <c r="P113" i="17"/>
  <c r="O113" i="17"/>
  <c r="N113" i="17"/>
  <c r="C113" i="17"/>
  <c r="Q109" i="17"/>
  <c r="P109" i="17"/>
  <c r="O109" i="17"/>
  <c r="N109" i="17"/>
  <c r="J109" i="17"/>
  <c r="I109" i="17"/>
  <c r="H109" i="17"/>
  <c r="F109" i="17"/>
  <c r="D109" i="17"/>
  <c r="Q108" i="17"/>
  <c r="P108" i="17"/>
  <c r="O108" i="17"/>
  <c r="N108" i="17"/>
  <c r="J108" i="17"/>
  <c r="I108" i="17"/>
  <c r="H108" i="17"/>
  <c r="F108" i="17"/>
  <c r="D108" i="17"/>
  <c r="R103" i="17"/>
  <c r="Q103" i="17"/>
  <c r="R102" i="17"/>
  <c r="Q102" i="17"/>
  <c r="R101" i="17"/>
  <c r="Q101" i="17"/>
  <c r="R100" i="17"/>
  <c r="Q100" i="17"/>
  <c r="R99" i="17"/>
  <c r="Q99" i="17"/>
  <c r="R98" i="17"/>
  <c r="Q98" i="17"/>
  <c r="R97" i="17"/>
  <c r="Q97" i="17"/>
  <c r="R96" i="17"/>
  <c r="Q96" i="17"/>
  <c r="R95" i="17"/>
  <c r="Q95" i="17"/>
  <c r="R94" i="17"/>
  <c r="Q94" i="17"/>
  <c r="R93" i="17"/>
  <c r="Q93" i="17"/>
  <c r="R92" i="17"/>
  <c r="Q92" i="17"/>
  <c r="R91" i="17"/>
  <c r="Q91" i="17"/>
  <c r="R90" i="17"/>
  <c r="Q90" i="17"/>
  <c r="R89" i="17"/>
  <c r="Q89" i="17"/>
  <c r="R88" i="17"/>
  <c r="Q88" i="17"/>
  <c r="R87" i="17"/>
  <c r="Q87" i="17"/>
  <c r="R86" i="17"/>
  <c r="Q86" i="17"/>
  <c r="R85" i="17"/>
  <c r="Q85" i="17"/>
  <c r="R84" i="17"/>
  <c r="Q84" i="17"/>
  <c r="R83" i="17"/>
  <c r="Q83" i="17"/>
  <c r="R82" i="17"/>
  <c r="Q82" i="17"/>
  <c r="R81" i="17"/>
  <c r="Q81" i="17"/>
  <c r="R80" i="17"/>
  <c r="Q80" i="17"/>
  <c r="R79" i="17"/>
  <c r="Q79" i="17"/>
  <c r="R78" i="17"/>
  <c r="Q78" i="17"/>
  <c r="R77" i="17"/>
  <c r="Q77" i="17"/>
  <c r="R76" i="17"/>
  <c r="Q76" i="17"/>
  <c r="R75" i="17"/>
  <c r="Q75" i="17"/>
  <c r="R74" i="17"/>
  <c r="Q74" i="17"/>
  <c r="R73" i="17"/>
  <c r="Q73" i="17"/>
  <c r="R72" i="17"/>
  <c r="Q72" i="17"/>
  <c r="R71" i="17"/>
  <c r="Q71" i="17"/>
  <c r="R70" i="17"/>
  <c r="Q70" i="17"/>
  <c r="R69" i="17"/>
  <c r="Q69" i="17"/>
  <c r="R68" i="17"/>
  <c r="Q68" i="17"/>
  <c r="R67" i="17"/>
  <c r="Q67" i="17"/>
  <c r="R66" i="17"/>
  <c r="Q66" i="17"/>
  <c r="R65" i="17"/>
  <c r="Q65" i="17"/>
  <c r="R64" i="17"/>
  <c r="Q64" i="17"/>
  <c r="R63" i="17"/>
  <c r="Q63" i="17"/>
  <c r="R62" i="17"/>
  <c r="Q62" i="17"/>
  <c r="R61" i="17"/>
  <c r="Q61" i="17"/>
  <c r="R60" i="17"/>
  <c r="Q60" i="17"/>
  <c r="R59" i="17"/>
  <c r="Q59" i="17"/>
  <c r="R58" i="17"/>
  <c r="Q58" i="17"/>
  <c r="R57" i="17"/>
  <c r="Q57" i="17"/>
  <c r="R56" i="17"/>
  <c r="Q56" i="17"/>
  <c r="R55" i="17"/>
  <c r="Q55" i="17"/>
  <c r="R54" i="17"/>
  <c r="Q54" i="17"/>
  <c r="R53" i="17"/>
  <c r="Q53" i="17"/>
  <c r="R52" i="17"/>
  <c r="Q52" i="17"/>
  <c r="R51" i="17"/>
  <c r="Q51" i="17"/>
  <c r="R50" i="17"/>
  <c r="Q50" i="17"/>
  <c r="R49" i="17"/>
  <c r="Q49" i="17"/>
  <c r="R48" i="17"/>
  <c r="Q48" i="17"/>
  <c r="R47" i="17"/>
  <c r="Q47" i="17"/>
  <c r="R46" i="17"/>
  <c r="Q46" i="17"/>
  <c r="R45" i="17"/>
  <c r="Q45" i="17"/>
  <c r="R44" i="17"/>
  <c r="Q44" i="17"/>
  <c r="R43" i="17"/>
  <c r="Q43" i="17"/>
  <c r="R42" i="17"/>
  <c r="Q42" i="17"/>
  <c r="R41" i="17"/>
  <c r="Q41" i="17"/>
  <c r="R40" i="17"/>
  <c r="Q40" i="17"/>
  <c r="R39" i="17"/>
  <c r="Q39" i="17"/>
  <c r="R38" i="17"/>
  <c r="Q38" i="17"/>
  <c r="R37" i="17"/>
  <c r="Q37" i="17"/>
  <c r="R36" i="17"/>
  <c r="Q36" i="17"/>
  <c r="R35" i="17"/>
  <c r="Q35" i="17"/>
  <c r="R34" i="17"/>
  <c r="Q34" i="17"/>
  <c r="R33" i="17"/>
  <c r="Q33" i="17"/>
  <c r="R32" i="17"/>
  <c r="Q32" i="17"/>
  <c r="R31" i="17"/>
  <c r="Q31" i="17"/>
  <c r="R30" i="17"/>
  <c r="Q30" i="17"/>
  <c r="R29" i="17"/>
  <c r="Q29" i="17"/>
  <c r="R28" i="17"/>
  <c r="Q28" i="17"/>
  <c r="R27" i="17"/>
  <c r="Q27" i="17"/>
  <c r="R26" i="17"/>
  <c r="Q26" i="17"/>
  <c r="R25" i="17"/>
  <c r="Q25" i="17"/>
  <c r="R24" i="17"/>
  <c r="Q24" i="17"/>
  <c r="R23" i="17"/>
  <c r="Q23" i="17"/>
  <c r="R22" i="17"/>
  <c r="Q22" i="17"/>
  <c r="R21" i="17"/>
  <c r="Q21" i="17"/>
  <c r="R20" i="17"/>
  <c r="Q20" i="17"/>
  <c r="R19" i="17"/>
  <c r="Q19" i="17"/>
  <c r="R18" i="17"/>
  <c r="Q18" i="17"/>
  <c r="R17" i="17"/>
  <c r="Q17" i="17"/>
  <c r="R16" i="17"/>
  <c r="Q16" i="17"/>
  <c r="R15" i="17"/>
  <c r="Q15" i="17"/>
  <c r="R14" i="17"/>
  <c r="Q14" i="17"/>
  <c r="R13" i="17"/>
  <c r="Q13" i="17"/>
  <c r="R12" i="17"/>
  <c r="Q12" i="17"/>
  <c r="R11" i="17"/>
  <c r="Q11" i="17"/>
  <c r="R10" i="17"/>
  <c r="Q10" i="17"/>
  <c r="R9" i="17"/>
  <c r="Q9" i="17"/>
  <c r="R8" i="17"/>
  <c r="Q8" i="17"/>
  <c r="R7" i="17"/>
  <c r="Q7" i="17"/>
  <c r="R6" i="17"/>
  <c r="Q6" i="17"/>
  <c r="R5" i="17"/>
  <c r="Q5" i="17"/>
  <c r="R4" i="17"/>
  <c r="Q4" i="17"/>
  <c r="I145" i="17" l="1"/>
  <c r="C145" i="17"/>
  <c r="F135" i="17" s="1"/>
  <c r="M4" i="23"/>
  <c r="M17" i="23" s="1"/>
  <c r="L336" i="18"/>
  <c r="F141" i="17"/>
  <c r="F140" i="17"/>
  <c r="D110" i="17"/>
  <c r="J110" i="17"/>
  <c r="P115" i="17"/>
  <c r="C128" i="17"/>
  <c r="N122" i="17"/>
  <c r="H110" i="17"/>
  <c r="F110" i="17"/>
  <c r="N110" i="17"/>
  <c r="N115" i="17"/>
  <c r="O122" i="17"/>
  <c r="E128" i="17"/>
  <c r="J128" i="17"/>
  <c r="P122" i="17"/>
  <c r="J323" i="18"/>
  <c r="K4" i="23" s="1"/>
  <c r="I128" i="17"/>
  <c r="F128" i="17"/>
  <c r="D145" i="17"/>
  <c r="E145" i="17"/>
  <c r="F139" i="17"/>
  <c r="R108" i="17"/>
  <c r="R110" i="17" s="1"/>
  <c r="D128" i="17"/>
  <c r="H145" i="17"/>
  <c r="I110" i="17"/>
  <c r="H111" i="17" s="1"/>
  <c r="O115" i="17"/>
  <c r="H128" i="17"/>
  <c r="R109" i="17"/>
  <c r="H17" i="23"/>
  <c r="D316" i="18"/>
  <c r="L17" i="23"/>
  <c r="I17" i="23"/>
  <c r="G17" i="23"/>
  <c r="J17" i="23"/>
  <c r="G316" i="18"/>
  <c r="J315" i="18"/>
  <c r="C16" i="23" s="1"/>
  <c r="J330" i="18"/>
  <c r="K11" i="23" s="1"/>
  <c r="O11" i="23" s="1"/>
  <c r="A37" i="18"/>
  <c r="A38" i="18" s="1"/>
  <c r="A39" i="18" s="1"/>
  <c r="A40" i="18" s="1"/>
  <c r="A41" i="18" s="1"/>
  <c r="A42" i="18" s="1"/>
  <c r="A43" i="18" s="1"/>
  <c r="A44" i="18" s="1"/>
  <c r="A45" i="18" s="1"/>
  <c r="F17" i="23"/>
  <c r="D17" i="23"/>
  <c r="D298" i="18"/>
  <c r="E17" i="23"/>
  <c r="I316" i="18"/>
  <c r="F143" i="17"/>
  <c r="F144" i="17"/>
  <c r="F142" i="17"/>
  <c r="J145" i="17"/>
  <c r="K138" i="17"/>
  <c r="K140" i="17"/>
  <c r="K142" i="17"/>
  <c r="F133" i="17"/>
  <c r="F134" i="17"/>
  <c r="K128" i="17"/>
  <c r="K134" i="17"/>
  <c r="F136" i="17"/>
  <c r="F138" i="17"/>
  <c r="K133" i="17"/>
  <c r="K144" i="17"/>
  <c r="K136" i="17"/>
  <c r="K135" i="17"/>
  <c r="K137" i="17"/>
  <c r="K139" i="17"/>
  <c r="K141" i="17"/>
  <c r="K143" i="17"/>
  <c r="J303" i="18"/>
  <c r="C4" i="23" s="1"/>
  <c r="J313" i="18"/>
  <c r="C14" i="23" s="1"/>
  <c r="J306" i="18"/>
  <c r="C7" i="23" s="1"/>
  <c r="J308" i="18"/>
  <c r="C9" i="23" s="1"/>
  <c r="P316" i="18"/>
  <c r="J311" i="18"/>
  <c r="C12" i="23" s="1"/>
  <c r="Q316" i="18"/>
  <c r="C316" i="18"/>
  <c r="J305" i="18"/>
  <c r="C6" i="23" s="1"/>
  <c r="J307" i="18"/>
  <c r="C8" i="23" s="1"/>
  <c r="J309" i="18"/>
  <c r="C10" i="23" s="1"/>
  <c r="J312" i="18"/>
  <c r="C13" i="23" s="1"/>
  <c r="J314" i="18"/>
  <c r="C15" i="23" s="1"/>
  <c r="J310" i="18"/>
  <c r="C11" i="23" s="1"/>
  <c r="G336" i="18"/>
  <c r="J325" i="18"/>
  <c r="K6" i="23" s="1"/>
  <c r="O6" i="23" s="1"/>
  <c r="J332" i="18"/>
  <c r="K13" i="23" s="1"/>
  <c r="O13" i="23" s="1"/>
  <c r="O316" i="18"/>
  <c r="E316" i="18"/>
  <c r="F316" i="18"/>
  <c r="J326" i="18"/>
  <c r="K7" i="23" s="1"/>
  <c r="O7" i="23" s="1"/>
  <c r="L298" i="18"/>
  <c r="J328" i="18"/>
  <c r="K9" i="23" s="1"/>
  <c r="O9" i="23" s="1"/>
  <c r="M316" i="18"/>
  <c r="R316" i="18"/>
  <c r="K298" i="18"/>
  <c r="J304" i="18"/>
  <c r="C5" i="23" s="1"/>
  <c r="J327" i="18"/>
  <c r="K8" i="23" s="1"/>
  <c r="O8" i="23" s="1"/>
  <c r="J334" i="18"/>
  <c r="K15" i="23" s="1"/>
  <c r="O15" i="23" s="1"/>
  <c r="J333" i="18"/>
  <c r="K14" i="23" s="1"/>
  <c r="O14" i="23" s="1"/>
  <c r="J335" i="18"/>
  <c r="K16" i="23" s="1"/>
  <c r="O16" i="23" s="1"/>
  <c r="F298" i="18"/>
  <c r="J298" i="18"/>
  <c r="J331" i="18"/>
  <c r="K12" i="23" s="1"/>
  <c r="O12" i="23" s="1"/>
  <c r="J329" i="18"/>
  <c r="K10" i="23" s="1"/>
  <c r="O10" i="23" s="1"/>
  <c r="L316" i="18"/>
  <c r="N316" i="18"/>
  <c r="I298" i="18"/>
  <c r="J324" i="18"/>
  <c r="K5" i="23" s="1"/>
  <c r="O5" i="23" s="1"/>
  <c r="D336" i="18"/>
  <c r="E336" i="18"/>
  <c r="K336" i="18"/>
  <c r="F336" i="18"/>
  <c r="N116" i="17" l="1"/>
  <c r="N123" i="17"/>
  <c r="F129" i="17"/>
  <c r="F137" i="17"/>
  <c r="F145" i="17" s="1"/>
  <c r="O4" i="23"/>
  <c r="A46" i="18"/>
  <c r="A47" i="18" s="1"/>
  <c r="A48" i="18" s="1"/>
  <c r="K309" i="18"/>
  <c r="G317" i="18"/>
  <c r="K17" i="23"/>
  <c r="O17" i="23" s="1"/>
  <c r="C17" i="23"/>
  <c r="K145" i="17"/>
  <c r="J316" i="18"/>
  <c r="J299" i="18"/>
  <c r="J336" i="18"/>
  <c r="L317" i="18"/>
  <c r="G337" i="18"/>
  <c r="A65" i="18" l="1"/>
  <c r="A66" i="18" s="1"/>
  <c r="A72" i="18" s="1"/>
  <c r="A77" i="18" s="1"/>
  <c r="A78" i="18" s="1"/>
  <c r="A81" i="18" s="1"/>
  <c r="A49" i="18"/>
  <c r="A180" i="18"/>
  <c r="A82" i="18" l="1"/>
  <c r="A83" i="18" s="1"/>
  <c r="A89" i="18" s="1"/>
  <c r="A90" i="18" s="1"/>
  <c r="A91" i="18" s="1"/>
  <c r="A92" i="18" s="1"/>
  <c r="A97" i="18" s="1"/>
  <c r="A100" i="18" s="1"/>
  <c r="A101" i="18" s="1"/>
  <c r="A116" i="18" s="1"/>
  <c r="A119" i="18" s="1"/>
  <c r="A181" i="18"/>
  <c r="A129" i="18" l="1"/>
  <c r="A130" i="18" s="1"/>
  <c r="A131" i="18" s="1"/>
  <c r="A132" i="18" s="1"/>
  <c r="A133" i="18" s="1"/>
  <c r="A134" i="18" s="1"/>
  <c r="A135" i="18" s="1"/>
  <c r="A136" i="18" s="1"/>
  <c r="A137" i="18" s="1"/>
  <c r="A138" i="18" s="1"/>
  <c r="A189" i="18"/>
  <c r="A196" i="18" s="1"/>
  <c r="A197" i="18" s="1"/>
  <c r="A198" i="18" s="1"/>
  <c r="A199" i="18" s="1"/>
  <c r="A139" i="18" l="1"/>
  <c r="A140" i="18" s="1"/>
  <c r="A143" i="18" s="1"/>
  <c r="A200" i="18"/>
  <c r="A201" i="18" s="1"/>
  <c r="A202" i="18" s="1"/>
  <c r="A203" i="18" s="1"/>
  <c r="A144" i="18" l="1"/>
  <c r="A145" i="18" s="1"/>
  <c r="A204" i="18"/>
  <c r="A205" i="18" s="1"/>
  <c r="A206" i="18" s="1"/>
  <c r="A207" i="18" s="1"/>
  <c r="A208" i="18" s="1"/>
  <c r="A209" i="18" s="1"/>
  <c r="A210" i="18" s="1"/>
  <c r="A211" i="18" s="1"/>
  <c r="A213" i="18" s="1"/>
  <c r="A214" i="18" l="1"/>
  <c r="A215" i="18" s="1"/>
  <c r="A216" i="18" s="1"/>
  <c r="A217" i="18" s="1"/>
  <c r="A218" i="18" s="1"/>
  <c r="A219" i="18" s="1"/>
  <c r="A222" i="18" s="1"/>
  <c r="A224" i="18" s="1"/>
  <c r="A225" i="18" s="1"/>
  <c r="A226" i="18" s="1"/>
  <c r="A255" i="18" s="1"/>
  <c r="A256" i="18" s="1"/>
  <c r="A257" i="18" s="1"/>
  <c r="A262" i="18" s="1"/>
  <c r="A263" i="18" s="1"/>
  <c r="A266" i="18" s="1"/>
  <c r="A268" i="18" s="1"/>
  <c r="A271" i="18" s="1"/>
  <c r="A272" i="18" s="1"/>
  <c r="A273" i="18" s="1"/>
  <c r="A274" i="18" s="1"/>
  <c r="A275" i="18" s="1"/>
  <c r="A276" i="18" s="1"/>
  <c r="A277" i="18" s="1"/>
  <c r="A278" i="18" s="1"/>
  <c r="A279" i="18" s="1"/>
  <c r="A280" i="18" s="1"/>
  <c r="A281" i="18" s="1"/>
  <c r="A282" i="18" s="1"/>
  <c r="A283" i="18" s="1"/>
  <c r="A284" i="18" s="1"/>
  <c r="A285" i="18" s="1"/>
  <c r="A286" i="18" s="1"/>
  <c r="A287" i="18" s="1"/>
  <c r="A288" i="18" s="1"/>
  <c r="A289" i="18" s="1"/>
  <c r="A154" i="18" l="1"/>
  <c r="A155" i="18" s="1"/>
  <c r="A156" i="18" s="1"/>
  <c r="A157" i="18" s="1"/>
  <c r="A158" i="18" l="1"/>
  <c r="A160" i="18" s="1"/>
  <c r="A162" i="18" s="1"/>
  <c r="A164" i="18" s="1"/>
  <c r="A166" i="18" s="1"/>
  <c r="A170" i="18" l="1"/>
  <c r="A168" i="18"/>
</calcChain>
</file>

<file path=xl/comments1.xml><?xml version="1.0" encoding="utf-8"?>
<comments xmlns="http://schemas.openxmlformats.org/spreadsheetml/2006/main">
  <authors>
    <author>MARIA HELENA PEDRAZA</author>
    <author>CXHormaza</author>
  </authors>
  <commentList>
    <comment ref="I3" authorId="0" shapeId="0">
      <text>
        <r>
          <rPr>
            <b/>
            <sz val="9"/>
            <color indexed="81"/>
            <rFont val="Tahoma"/>
            <family val="2"/>
          </rPr>
          <t>Control Interno:</t>
        </r>
        <r>
          <rPr>
            <sz val="9"/>
            <color indexed="81"/>
            <rFont val="Tahoma"/>
            <family val="2"/>
          </rPr>
          <t xml:space="preserve">
Puede Combinarse, igual que la columna L, Presenta Plan de Mejoramiento</t>
        </r>
      </text>
    </comment>
    <comment ref="L32" authorId="0" shapeId="0">
      <text>
        <r>
          <rPr>
            <b/>
            <sz val="9"/>
            <color indexed="81"/>
            <rFont val="Tahoma"/>
            <family val="2"/>
          </rPr>
          <t>MARIA HELENA PEDRAZA:</t>
        </r>
        <r>
          <rPr>
            <sz val="9"/>
            <color indexed="81"/>
            <rFont val="Tahoma"/>
            <family val="2"/>
          </rPr>
          <t xml:space="preserve">
Hoy 30 Marzo 2015:
Se modifica fecha de presentación de plan de mejoramiento, posterior a la fecha del informe. Se reportaba 13/06/2012.  se modifica fecha a 13/sep/2012</t>
        </r>
      </text>
    </comment>
    <comment ref="P120" authorId="1" shapeId="0">
      <text>
        <r>
          <rPr>
            <b/>
            <sz val="9"/>
            <color indexed="81"/>
            <rFont val="Tahoma"/>
            <family val="2"/>
          </rPr>
          <t>CXHormaza:</t>
        </r>
        <r>
          <rPr>
            <sz val="9"/>
            <color indexed="81"/>
            <rFont val="Tahoma"/>
            <family val="2"/>
          </rPr>
          <t xml:space="preserve">
Se ajusta fecha cambiando la inicial del 31 de marzo 2016.</t>
        </r>
      </text>
    </comment>
    <comment ref="O125" authorId="1" shapeId="0">
      <text>
        <r>
          <rPr>
            <b/>
            <sz val="9"/>
            <color indexed="81"/>
            <rFont val="Tahoma"/>
            <family val="2"/>
          </rPr>
          <t>CXHormaza:</t>
        </r>
        <r>
          <rPr>
            <sz val="9"/>
            <color indexed="81"/>
            <rFont val="Tahoma"/>
            <family val="2"/>
          </rPr>
          <t xml:space="preserve">
Se ajusto la numeración de la acción de 5 a 6</t>
        </r>
      </text>
    </comment>
    <comment ref="P169" authorId="0" shapeId="0">
      <text>
        <r>
          <rPr>
            <b/>
            <sz val="9"/>
            <color indexed="81"/>
            <rFont val="Tahoma"/>
            <family val="2"/>
          </rPr>
          <t>MARIA HELENA PEDRAZA:</t>
        </r>
        <r>
          <rPr>
            <sz val="9"/>
            <color indexed="81"/>
            <rFont val="Tahoma"/>
            <family val="2"/>
          </rPr>
          <t xml:space="preserve">
Se amplia fecha al 30may2016</t>
        </r>
      </text>
    </comment>
    <comment ref="P170" authorId="0" shapeId="0">
      <text>
        <r>
          <rPr>
            <b/>
            <sz val="9"/>
            <color indexed="81"/>
            <rFont val="Tahoma"/>
            <family val="2"/>
          </rPr>
          <t>MARIA HELENA PEDRAZA:</t>
        </r>
        <r>
          <rPr>
            <sz val="9"/>
            <color indexed="81"/>
            <rFont val="Tahoma"/>
            <family val="2"/>
          </rPr>
          <t xml:space="preserve">
Se amplia fecha al 30may2016</t>
        </r>
      </text>
    </comment>
  </commentList>
</comments>
</file>

<file path=xl/comments2.xml><?xml version="1.0" encoding="utf-8"?>
<comments xmlns="http://schemas.openxmlformats.org/spreadsheetml/2006/main">
  <authors>
    <author>Gloria Marcela Luna Riaño</author>
  </authors>
  <commentList>
    <comment ref="H4" authorId="0" shapeId="0">
      <text>
        <r>
          <rPr>
            <b/>
            <sz val="9"/>
            <color indexed="81"/>
            <rFont val="Tahoma"/>
            <family val="2"/>
          </rPr>
          <t>Gloria Marcela Luna Riaño:</t>
        </r>
        <r>
          <rPr>
            <sz val="9"/>
            <color indexed="81"/>
            <rFont val="Tahoma"/>
            <family val="2"/>
          </rPr>
          <t xml:space="preserve">
Oportunidad de mejora</t>
        </r>
      </text>
    </comment>
  </commentList>
</comments>
</file>

<file path=xl/sharedStrings.xml><?xml version="1.0" encoding="utf-8"?>
<sst xmlns="http://schemas.openxmlformats.org/spreadsheetml/2006/main" count="3509" uniqueCount="1017">
  <si>
    <t>Proceso</t>
  </si>
  <si>
    <t>Tema</t>
  </si>
  <si>
    <t>Reasentamientos Humanos</t>
  </si>
  <si>
    <t>Plan de Mejoramiento</t>
  </si>
  <si>
    <t>Fecha de Informe</t>
  </si>
  <si>
    <t>No se tienen documentados los incidentes en SIPROJWEB y las acciones de prevención del daño antijurídico.</t>
  </si>
  <si>
    <t>El registro y actualización de los procesos en SIPROJWEB carecen de supervisión.</t>
  </si>
  <si>
    <t>PIGA / PIRE</t>
  </si>
  <si>
    <t>Las carpetas del contratos 431 de 2009 se encuentra en desorden cronológico, faltan documentos soportes, además los folios 245, 246, 250, 285, 286,287 son documentos en papel químico y en las carpetas del contrato se encontró desorden de los documentos que lo componen, documentos que no corresponden al contrato como son: 1. Soportes del contrato de obra 452 de 2009 Jorge Armando Vinasco Muñoz, en 122 folios, 2. Contrato de consultoría 445 de Organización Garzón y Asociados en 95 folios, 3. Nuevamente contrato de obra 452 de 2009 Jorge Armando Vinasco Muñoz, en 88 folios; 4.Copia de la Orden de Pago 12646 de Industrial Show Producción Ltda. 1 folio  5. Copia de la orden de pago 12643 y soportes  de WBA Telecomunications contrat0 457 de 2009, en 5 folios. 6. Convenio 064 de 2009 Servicio Nacional de Aprendizaje SENA, copia certificación de recibo soportes de contratos en un folio</t>
  </si>
  <si>
    <t>PROCESO</t>
  </si>
  <si>
    <t>Comunicaciones</t>
  </si>
  <si>
    <t>Los arrendadores y arrendatarios manifiestan que dentro del pago mensual de arrendamiento, que es inferior al pactado  se incluye el valor de los servicios públicos.</t>
  </si>
  <si>
    <t xml:space="preserve">INHABILIDADES PARA CONTRATAR
El contrato 042 de 2013 fue suscrito con el cónyuge de la Ex Directora Jurídica de la Caja de la Vivienda Popular Dra. Pilar Alvinzy Velásquez Fandiño, sin haber transcurrido los dos años ordenados en el artículo 4 de la Ley 1474 de 2011 Estatuto Anticorrupción.
</t>
  </si>
  <si>
    <t>TEMA</t>
  </si>
  <si>
    <t>PIGA 2012: 3. Contratar la recolección y tratamiento de RAEES.</t>
  </si>
  <si>
    <t>Faltan de documentos soporte en algunas carpetas.</t>
  </si>
  <si>
    <t xml:space="preserve">Determinar el cumplimiento del procedimiento establecido en la Entidad para la vinculación, permanencia y retiro </t>
  </si>
  <si>
    <t>Fecha Recibo del Plan de Mejoramiento</t>
  </si>
  <si>
    <t>Fecha Recibo seguimiento del Plan de Mejoramiento</t>
  </si>
  <si>
    <t>No se encuentra registro documental que evidencie el cumplimiento del procedimiento 208-PLA-Pr-10 programa de criterios ambientales para las compras y la gestión contractual.</t>
  </si>
  <si>
    <t>No se han definido indicadores de gestión PIGA y PIRE en la entidad.</t>
  </si>
  <si>
    <t>Se observó que no se está dando cumplimiento al cronograma y las actividades establecidas en el Plan Institucional - PIGA</t>
  </si>
  <si>
    <t>No se evidencio la existencia del Plan de Acción PIRE vigencia 2012-2013</t>
  </si>
  <si>
    <t>Se evidenció que no se está dando cumplimiento a las actividades establecidas en el Plan Institucional de Respuesta a Emergencias de la CVP 208-PLA_Mn-05</t>
  </si>
  <si>
    <t>El porcentaje de avance en cumplimiento de metas no es acorde a la programación y a los tiempos en el Plan de Desarrollo “Bogotá Humana”.</t>
  </si>
  <si>
    <t>Mejoramiento de Vivienda</t>
  </si>
  <si>
    <t>Verificar el estado de los procesos de urbanización a cargo del Proyecto de Inversión y su debido registro documental.</t>
  </si>
  <si>
    <t>Al consultar los procesos registrados en SIPROJ se evidencia que algunos abogados no anexan los documentos PDF que soportan la gestión adelantada, generando un riesgo de pérdida de información pues los abogados no tienen vínculo permanente con la entidad.</t>
  </si>
  <si>
    <t>Existen 5 procesos a cargo de abogados que no tienen vínculo vigente con la Caja de la Vivienda Popular, 2 procesos que no han sido asignados a un abogado para la representación judicial.
Ver 2005-00476, 2010-00036, 1995-01418, 2013-01235, 19310797, 2013-01152, 2013-01546.</t>
  </si>
  <si>
    <t>Existen 3 conciliaciones extrajudiciales que no reportan abogado en representación de la entidad y al consultar el histórico no se presenta información sobre la gestión adelantada. Así mismo existe 1 proceso de reparación directa y 1 acción de tutela cuyos abogados a cargo reportaron la terminación del proceso para la entidad sin anexar soporte de dicho hecho y el proceso aún se encuentra activo.
Ver procesos 2008-00132, 2012-00140, 1-2011-11123, 1-2013-26409 y 1-2013-40151</t>
  </si>
  <si>
    <t>Realizar de manera objetiva la evaluación de las actividades, operaciones y resultados en el proceso Prevención del Daño Antijurídico y Representación Judicial.</t>
  </si>
  <si>
    <t>No conformidad</t>
  </si>
  <si>
    <t>Seguimiento (indicar fecha de seguimiento)</t>
  </si>
  <si>
    <t>Acciones</t>
  </si>
  <si>
    <t>Estado</t>
  </si>
  <si>
    <t xml:space="preserve">Prevención del Daño antijurídico y Representación Judicial </t>
  </si>
  <si>
    <t>Urbanizaciones y Titulación</t>
  </si>
  <si>
    <t>Mejoramiento de Barrios</t>
  </si>
  <si>
    <t>Plan de Contratación</t>
  </si>
  <si>
    <t xml:space="preserve">Se evidencia que no se utiliza el aplicativo SI CAPITAL en el módulo SISCO,  incumpliendo el  literal  C. MANEJO PLAN DE CONTRATACIÓN </t>
  </si>
  <si>
    <t>No se tiene formulado un plan de mejoramiento producto del análisis de quejas de clientes (internos), resultado de análisis de datos, autoevaluación o gestión del riesgo para el proceso auditado.</t>
  </si>
  <si>
    <t>No se tiene formulado un plan de mejoramiento producto de la autoevaluación para el procedimiento auditado.</t>
  </si>
  <si>
    <t>Tipo Auditoria</t>
  </si>
  <si>
    <t>Auditoria</t>
  </si>
  <si>
    <t>Especial</t>
  </si>
  <si>
    <t>Tipo Hallazgo</t>
  </si>
  <si>
    <t>Informes</t>
  </si>
  <si>
    <t>Tipo Acción</t>
  </si>
  <si>
    <t>Auditores</t>
  </si>
  <si>
    <t>Gestión Estratégica</t>
  </si>
  <si>
    <t>Acción Correctiva</t>
  </si>
  <si>
    <t>Abierta</t>
  </si>
  <si>
    <t>Asesor Control Interno</t>
  </si>
  <si>
    <t>Recomendación</t>
  </si>
  <si>
    <t>Acción Preventiva</t>
  </si>
  <si>
    <t>Cerrada</t>
  </si>
  <si>
    <t>Ana Sofía Estupiñan</t>
  </si>
  <si>
    <t>Acción de Mejora</t>
  </si>
  <si>
    <t>Gloria Marcela Luna</t>
  </si>
  <si>
    <t>María Helena Pedraza</t>
  </si>
  <si>
    <t>José E. Orjuela</t>
  </si>
  <si>
    <t xml:space="preserve">Gestión Humana </t>
  </si>
  <si>
    <t xml:space="preserve">Administración y Control de Recursos </t>
  </si>
  <si>
    <t xml:space="preserve">Administración de la Información </t>
  </si>
  <si>
    <t xml:space="preserve">Adquisición de bienes y servicios </t>
  </si>
  <si>
    <t xml:space="preserve">Evaluación de la Gestión </t>
  </si>
  <si>
    <t>VIGENCIA:</t>
  </si>
  <si>
    <t>AÑO</t>
  </si>
  <si>
    <t>Ítem</t>
  </si>
  <si>
    <t>Auditor Responsable</t>
  </si>
  <si>
    <r>
      <t xml:space="preserve">Fecha de Informe
</t>
    </r>
    <r>
      <rPr>
        <sz val="8"/>
        <color theme="1"/>
        <rFont val="Arial"/>
        <family val="2"/>
      </rPr>
      <t>dd/mmm/yyyy</t>
    </r>
  </si>
  <si>
    <t>Hallazgo
No Conformidad/Recomendaciones</t>
  </si>
  <si>
    <t>Presenta Plan de Mejoramiento</t>
  </si>
  <si>
    <r>
      <t xml:space="preserve">Fecha 
Plan de Mejoramiento
</t>
    </r>
    <r>
      <rPr>
        <sz val="8"/>
        <color theme="1"/>
        <rFont val="Arial"/>
        <family val="2"/>
      </rPr>
      <t>dd/mmm/yyyy</t>
    </r>
  </si>
  <si>
    <r>
      <t xml:space="preserve">Fecha de Cierre acción
</t>
    </r>
    <r>
      <rPr>
        <sz val="8"/>
        <color theme="1"/>
        <rFont val="Arial"/>
        <family val="2"/>
      </rPr>
      <t>dd/mmm/yyyy</t>
    </r>
  </si>
  <si>
    <t>Revisión de la Eficacia de las acciones</t>
  </si>
  <si>
    <t>Control fecha informe Vs plan de mejoramiento</t>
  </si>
  <si>
    <t>Control plan de mejoramiento Vs fecha cierre</t>
  </si>
  <si>
    <t>No Conformidad</t>
  </si>
  <si>
    <t>Si</t>
  </si>
  <si>
    <t>No</t>
  </si>
  <si>
    <t>Copie fila vacía e Inserte filas sobre esta!!</t>
  </si>
  <si>
    <t>RESUMEN</t>
  </si>
  <si>
    <t>Tipos de Hallazgo</t>
  </si>
  <si>
    <t>Hallazgos por tipo de auditoria</t>
  </si>
  <si>
    <t>Estado Total de Acciones propuestas</t>
  </si>
  <si>
    <t>Total</t>
  </si>
  <si>
    <t>Total Suma</t>
  </si>
  <si>
    <t>Gran Total</t>
  </si>
  <si>
    <t>Resumen consolidado por procesos</t>
  </si>
  <si>
    <t>Acciones Cerradas / tipo de auditoria</t>
  </si>
  <si>
    <t>Vigencia:</t>
  </si>
  <si>
    <t>Cerrada por No Conformidad</t>
  </si>
  <si>
    <t>Plan de Mejoramiento por Tipo Auditoria</t>
  </si>
  <si>
    <t>Total T. Aud</t>
  </si>
  <si>
    <t>Tipo de hallazgo</t>
  </si>
  <si>
    <t>Planes de Mejoramiento por procesos</t>
  </si>
  <si>
    <t>Cerrada por Recomendación</t>
  </si>
  <si>
    <t>Acciones Abiertas / tipo de auditoria</t>
  </si>
  <si>
    <t>Abierta por No Conformidad</t>
  </si>
  <si>
    <t>Abierta por Recomendación</t>
  </si>
  <si>
    <t>% Abiertas</t>
  </si>
  <si>
    <t>% Cerradas</t>
  </si>
  <si>
    <t>Responsable</t>
  </si>
  <si>
    <t>Corrección</t>
  </si>
  <si>
    <t>INCLUIR INDICADOR</t>
  </si>
  <si>
    <r>
      <t xml:space="preserve">Fecha finalización programada de Cierre acción
</t>
    </r>
    <r>
      <rPr>
        <sz val="8"/>
        <color theme="1"/>
        <rFont val="Arial"/>
        <family val="2"/>
      </rPr>
      <t>dd/mmm/yyyy</t>
    </r>
  </si>
  <si>
    <t>Alexander Villalobos</t>
  </si>
  <si>
    <t>Dirección de Urbanizaciones</t>
  </si>
  <si>
    <t>Procedimiento urbanizaciones</t>
  </si>
  <si>
    <t>Proyecto de ajuste de procesos y procedimientos</t>
  </si>
  <si>
    <t>Verificar que el proceso de Participación Ciudadana y Control Social en la Caja de Vivienda Popular, cuentan con los instrumentos contemplados por el Decreto Distrital 371 de 2010 "Por el cual se establecen lineamientos para preservar y fortalecer la transparencia y para prevención de la corrupción en las Entidades y Organismos del Distrito Capital".</t>
  </si>
  <si>
    <t>No fue posible evaluar el procedimiento correspondiente a "Programa de uso eficiente de energía procedimiento para la gestión energética". 208-PLA-Pr-12 dado que este no se está ejecutando, por lo tanto no hay registros ni documentos que den cuenta del desarrollo de las actividades asociadas al procedimiento.</t>
  </si>
  <si>
    <t>Dirección de gestión Corporativa, Subdirección administrativa
Oficina Asesora de Planeación</t>
  </si>
  <si>
    <t xml:space="preserve">Gestionar de manera ambientalmente segura la disposición final de  los Residuos de Aparatos Eléctricos y Electrónicos - RAEES restantes y no recuperables con una entidad que cuente con licencia ambiental para su disposición final.
</t>
  </si>
  <si>
    <t>Oficina Asesora de Planeación</t>
  </si>
  <si>
    <t xml:space="preserve">Oficina Asesora de Planeación </t>
  </si>
  <si>
    <t>Oficina Asesora de Planeación 
Subdirección administrativa</t>
  </si>
  <si>
    <t>1. Realizar la revisión y/o    ajuste del procedimiento con las partes involucradas.
2.  Socialización e Implementación del procedimiento en cada una de las dependencias de la CVP.</t>
  </si>
  <si>
    <t>Oficina Asesora de Planeación 
Dirección Jurídica</t>
  </si>
  <si>
    <t>Se debe reformular el procedimiento especificando  las actividades para hacer un uso eficiente de la energía en la CVP.</t>
  </si>
  <si>
    <t>Formular y/o ajustar el Plan de Acción incluyendo indicadores que den cuenta del cumplimiento del PIGA y PIRE.</t>
  </si>
  <si>
    <t>1. Identificar referentes o enlaces ambientales por dependencia.
2. Socializar el Plan Institucional de Gestión Ambiental PIGA a los directivos y enlaces de cada dependencia.</t>
  </si>
  <si>
    <t xml:space="preserve">Oficina Asesora de Planeación 
Jefes de dependencia </t>
  </si>
  <si>
    <t>Oficina Asesora de Planeación 
Subdirección Administrativa</t>
  </si>
  <si>
    <t>1. Identificar referentes o enlaces  por dependencia.
2. Socializar el Plan Institucional de Respuesta a Emergencias PIRE a los directivos y enlaces de cada dependencia.</t>
  </si>
  <si>
    <t>Acción Mejora</t>
  </si>
  <si>
    <t>TOTAL</t>
  </si>
  <si>
    <t>Hallazgos por Tipo Auditoria</t>
  </si>
  <si>
    <t>RESUMEN HALLAZGOS</t>
  </si>
  <si>
    <t>RESUMEN DE ACCIONES</t>
  </si>
  <si>
    <t>Estado de acciones</t>
  </si>
  <si>
    <t>Estado del hallazgo</t>
  </si>
  <si>
    <t>Hallazgo Abierto</t>
  </si>
  <si>
    <t>Hallazgo Cerrado</t>
  </si>
  <si>
    <t>El manual de contratación se encuentra desactualizado en cuanto a la determinación de los honorarios para los contratos de prestación de servicios profesionales y de apoyo a la gestión, toda vez que no se ha ajustado el procedimiento teniendo en cuenta la Resolución 169 de 2012</t>
  </si>
  <si>
    <t>Dirección Jurídica</t>
  </si>
  <si>
    <t>Dirección Jurídica - Dirección Gestión Corporativa y CID y  Oficina Asesora de Planeación</t>
  </si>
  <si>
    <t>Dar traslado a las autoridades competentes de esta situación para que se adelanten las acciones a que haya lugar</t>
  </si>
  <si>
    <t>Dirección Jurídica y Oficina Asesora de Planeación</t>
  </si>
  <si>
    <t>Política del daño antijurídico</t>
  </si>
  <si>
    <t>Director de Reasentamientos</t>
  </si>
  <si>
    <t>Verificar la cesión del Contratos 431 y la ejecución
Verificar los contratos 413 – 418 – 469 y 470 de 2010, para determinar lo ordenado en el memorando 2012 IE2692 del 11 de julio, emanado de la Dirección General 
SE UNEN DOS AUDITORIAS POR SER HALLAZGO DEL MISMO TEMA</t>
  </si>
  <si>
    <t>Director Jurídica - Director de Mejoramiento de Barrios</t>
  </si>
  <si>
    <t>Director Jurídico</t>
  </si>
  <si>
    <t>Ajustar la obligación correspondiente a la responsabilidad de actualizar la información en el SIPROJ.</t>
  </si>
  <si>
    <t>SIPROJWEB no se encuentra actualizado.
No se lleva a cabo el procedimiento de Representación judicial</t>
  </si>
  <si>
    <t>RESUMEN ACCIONES</t>
  </si>
  <si>
    <t>Documentar las acciones de mejoras de acuerdo a establecido por el Sistema de Gestión de Calidad</t>
  </si>
  <si>
    <t xml:space="preserve">No se tiene integrado el sistema de información SI CAPITAL, aunque los módulos procesan la información solo están integrados, PREDIS, PAC Y OPGET, parcialmente del SAI, lo que genera la necesidad de digitar nuevamente la información producida por los otros módulos de PERNO, SAE y SISCO, incrementando el riesgo en los errores de digitación.
No se ha implementado totalmente la interacción entre los distintos módulos, en el manejo del sistema de información SI Capital. </t>
  </si>
  <si>
    <t>Directora de Gestión Corporativa y CID</t>
  </si>
  <si>
    <t>Subdirectora Administrativa</t>
  </si>
  <si>
    <t>Formalización de  política de administración de la información y su implementación , de su auditoria  y validación de los sistemas de información institucionales  lo cual ocasiona que la información no sea confiable, integra  y  disponible</t>
  </si>
  <si>
    <t xml:space="preserve">Definir la política de administración de la información 
</t>
  </si>
  <si>
    <t xml:space="preserve">Diseñar el proceso y el procedimiento de implementación de la política definida
</t>
  </si>
  <si>
    <t xml:space="preserve">Establecer los responsables y funciones para la administración de la información
</t>
  </si>
  <si>
    <t xml:space="preserve">Revisar e identificar del total (70 historias laborales) los documentos faltantes
</t>
  </si>
  <si>
    <t>Evaluación de Gestión por Dependencias</t>
  </si>
  <si>
    <t>Encuesta del Modelo de Control Interno del DAFP</t>
  </si>
  <si>
    <t>REVISIONES DE COHERENCIA DE LOS PLANES DE MEJORAMIENTO</t>
  </si>
  <si>
    <t>FECHA</t>
  </si>
  <si>
    <t>PERSONAL QUE PARTICIPO</t>
  </si>
  <si>
    <t>CONTROL INTERNO</t>
  </si>
  <si>
    <t>CONCLUSIONES</t>
  </si>
  <si>
    <t>HORA</t>
  </si>
  <si>
    <t>Los líderes o responsables de procesos no ejecutaron oportunamente la formulación, ejecución y avances de los planes de mejoramiento.</t>
  </si>
  <si>
    <t>Revisar y ajustar los procedimientos de 208-CI-Pr-01 Auditoria Interna y Visitas y 208-CI-Pr-05 Acciones correctivas y Preventivas, dando claridad el inicio y final de cada uno, adicionalmente incluir en el que corresponda: Ampliación del tiempo para la formulación de acciones.
Mesa de trabajo para discusión de los  informes de auditoria antes de ser radicados.</t>
  </si>
  <si>
    <t>Ente Certificador</t>
  </si>
  <si>
    <t xml:space="preserve">Todas las dependencias Misionales - Coordina Oficina Asesora de Planeación </t>
  </si>
  <si>
    <t xml:space="preserve">Incluir las metas intermedias que puedan evidenciar el cumplimiento de cada proyecto de inversión </t>
  </si>
  <si>
    <t>Los procesos, procedimientos no se encuentran actualizados a la realidad institucional, no existen indicadores ni riesgos asociados a procesos, algunos procedimientos no tienen puntos de control ni cargos responsables, la documentación del sistema de gestión en general,  esta desactualizada</t>
  </si>
  <si>
    <t xml:space="preserve">Ajuste Procesos y procedimientos-  Realizar reuniones para concretar el mapa de procesos de la entidad </t>
  </si>
  <si>
    <t xml:space="preserve">Ajuste Procesos y procedimientos - Caracterizar los procesos </t>
  </si>
  <si>
    <t xml:space="preserve">Ajuste Procesos y procedimientos - Identificar y/o actualizar  los productos no conforme, derivados de las caracterizaciones de los procesos misionales </t>
  </si>
  <si>
    <t xml:space="preserve">Ajuste Procesos y procedimientos -Actualizar los procedimientos de cada uno de los procesos </t>
  </si>
  <si>
    <t xml:space="preserve">Ajuste Procesos y procedimientos -Formular los indicadores asociados a los procesos de la CVP </t>
  </si>
  <si>
    <t xml:space="preserve">Ajuste Procesos y procedimientos - Formular los mapas de riesgo  asociados  a los procesos de la CVP </t>
  </si>
  <si>
    <t xml:space="preserve">Todas las dependencias- Coordina Oficina Asesora de Planeación </t>
  </si>
  <si>
    <t>Definir las competencias de cada una de las áreas que participa en el cargue de la información en el SISCO</t>
  </si>
  <si>
    <t>Jefe de la Oficina Asesora de Planeación</t>
  </si>
  <si>
    <t xml:space="preserve">La entidad deberá formular la plataforma estratégica que permita visualizar sus apuestas institucionales al plan de desarrollo Bogotá Humana, en el marco del Proyecto de Ajuste Institucional  </t>
  </si>
  <si>
    <t xml:space="preserve">Realizar las reuniones para concretar misión, visión y objetivos estratégicos </t>
  </si>
  <si>
    <t xml:space="preserve">Consolidar el plan estratégico/Plan Institucional de la CVP </t>
  </si>
  <si>
    <t xml:space="preserve">Formular un procedimiento de planeación institucional, que permita visualizar las responsabilidades de los líderes de los procesos en la formulación de los planes de acción de gestión </t>
  </si>
  <si>
    <t>Autocontrol</t>
  </si>
  <si>
    <t>Evidenciar las acciones (reuniones, comunicaciones) que ha realizado cada proyecto de inversión con entidades del distrito para el cumplimiento de metas</t>
  </si>
  <si>
    <t>Realizar las acciones tendientes a la reformulación de los proyectos de inversión.</t>
  </si>
  <si>
    <t>Hallazgos y recomendaciones que de acuerdo a los líderes de proceso no amerita generar un plan de mejoramiento</t>
  </si>
  <si>
    <t>Observación del Líder del Proceso</t>
  </si>
  <si>
    <r>
      <t xml:space="preserve">Fecha de la observación
</t>
    </r>
    <r>
      <rPr>
        <sz val="8"/>
        <color theme="1"/>
        <rFont val="Arial"/>
        <family val="2"/>
      </rPr>
      <t>dd/mmm/yyyy</t>
    </r>
  </si>
  <si>
    <t>Revisar el estado de la Página Web y de la Intranet, su actualización y cumplimiento de lineamientos definidos en Gobierno en Línea.</t>
  </si>
  <si>
    <t>Auditoria Interna</t>
  </si>
  <si>
    <t>Decreto 371 Participación Ciudadana y Control Social.</t>
  </si>
  <si>
    <t>2. El “Plan Anticorrupción y de atención al ciudadano” no ha definido formalmente la manera de denominar o presentar el Grupo de Atención al Ciudadano: “Atención al ciudadano”, “Coordinación de atención al ciudadano”, “Oficina de Atención al Ciudadano” y “Coordinación de servicio al ciudadano”. (Revisar “Responsable” en cada uno de los componentes)</t>
  </si>
  <si>
    <t>3. El “Plan Anticorrupción y de atención al ciudadano”,
- Componente: Mapa de Riesgos, en cuanto al riesgo: “Facilitar el trabajo de tramitadores que cobran por los servicios o trámites de CVP, formuló la acción: “Actualizar los procedimientos o trámites, si es del caso, de acuerdo a la evaluación realizada.”. A 31 de diciembre de 2013 reportó un avance del 80% pero fue eliminada en el reporte del 30 de abril de 2014. La acción también está incluida en el componente anti-trámites de la vigencia 2013 con avance del 75% y para la vigencia 2014 reporta avance 0%. Por tratarse de la misma acción no reporta continuidad.
En el “Plan anticorrupción y de atención al ciudadano” componente Estrategia Anti Trámites, para la vigencia 2014 se formularon las mismas acciones de la vigencia 2013. Aunque en la vigencia 2013 se reporta un avance promedio del 56%, (cumplimiento parcial) el 30 de abril de 2014 reporta 0%. Lo anterior evidencia que no existe continuidad en la ejecución de las acciones formuladas.</t>
  </si>
  <si>
    <t xml:space="preserve">4. El POA del proyecto de inversión 943 de la vigencia 2013 “Fortalecimiento institucional para la transparencia, participación ciudadana, control y responsabilidad social y anticorrupción”, presenta inexactitud en el reporte de ejecución así:
• La sub-actividad “Seguimiento al cumplimiento de las acciones previstas en el Plan Anticorrupción”, se programa con un 40% en mayo; 30% en agosto; y 30% en diciembre y su ejecución se registra en el mismo porcentaje para las mismas fechas. Sin embargo, según el avance reportado en los informes divulgados en la WEB, se publicaron dos (2) seguimientos correspondientes a 31 de agosto y 31 de diciembre de 2013.
• En la sub-actividad “Registro de la publicación en la web: Publicar internamente y en la página Web los resultados de la encuesta de satisfacción del ciudadano en relación con los trámites y servicios de la CVP”, se reportó un cumplimiento del 100%. Esta misma acción formulada en el “Plan Anticorrupción - componente Rendición de cuentas” reportado a 31 de diciembre de 2013, reporta cumplimiento 0%, y en el seguimiento describe: “Para el mes de Diciembre no se realizó ninguna acción orientada al cumplimiento de ésta actividad. Este tema se trabajará y se comenzará en el primer trimestre de 2014”.
• En la sub-actividad “Diseño de la herramienta informática: Coordinar con los organismos distritales y las dependencias internas de la CVP para desarrollar una herramienta informática dirigida a mantener actualizada la información de la página web relacionada con los PQRS que han sido recibidas en la entidad y que posibilite consultar en línea por parte del ciudadano el estado actual de cada una de ellas”, se reporta en noviembre de 2013 un avance de cumplimiento del 30% y en diciembre del 40% para un total del 70%. En el “Plan anticorrupción - componente de Rendición de cuentas, para esta misma acción se reporta a 31 de diciembre de 2013, cumplimiento del 100%.
</t>
  </si>
  <si>
    <t xml:space="preserve">6. b. El proceso “Urbanizaciones y Titulación” no presentó los soportes de trabajo que evidencien el ejercicio de la participación ciudadana y el control social en el periodo auditado. </t>
  </si>
  <si>
    <t>7b. En los dos eventos de rendición de cuentas – vigencia 2013, cumplidos el pasado 30 de marzo quedó evidenciado, mediante informe, que la actividad destinada a “Respuestas a las preguntas de los ciudadanos” seis en Ciudad Bolívar, y “Preguntas” cinco en Chiguaza, no contó con la suficiente documentación, dado que los soportes escaneados registran veinte preguntas, de las cuales solo cuatro figuran en el informe. Así mismo, cinco preguntas en el informe de Chiguaza y dos en el de Ciudad Bolívar no están debidamente soportadas.</t>
  </si>
  <si>
    <t>8. No se ha dado cumplimiento a las acciones formuladas en el Plan de Mejoramiento resultante de la auditoría (Decreto Distrital 371 de 2010) vigencia 2013. Fecha de cumplimiento de las acciones contempladas en el mencionado plan: 30 mayo 2014.</t>
  </si>
  <si>
    <t xml:space="preserve">Auditoria Institucional/Auditoria Proceso
</t>
  </si>
  <si>
    <t>Entes Externos</t>
  </si>
  <si>
    <t>Formulación y seguimiento a los proyectos de inversión - Procedimiento Digitación- Control Documental.</t>
  </si>
  <si>
    <t>Filas que se pueden combinar, las demás NO deben combinarse</t>
  </si>
  <si>
    <t>Total Acciones</t>
  </si>
  <si>
    <t>Auditoria Institucional/Auditoria Proceso</t>
  </si>
  <si>
    <t>Institucional</t>
  </si>
  <si>
    <t>Oportunidad Plan de Mejoramiento</t>
  </si>
  <si>
    <t>Auditoria de Nomina y Perno</t>
  </si>
  <si>
    <t xml:space="preserve">Recalculo de nómina
Se evidencian en el cálculo de la prima técnica las siguientes observaciones (el detalle en desarrollo de auditoría):
• Se tienen en cuenta certificados de estudio que no se ajustan a los requisitos de ley, para seis funcionarios de los 35 revisados que solicitaron                                                                                                                    el reconocimiento de la prima técnica.
• Para un funcionario se tomó en cuenta experiencia laboral anterior a la terminación de materias.
• Se registran diferencias en el cálculo del tiempo de experiencia laboral para cinco funcionarios de los 35 revisados.
• Para dos funcionarios se realizaron equivalencias para la determinación de la prima técnica aplicando el Decreto 785 de 2005 y la Resolución 402 de 2008, normatividad relacionada con el ingreso a un empleo y no a  la determinación de la prima técnica.
</t>
  </si>
  <si>
    <t>Auditoria Decreto Distrital 371 de 2010 en materia de Gestión Contractual</t>
  </si>
  <si>
    <t xml:space="preserve">DIVULGACIÓN Y PUBLICACIÓN 
Se evidencia que dentro de la muestra evaluada existen modificaciones  contractuales que no fueron publicadas  oportunamente dentro  del portal de SECOP.
Ver: cesión de contrato 001 de 2014 y Actas de suspensión de los contrato 181 y 201 de 2014
</t>
  </si>
  <si>
    <t>Plataforma y Manejo de plataforma de correos de la Caja de la Vivienda Popular</t>
  </si>
  <si>
    <t>Asegurar que la información registrada en el directorio, sobre funcionarios y contratistas de la WEB y la Intranet sea congruente.</t>
  </si>
  <si>
    <t xml:space="preserve">Establecer unos criterios mínimos para la delegación de la Supervisión de los contratos en el Manual de contratación
</t>
  </si>
  <si>
    <t>Verificar la aplicación de las disposiciones contenidas en el Decreto 371 de 2010 en materia de Gestión Contractual, así como la aplicación del manual de contratación y del instructivo 208-SADM-In-02 INSTRUMENTO EVALUACIÓN POR COMP.</t>
  </si>
  <si>
    <t>DOCUMENTACIÓN PROCESO CONTRACTUAL
En el contrato 042 de 2013 la Solicitud de Certificado de Disponibilidad Presupuestal suscrita por un funcionario diferente al autorizado para este fin.</t>
  </si>
  <si>
    <t>EJECUCIÓN CONTRACTUAL
Al revisar los soportes de culminación del contrato 022 de 2013, se encuentra el “Formato Entrega Contratistas” en el cual se especifica que no aplica la entrega de backup de información, a pesar que dentro de las obligaciones especiales del contrato se encuentra “efectuar el levantamiento, manejo y control de las bases de datos de contratación de la Caja.” Esto evidencia que la entidad no tiene claridad sobre los productos concretos que espera recibir de los contratistas.
SUPERVISIÓN E INTERVENTORÍA
No fue posible obtener evidencia sobre la verificación de condiciones mínimas de idoneidad de los supervisores e interventores, por cuando la dependencia responsable del proceso no suministro información.</t>
  </si>
  <si>
    <t>RETROALIMENTACIÓN PROCESO CONTRACTUAL
Una vez consultada la Dirección Jurídica de la entidad, no se pudo obtener evidencia sobre la retroalimentación del proceso contractual a los diferentes centros de gestión institucional, por cuando dicha dependencia no suministro información</t>
  </si>
  <si>
    <t xml:space="preserve">SEGUIMIENTO Y MEDICIÓN DEL PROCESO ADQUISICIÓN DE BIENES Y SERVICIOS
Una vez consultada la Dirección Jurídica de la entidad, no se pudo obtener evidencia sobre seguimientos y mediciones realizados al proceso en el último año,  por cuando dicha dependencia no suministro información.
</t>
  </si>
  <si>
    <t>Diseñar indicadores que permitan dar cuenta del proceso contractual para la toma de decisiones.</t>
  </si>
  <si>
    <t>Socializar la obligación y normatividad a los contratistas a cargo de la Representación Judicial, incluyendo el procedimiento de representación judicial establecido por la CVP.</t>
  </si>
  <si>
    <t>Control Interno Contable
Encuesta MECI y pormenorizado del Estado de Control Interno</t>
  </si>
  <si>
    <t xml:space="preserve">Generar un plan de trabajo para la integrabilidad de los módulos de SI CAPITAL </t>
  </si>
  <si>
    <t xml:space="preserve">Oficializar la misión, visión y objetivos estratégicos </t>
  </si>
  <si>
    <t>Prolongar el tiempo para la formulación de plan de mejoramiento a 10 días después de presentado el informe de auditoría</t>
  </si>
  <si>
    <t>Encuesta del MECI y Pormenorizado del Estado de Control Interno del DAFP</t>
  </si>
  <si>
    <t>Auditar la aplicación de la política de administración de la información en la Entidad</t>
  </si>
  <si>
    <t>Subdirector Administrativo y Comité de Prima Técnica</t>
  </si>
  <si>
    <t>Para los errores de planta fija se envía a la Oficina Jurídica para el concepto correspondiente considerando la antigüedad del reconocimiento y las acciones legales correspondiente que se deban tomar en el evento de ser necesarios.</t>
  </si>
  <si>
    <t>Subdirector Administrativo</t>
  </si>
  <si>
    <t xml:space="preserve">Marcela Mesa López / Profesional especializado / Dirección Jurídica. </t>
  </si>
  <si>
    <t xml:space="preserve">Realizar reuniones trimestrales con los servidores que se relacionan con la actividad contractual, para hacer retroalimentación de experiencias exitosas y dificultades en los procesos que se llevan a cabo en la Dirección, la cual se verá reflejada en las respectivas actas. </t>
  </si>
  <si>
    <t xml:space="preserve">Magaly Cala Rodríguez /Directora Jurídica/ Dirección Jurídica.  </t>
  </si>
  <si>
    <t>Documentos y papeles sueltos del Archivo de la Dirección Jurídica de Representación Judicial.</t>
  </si>
  <si>
    <t xml:space="preserve">Seguridad de la información efectuando la gestión necesaria y los trámites administrativos para el traslado de los archivos móviles de oficina abierta a un lugar con llave y control dentro de la misma oficina. </t>
  </si>
  <si>
    <t>Magaly Cala Rodríguez /Directora Jurídica</t>
  </si>
  <si>
    <t>OAP</t>
  </si>
  <si>
    <t xml:space="preserve">Solicitar a los líderes de proceso que tengan en cuenta al formular el plan de la vigencia actual  la formulación y el seguimiento de las vigencias anteriores para hacer el análisis y manejar la continuidad e las acciones. </t>
  </si>
  <si>
    <t>OAP -Direcciones Misionales</t>
  </si>
  <si>
    <t>Formular e implementar el procedimiento y la estrategia de rendición de cuentas en donde se genere el protocolo de respuesta a las preguntas a la ciudadanía y los métodos y canales de publicación</t>
  </si>
  <si>
    <t>OAP
OAC
Dirección Corporativa y CID</t>
  </si>
  <si>
    <t>Verificar información suministrada por la dirección corporativa y la dirección del programa de reasentamientos sobre presuntas irregularidades en el manejo del programa de relocalización transitoria</t>
  </si>
  <si>
    <t>Contabilidad y procedimiento VUR y provisión cartera</t>
  </si>
  <si>
    <t>Inventarios y Almacén</t>
  </si>
  <si>
    <t>Fidolo Martínez Ramírez- Auxiliar Administrativa</t>
  </si>
  <si>
    <t xml:space="preserve">Se estableció que no se han realizado actividades tendientes al cumplimiento del 100% de la política de responsabilidad social, participación ciudadana y control social establecida en la entidad. 
Hallazgo Decreto 371
Articulo 4. PARTICIPACIÓN CIUDADANA Y CONTROL SOCIAL, 7. Verificar la existencia de registros en medio físico y/o electrónico de las intervenciones ciudadanas y su administración: (CALIFICACIÓN  0.) </t>
  </si>
  <si>
    <t>Evaluación por dependencias.</t>
  </si>
  <si>
    <t>Oficina Asesora de Planeación 
Jefes de dependencia</t>
  </si>
  <si>
    <t>1. Por instrucción de la Dirección Jurídica, se reforzó el área de archivo con dos contratistas, con el fin de revisar el archivo de la Gestión Documental de contratos 2012, y atender las acciones señaladas en el acápite "recomendaciones del informe de auditoria interna". 2. La Entidad suscribió un contrato de prestación de servicios profesionales, con el señor José Alfredo Melo Rodríguez, cuyo objeto es: "Prestación de servicios profesionales, para la elaboración, adopción, aplicación de las tablas de valoración y retención documental y la intervención de los documentos que constituyen el fondo documental de acuerdo con el subsistema interno de gestión documental y archivo (SIGA), el sistema de calidad, las normas vigente, los procedimientos y lineamientos internos de la Entidad"·, profesional que ya inspecciono el archivo documental de contratos, y dio pautas a la persona encargada del Archivo, pautas que conllevan a la optimización del archivo y la aplicación de normas que regulan la materia. 3. Adicionalmente la Dirección Jurídica esta implementando un instructivo dirigido a todas las áreas para que de manera oportuna allegue todos los documentos referentes a la ejecución del contrato y que deban reposar en el archivo de contratos, y así evitar que se presente represamiento documental en el archivo documental e el área de contratos. 4. La Dirección Jurídica está en proceso de seleccionar un apoyo técnico con conocimiento en Archivística para que preste sus servicios en el archivo de contratos,  teniendo en cuenta la saturación que presenta por el cumulo de documentación que se presentan diariamente. 5. Se está adelantando una licitación pública con el objeto de implementar la gestión y custodia de los archivos de la entidad , de esta forma se corrige la situación presentada por el poco espacio del archivo del área de contratos. 6. Se realizó la verificación documental del contrato 431 de 2009 y determinar los documentos que se deben sanear de conformidad con la "Auditoria Interna"</t>
  </si>
  <si>
    <t>Álvaro Leonardo Garnica Guevara</t>
  </si>
  <si>
    <t>Presentar informes periódicos sobre el archivo judicial y en particular, describiendo las actualizaciones surtidas en los procesos o carpetas y la inclusión de nuevos expedientes al citado archivo. La periodicidad será de cada dos meses, contados a partir de la fecha en que se entregue el informe correctivo.</t>
  </si>
  <si>
    <t xml:space="preserve">En el procedimiento 208-COM-Pr-02 V3 “Gobierno en línea”, Ítem 13 Evaluación, se establecen los siguientes  reportes: Google Analíticas; estadística de movimientos en redes sociales; informe con descripción de la inquietud o sugerencia y seguimiento al trámite; los cuales no se utilizan en el seguimiento. </t>
  </si>
  <si>
    <t>Dirección de Gestión Corporativa y CID (áreas de Sistemas) y Oficina Asesora de Comunicaciones - como responsables de contratar el rediseño del portal web de la entidad. 
OAC como responsable de actualización del procedimiento "Administración y Gestión de Contenidos de Web e Intranet" (Anterior Gobierno en Línea)</t>
  </si>
  <si>
    <t>En el procedimiento reformulado "Administración y Gestión de Contenidos de Web e Intranet" (Anterior Gobierno en Línea), tiene un aparte de evaluación sobre la percepción de la WEB e Intranet, de sus contenidos y servicios para atender de manera adecuada las necesidades de comunicación de los grupos de interés de la entidad.</t>
  </si>
  <si>
    <t xml:space="preserve">1. En algunos de los documentos que definen las políticas y estrategias que apuntan al eje de Responsabilidad Social (en trámite de aprobación) se incorpora un ítem de articulación no se evidencia una completa armonización:
• El POA del proyecto de inversión 943 de 2013, “Fortalecimiento institucional para la transparencia, participación ciudadana, control y responsabilidad social y anticorrupción”, presenta algunas acciones que no se enlazan con el plan de acción en cada una de estas políticas.
• El Plan Anticorrupción y de Atención al Ciudadano – mapa de riesgos de corrupción,  ítem – acciones en el proceso de “Servicio al Ciudadano” y los componentes: 2 Estrategia Anti trámites; 3 Estrategia Rendición de Cuentas y 4 Mecanismos para mejorar la Atención al Ciudadano. </t>
  </si>
  <si>
    <t>Se implementará por parte de la OAP control basado en la revisión de los planes nuevos formulados y  los seguimientos de vigencias anteriores con el fin de verificar la continuidad o finalización de las metas con sus porcentajes de ejecución.</t>
  </si>
  <si>
    <t>Formular, en caso que el concepto recibido así lo amerite, acción correctiva para revisar y ajustar los porcentajes de la prima técnica de los funcionarios de la CVP.</t>
  </si>
  <si>
    <t>Realizar una circular, para las áreas, recordando la aplicación de los Numerales 6.2.3 al 6.2.9 del Manual de Contratación y los procedimientos allí referidos</t>
  </si>
  <si>
    <t xml:space="preserve">Elaborar memorando  a la Oficina de Planeación, donde se solicite la eliminación del formato de Solicitud de CDP  en el SIG, en cabeza de la Dirección Jurídica, con copia a la Subdirección Financiera para que desde allí se solicite el formato en los procedimiento que allí se manejan. </t>
  </si>
  <si>
    <t xml:space="preserve">RETROALIMENTACIÓN PROCESO CONTRACTUAL
Dentro del proceso de adquisición de bienes y servicios se pudo determinar que se celebran comités de contratación en los cuales se exponen inquietudes relacionadas con los procesos contractuales. Sin embargo la Dirección Jurídica no utiliza espacios formales para retroalimentar a sus servidores sobre experiencias exitosas y problemas  encontrados en otros procesos.
</t>
  </si>
  <si>
    <t>Estado de las Acciones</t>
  </si>
  <si>
    <t>Establecer un cronograma de actividades a desarrollar para culminar la organización de los expedientes de Urbanizaciones.</t>
  </si>
  <si>
    <t xml:space="preserve">Subdirectora Financiera, Subdirección </t>
  </si>
  <si>
    <t xml:space="preserve">Levantamiento del procedimiento Plan de Adquisiciones </t>
  </si>
  <si>
    <t xml:space="preserve">Se tiene formulado un plan estratégico que se visualiza en el manual de calidad 208-Pla-Mn-01 V4 y se definen cuatro objetivos estratégicos. Cuando estos objetivos se despliegan en la caracterización, se presentan unas subdivisiones que no se visualizan en ningún documento formal.
Se tienen estos objetivos de calidad en el plan estratégico de la vigencia 2008 al 2012, y que se visualiza en la carpeta de documentos de referencia del proceso Gestión Estratégica.
</t>
  </si>
  <si>
    <t>Sistema de Gestión de Calidad Gestión Estratégica</t>
  </si>
  <si>
    <t xml:space="preserve">No se puede evidenciar el control que se da a los registros presentados en los procedimientos de la carpeta de calidad que se indica en el manual de calidad y el manejo que se da a través de las TRD aprobadas el 30 de septiembre del 2013. 
- Proceso de Reasentamientos: 
Se definen formatos como:
Formato acta de archivo administrativo 208-REAS-Ft-21
Formato acta de cierre administrativo 208-REAS-Ft-24
Formato ficha de seguimiento relocalización transitoria 208-REAS-Ft-26
Encuesta de calidad en la prestación del servicio relocalización transitoria. 208-REAS-Ft-29
Formato ficha socioeconómica familiar, técnica y jurídica. 208-REAS-Ft-31
Formato asistencia reuniones con comunidad - 208-REAS-Ft-32
Lista de chequeo reasentamientos - 208-REAS-Ft-33
 Los anteriores formatos no guardan relación con el control de las TRD para esta área.
- Mejoramientos de vivienda:
Las TRD no mencionan ninguno de los registros presentados en el procedimiento aprobado 208-MV-Pr-01 V4 Procedimiento mejoramiento de vivienda y formatos reportados en el listado maestro de documentos.
</t>
  </si>
  <si>
    <t>Servicio al Ciudadano</t>
  </si>
  <si>
    <t>Se efectúa una asignación inadecuada de correspondencia externa recibida, con lo cual se generan demoras en la atención de los requerimientos, producto de la reasignación de los mismos.</t>
  </si>
  <si>
    <t>Sistema de Información Si-Capital</t>
  </si>
  <si>
    <t xml:space="preserve">NIVELES DE RESPONSABILIDAD.
Se evidencia que no están claramente definidos los niveles de responsabilidad y las  cadenas de aprobación para solicitar los requerimientos dentro de los módulos SI CAPIT@L.
</t>
  </si>
  <si>
    <t xml:space="preserve">PLAN DE CONTRATACIÓN
Se evidencia que aunque en  la actualidad el módulo SISCO permite el ingreso de información con respecto a las líneas del PLAN DE CONTRATACIÓN y que a su vez se han llevado a cabo capacitaciones sobre el tema, el plan se encuentra desactualizado por parte de los responsables de su ingreso  ya que se han incluido 307 líneas de contratación de las 377 existentes en la actualidad. No se han alimentado con las cifras de ejecución correspondientes.
De igual forma, se observa que no se ha contado con la participación por parte del personal de la subdirección administrativa para el manejo de los gastos de funcionamiento.
</t>
  </si>
  <si>
    <t xml:space="preserve">MANUALES E INSTRUCTIVOS PARA USUARIOS
Se evidencia que aunque existen manuales de usuario, estos no contienen documentación sobre los desarrollos y ajustes que se han implementado en la entidad.
</t>
  </si>
  <si>
    <t xml:space="preserve">MANUALES TÉCNICOS SOBRE CAMBIOS AL CÓDIGO
No se evidencia control de versiones al código de SI CAPIT@L en sus diferentes módulos. Se requiere llevar un registro de los cambios o ajustes realizados, la descripción del resultado, la fecha y autorización del funcionario que lo solicitó y el funcionario que aprobó tal cambio.
</t>
  </si>
  <si>
    <t>Se evidenció que no se enviaron a la Dirección de Defensa Jurídica del Estado, los reportes bimestrales del resultado de los Indicadores de enero a agosto de 2014, correspondientes a: 1) La eficacia de la conciliación reflejada en la disminución de procesos en contra de la entidad; 2) La eficacia de la conciliación reflejada en la disminución porcentual de condenas contra la entidad; 3) La efectividad de las decisiones del Comité de Conciliación traducidas en el porcentaje de conciliaciones aprobadas judicialmente; y 4) El ahorro patrimonial que se logre con ocasión de los acuerdos conciliatorios aprobados por la jurisdicción</t>
  </si>
  <si>
    <t>Mediante el procedimiento 208-DJ-17-06, Control de legalidad, se estableció el cumplimiento de los requisitos legales, entre otros, en el acompañamiento que la Dirección Jurídica le presta a los diferentes procesos que atienden la población objetivo y demás partes interesadas; el mencionado documento  presenta inconsistencias entre la fecha de aprobación y la fecha de vigencia y carece del correspondiente registro de elaboración, revisión y aprobación.</t>
  </si>
  <si>
    <t>Los documentos contenidos en los expedientes de los procesos que conforman el archivo de la Dirección Jurídica no están digitalizados; con lo cual se expone a la consecuente inseguridad en la conservación documental de sus archivos (numeral 12.3 de las Políticas</t>
  </si>
  <si>
    <t>En relación con la distribución de procesos entre los profesionales del Derecho, tanto contratistas como funcionarios, la responsabilidad en la asignación de la atención de los procesos judiciales de la entidad, es una función del funcionario(a) que desempeñe el cargo de Director(a) de la dependencia. Aparentemente no existe distribución equitativa en la mencionada asignación de la atención de los procesos a cargo de la entidad, sin embargo, se indica que la carga laboral por proceso jurídico no es proporcionada, dada la diferencia en la complejidad que atraviesa la tipología de los procesos; aunque es evidente que no es la única variable a analizar. Para verificar lo anterior se revisó el reporte denominado carga laboral del SIPROJ con fecha 19 de noviembre y arrojó la información descrita en el siguiente cuadro:</t>
  </si>
  <si>
    <t>El inventario de procesos judiciales en curso, tanto en contra de la CVP, como iniciados por la entidad, también está contenido en la Matriz mencionada en el numeral anterior, sin embargo, no hace referencia al nivel de eficiencia y eficacia de la representación judicial, teniendo en cuenta los tiempos de gestión, contenido de los informes y fallo</t>
  </si>
  <si>
    <t xml:space="preserve">El proceso no ha formulado planes de mejoramiento producto de la autoevaluación. Tal es el caso del resultado obtenido en el análisis del servicio no conforme, medido con corte al 30 de mayo de 2014, que según el formato para cuarta tipología presenta no conformidad.
Es preciso anotar que en la autoevaluación se puede generar planes de mejoramiento en el análisis del mapa de riesgo, el cumplimiento del plan de acción, quejas o reclamos de los usuarios, análisis de datos y/o cumplimiento de metas, entre otros.
</t>
  </si>
  <si>
    <t xml:space="preserve">SATISFACCIÓN DEL CLIENTE
Se evidencia que el proceso  cuenta con un instrumento que permite realizar un seguimiento a la satisfacción del usuario,  denominado encuesta de satisfacción finalización de obra área social  con código 208-Mb-Ft-12 versión 2, el cual se encuentra oficializado  en la carpeta de calidad. Sin embargo las encuestas no han sido tabuladas por los responsables, lo que origina que no se midan ni se  analicen para una oportuna toma de decisiones.
</t>
  </si>
  <si>
    <t xml:space="preserve">MEDICIÓN Y ANÁLISIS (INDICADORES)
El proceso de Mejoramiento de Barrios cuenta actualmente con 3 indicadores para el proyecto 208, de los cuales no se tiene un registro periódico ni frecuencia en su medición. Quiere ello decir que no cuenta con descripción clara del indicador. Además, dentro de su formulación no se tiene claro lo que va en el numerador y en el denominador, pues se traspone erróneamente. Es indispensable que se ajuste para un adecuado seguimiento a las actividades y una oportuna toma de decisiones; de igual forma sería  conveniente que estos tuvieran correlación con los indicadores que se encuentran dentro del FUSS para una coherente medición del proyecto.
</t>
  </si>
  <si>
    <t>˗ Dirección de Gestión Corporativa y CID. Área de Sistemas.
-Dirección Jurídica
˗Área Financiera.
˗Oficina Asesora de Planeación.
˗Área de Personal.
˗Subdirección  Administrativa.
˗Administrador Cordis</t>
  </si>
  <si>
    <t>Expedir circular con las obligaciones y condiciones de uso de SI Capital para supervisores, contratistas y gestores en las diferentes áreas funcionales de la CVP.</t>
  </si>
  <si>
    <t xml:space="preserve">Crear repositorios de manuales de uso del SI C@pital en la carpeta Calidad de la CVP.
</t>
  </si>
  <si>
    <t>Incentivar  a través de la intranet la consulta de dichos documentos.</t>
  </si>
  <si>
    <t>Dirección de Gestión Corporativa y CID - Área de Sistemas
Ingenieros de soporte SI C@pital. Supervisor</t>
  </si>
  <si>
    <t>Entregar a la OAP dichos manuales para que sean incorporados en la carpeta de calidad cada vez que sean actualizados.</t>
  </si>
  <si>
    <t>Directora de Mejoramiento de Barrios
-Profesional enlace Oficina Asesora de Planeación.</t>
  </si>
  <si>
    <t>Realizar el análisis de la satisfacción de finalización de las obras y presentar informe de resultados.</t>
  </si>
  <si>
    <t>Realizar un taller semestral para  reforzar las conocimientos sobre cada uno de los tipos de documentos que el ciudadano radica en la entidad para mejorar la asignación de los mismos.</t>
  </si>
  <si>
    <t>Secretario Comité de conciliación</t>
  </si>
  <si>
    <t>Se ajustara el formato a lo establecido en calidad.</t>
  </si>
  <si>
    <t>Sensibilizar a la persona encargada del archivo de jurídica sobre los lineamientos de conservación, seguridad y custodia de los documentos judiciales.</t>
  </si>
  <si>
    <t xml:space="preserve">1. Se verificara la distribución de los procesos con el personal que se contrate.
</t>
  </si>
  <si>
    <t xml:space="preserve">2. Se verificara la carga laboral de los funcionarios de planta temporal.
</t>
  </si>
  <si>
    <t xml:space="preserve">3. Se justificara el no reparto de estos procesos al personal de planta temporal.
</t>
  </si>
  <si>
    <t>Contratación personal necesario</t>
  </si>
  <si>
    <t>Actualización del SIPROJ (ver plan de mejoramiento con la Contraloría)</t>
  </si>
  <si>
    <t>Sensibilizar al personal contratado y de plata para el manejo de procesos sobre la actualización del SIPROJ Circular 6 de 2014.</t>
  </si>
  <si>
    <t>En lo referente a  los informes que deben rendir los abogados que atienden los procesos, la Dirección Jurídica proporciona un archivo digital denominado “Matriz de procesos judiciales”, el cual contiene: resultados de revisión SIPROJ del 6 y 19 de septiembre de 2014; Informe de apoderados con fecha 18 de septiembre de 2014; y Acciones a realizar. Se alude que la falta de actualización obedece al paro de la rama judicial desde el 6 de octubre de 2014.
La información generada en la atención a los procesos judiciales de la CVP, debe ser actualizada mediante la incorporación de datos y documentos (PDF), para permitir su consulta y análisis; sin embargo, los abogados que tienen como obligación contractual esa actividad no la cumplen (ver cuadro “Seguimiento Procesos Activos CVP (2)” tomado del SIPROJ con fecha 19 de noviembre de 2014, en copia digitalizada que reposa en la carpeta compartida de Control Interno). Este hallazgo también se detectó en el 2012, el 31 de feb./2013 se formuló plan de mejoramiento, el cual consta dos (2) acciones propuestas que a la fecha no se han  ejecutado.</t>
  </si>
  <si>
    <t>Actualizar el Manual de contratación teniendo en cuenta la Resolución de honorarios para la vigencia 2015</t>
  </si>
  <si>
    <t>Realizar la transferencia de los archivos muertos a archivo central, con el fin de liberar espacio en el archivo existente y los expedientes que se encuentran ubicados fuera del mismo incluirlos para su custodia.</t>
  </si>
  <si>
    <t>Consolidado:</t>
  </si>
  <si>
    <t>Puede combinarse</t>
  </si>
  <si>
    <t>Plantear las acciones de mejora de acuerdo al informe de resultados de satisfacción de finalización de obras.</t>
  </si>
  <si>
    <t xml:space="preserve">
Realizar el análisis de los resultados arrojados por los indicadores de seguimiento al PI 208 y presentar informe del avance de los indicadores del proyecto 208
</t>
  </si>
  <si>
    <t>Demora en el cumplimiento  del programa de Auditorias, respecto la fecha de inicio y a la agenda de las auditorias.</t>
  </si>
  <si>
    <t>El profesional responsable del Acta</t>
  </si>
  <si>
    <t>Dejar en el procedimiento de Auditorias Internas cuando se levanten las auditorias y definir las implicaciones</t>
  </si>
  <si>
    <t>El formato de evaluación de la auditoria no  es claro y el modo de evaluación  no es el más conveniente</t>
  </si>
  <si>
    <t>Revisar y ajustar el formato.</t>
  </si>
  <si>
    <t>Dejar en el procedimiento de Auditorias Internas:  Diligenciar el formato de evaluación de la auditoria y evaluación del auditor</t>
  </si>
  <si>
    <t>No se toma la evaluación de la auditoria tan pronto como se termine la auditoria.</t>
  </si>
  <si>
    <t>Actualizar  el directorio de la  página web y de la intranet con la información de los servidores</t>
  </si>
  <si>
    <t xml:space="preserve">Actualizar y aprobar la política de seguridad de la información.
</t>
  </si>
  <si>
    <t>Gestión Estratégica – Sistema Integrado de Gestión</t>
  </si>
  <si>
    <t xml:space="preserve">No se han formulado procedimientos definidos en la norma NTD-SIG-2011, entre otros: 
- 7) El reporte de accidentes de trabajo. 
- 8) La investigación de accidentes laborales 
- 11) La protección del intercambio de información. 
- 12) El monitoreo del uso de los medios de procesamiento de información 
- 14) Planificación Operativa
- 15) La construcción y actualización del Normograma, 
Y otros documentos como:
Procedimiento de evaluación periódica de lo legal
Nota: Numerales tomados de la norma NTD-SIG-001: 2011
</t>
  </si>
  <si>
    <t>Imagen corporativa. Se definió en el documento: 208-COM-G-01 GUÍA DE MANEJO DE IMAGEN CVP el logo de la entidad como “Caja de la Vivienda Popular”. Sin embargo no se ha dado cumplimiento total en los procedimientos actualizados en la vigencia 2014.</t>
  </si>
  <si>
    <t>Actualización del MECI 2014. Se adelantó mediante cronograma la actualización del MECI, dispuesta en el Decreto 943 de 2014. En el informe sobre la actualización del MECI en la fase de cierre 21 de diciembre de 2014 (reportado el 16 de febrero de 2015) no se habían completado las acciones propuestas</t>
  </si>
  <si>
    <t xml:space="preserve">DIVULGACIÓN Y PUBLICACIÓN 
Se evidencia que dentro de la muestra revisada, no obran constancias documentales completas de divulgación y publicidad – SECOP.
Ver: Contratos 282 y 283 de 2015.
</t>
  </si>
  <si>
    <t xml:space="preserve">DOCUMENTACIÓN PROCESO CONTRACTUAL - FORMATO DISPONIBILIDAD PRESUPUESTAL
En 17 de los 32 contratos revisados, no existe evidencia documental de la utilización del formato 208-DJ-Ft-01 FORMATO SOLICITUD CERTIFICACIÓN DISPONIBILIDAD DE PRESUPUESTAL, aunque los certificados de disponibilidad en todos los casos señalan el origen del mismo. 
</t>
  </si>
  <si>
    <t xml:space="preserve">DOCUMENTACIÓN - LISTA DE CHEQUEO
Se evidencia que en 3 de los 32 contratos revisados no hay diligenciamiento del formato 208-SADM – Ft-05 Lista de Chequeo que permite llevar un control de la documentación que obra en la carpeta del contrato.
</t>
  </si>
  <si>
    <t xml:space="preserve">1. Profesionales técnicos y sociales de la DMV. 
Profesional encargado de planeación en la DMV.
</t>
  </si>
  <si>
    <t xml:space="preserve"> Profesional encargado de planeación en la DMV.</t>
  </si>
  <si>
    <t>1. Profesionales técnicos y sociales de la DMV. 
Profesional encargado de planeación en la DMV.</t>
  </si>
  <si>
    <t>4. Profesional encargado de planeación en la DMV.</t>
  </si>
  <si>
    <t xml:space="preserve">1. Realizar la formulación de indicadores  de eficiencia, eficacia y efectividad del proceso de mejoramiento de vivienda.
</t>
  </si>
  <si>
    <t xml:space="preserve">
2. Revisar y/o aprobar la propuesta de indicadores  de eficiencia, eficacia y efectividad del proceso de mejoramiento de vivienda.
</t>
  </si>
  <si>
    <t xml:space="preserve">3. Solicitar la formalización de los indicadores de eficiencia, eficacia y efectividad del proceso de mejoramiento de vivienda.
</t>
  </si>
  <si>
    <t xml:space="preserve">4. Socializar al recurso humano del proceso de Mejoramiento de Vivienda los indicadores  de eficiencia, eficacia y efectividad del proceso de mejoramiento de vivienda.
</t>
  </si>
  <si>
    <t xml:space="preserve">
2. Profesional financiero de la DMV. 
Profesional encargado de planeación en la DMV.
</t>
  </si>
  <si>
    <t xml:space="preserve">1. Revisar y/o ajustar las actividades del proyecto 7328 a cargo de la Dirección de Mejoramiento de Vivienda, para la vigencia 2015 en el Plan Operativo Anual.
</t>
  </si>
  <si>
    <t xml:space="preserve">
2. Establecer presupuesto a cada una de las actividades del proyecto 7328 a cargo de la Dirección de Mejoramiento de Vivienda.
</t>
  </si>
  <si>
    <t>Dirección de Urbanizaciones y Titulación</t>
  </si>
  <si>
    <t xml:space="preserve">Adquisición de Bienes y Servicios </t>
  </si>
  <si>
    <t>Contraloría</t>
  </si>
  <si>
    <t xml:space="preserve">Prevención del Daño Antijurídico y Representación Judicial </t>
  </si>
  <si>
    <t>x</t>
  </si>
  <si>
    <t>DOCUMENTACIÓN - LISTA DE CHEQUEO
Se evidencia que en la totalidad de los contratos revisados, no hubo diligenciamiento del formato 208-SADM – Ft-05 Lista de Chequeo que permite llevar un control de la documentación que obra en la carpeta del contrato.
DOCUMENTACIÓN PROCESO CONTRACTUAL
El cincuenta y cuatro por ciento 54% de las carpetas revisadas no se encuentran organizadas cronológicamente de acuerdo  con las etapas de los procesos contractuales y con la lista de chequeo  que reposa en cada carpeta.
Ver contratos 001, 011, 031, 041, 051, 061, 071, 081, 161, 171, 181 y 191 de 2014.
Así mismo, la totalidad de las carpetas de los contratos celebrados bajo las modalidades Contratación Directa - Mínima Cuantía,  Selección Abreviada - Subasta Inversa, Selección Abreviada - Mínima cuantía, objeto de revisión adolecen de deficiencias en el mismo sentido.
Ver contratos 219, 220, 221, 222, 223, 224, 225 y 226 de 2014</t>
  </si>
  <si>
    <t>Oficina Asesora de Planeación.</t>
  </si>
  <si>
    <t>Wilber Abril</t>
  </si>
  <si>
    <t>Oficina asesora de planeación,
Procesos Misionales</t>
  </si>
  <si>
    <t>Solicitar a los procesos que aplique, el seguimiento del servicio no conforme al último trimestre del año 2014.</t>
  </si>
  <si>
    <t xml:space="preserve">Socializar a los enlaces de cada proceso el manejo del formato Servicio No Conforme.
</t>
  </si>
  <si>
    <t xml:space="preserve">
Solicitar a los procesos el envío periódico de la información trimestre vencido.</t>
  </si>
  <si>
    <t>Profesional Especializado Oficina Asesora de Planeación</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</si>
  <si>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</si>
  <si>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Actualizar la Guía de Manejo de imagen CVP, donde se incluya todos los logos utilizados actualmente por la entidad.</t>
  </si>
  <si>
    <t>Oficina Asesora de Planeación - Oficina Asesora de Comunicaciones</t>
  </si>
  <si>
    <t>Elaborar un cronograma (Plan de Trabajo) donde se identifiquen las acciones pendientes para la implementación de los productos mínimos que aún se encuentren pendientes o que requieran de actualización, y dar seguimiento al mismo para la vigencia 2015.</t>
  </si>
  <si>
    <t>Oficina asesora de Planeación.</t>
  </si>
  <si>
    <t xml:space="preserve">Establecer dentro del procedimiento de control documental una actividad para que al momento de aprobar nuevos documentos, o de actualizar documentos, se haga la respectiva actualización de la versión y vigencia de los mismos en el listado maestro de documentos </t>
  </si>
  <si>
    <r>
      <t>Oficina Asesora de Planeación -</t>
    </r>
    <r>
      <rPr>
        <sz val="10"/>
        <color rgb="FFFF0000"/>
        <rFont val="Arial"/>
        <family val="2"/>
      </rPr>
      <t xml:space="preserve"> </t>
    </r>
    <r>
      <rPr>
        <sz val="10"/>
        <rFont val="Arial"/>
        <family val="2"/>
      </rPr>
      <t>Oficina Asesora de Control Interno</t>
    </r>
  </si>
  <si>
    <t>Director de Reasentamientos/Profesional Especializado</t>
  </si>
  <si>
    <t>Realizar análisis a los instrumentos del proceso, tales  como, plan de acción, mapa de riesgos, producto y servicio no conforme, cumplimiento de los procedimientos, indicadores y generar plan de mejoramiento a las   desviaciones encontradas</t>
  </si>
  <si>
    <t>No se genero Plan de mejoramiento relacionado a la auditoria interna adelantada en diciembre de 2014</t>
  </si>
  <si>
    <t>No se ha medido el servicio no conforme para la vigencia 2015</t>
  </si>
  <si>
    <t>Garantizar contar en la Dirección con un servidor que atienda los requerimientos asociados al SIG</t>
  </si>
  <si>
    <t>Medición trimestral de la matriz de servicio no conforme con reporte a planeación</t>
  </si>
  <si>
    <t>No se han actualizado los procedimientos según las observaciones del informe a diciembre de 2014</t>
  </si>
  <si>
    <t>Ajustar los procedimientos del Proceso de Reasentamientos</t>
  </si>
  <si>
    <t xml:space="preserve">Dejar la acción de revisar y actualizar los instrumentos del SIG en el plan de acción de gestión.  </t>
  </si>
  <si>
    <t xml:space="preserve">Dirección Corporativa y CID
OAP
</t>
  </si>
  <si>
    <t>Dirección Corporativa y CID</t>
  </si>
  <si>
    <t> El 24 de abril se realizó el primer taller sobre los tipos de documentos.
4 de Septiembre de 2015:
Se solicita el cambio de responsable atendiendo al nuevo líder del proceso Gestión corporativa.</t>
  </si>
  <si>
    <t>Profesional Especializado
Directora de Gestión Corporativa y CID</t>
  </si>
  <si>
    <t xml:space="preserve">1. Los procedimientos e instructivos que conforman el proceso se encuentran desactualizados en cuanto a normatividad y actividades que ya no se cumplen o se cumplen de forma diferente. Ver los ejemplos en el punto 3 de la sección VII. Desarrollo de la Auditoria. </t>
  </si>
  <si>
    <t>Fecha</t>
  </si>
  <si>
    <t>Cambio</t>
  </si>
  <si>
    <t>ítem</t>
  </si>
  <si>
    <t>Oportunidad de mejora</t>
  </si>
  <si>
    <t>Subdirector Financiero 
Subdirector Administrativo</t>
  </si>
  <si>
    <t>Análisis del sistema integrado de gestión</t>
  </si>
  <si>
    <t>Se evidenció al revisar el documento del procedimiento de servicio al ciudadano imprecisiones e incoherencias  referente a formatos y secuenciación de las actividades, respectivamente, con lo cual se incumple los parámetros de documentación definidos  para el SIG</t>
  </si>
  <si>
    <t xml:space="preserve">Se evidenció al revisar la documentación del proceso que no se encuentran documentadas las Tablas de Retención Documental de acuerdo con lo establecido la Ley 594 de 2000  y el Acuerdo 039 de 2002 del Archivo General de la Nación </t>
  </si>
  <si>
    <t>Director (a) de Gestión Corporativa y CID o a quien designe para esta función o el
Coordinador (a) de la oficina de servicio al ciudadano
Profesional Especializado de la Oficina Asesora de Planeación</t>
  </si>
  <si>
    <t>Validar los documentos y/o registros evidenciados  en el procedimiento vs el listado maestro de documentos con el fin de garantizar la codificación de los registros</t>
  </si>
  <si>
    <t>Cuando se realice la próxima modificación de procedimiento</t>
  </si>
  <si>
    <t>Realizar el levantamiento y formulación de la Tabla de Retención Documental para el proceso</t>
  </si>
  <si>
    <t>Auditoria combinada Gestión Humana</t>
  </si>
  <si>
    <t>Ingreso, permanencia y retiro de funcionarios: de acuerdo con los resultados de la verificación a la muestra aleatoria de historias laborales, se identificaron inconsistencias relativas a: 1) nombramiento sin el lleno requisitos; 2) encargo sin acto administrativo que sustente dicha novedad; y 3) diligenciamiento incompleto del formato estandarizado para verificación de requisitos de ingreso. Ver numeral 10.</t>
  </si>
  <si>
    <t>Gloria Marcela y Maria Helena</t>
  </si>
  <si>
    <t xml:space="preserve">Se ajusta herramienta unificando hallazgos independiente de las acciones formuladas. Ya que un hallazgo puede presentar varias acciones bien acciones correcciones  </t>
  </si>
  <si>
    <t>Gloria Marcela</t>
  </si>
  <si>
    <t>Se ajusto herramienta introduciendo hallazgos "Oportunidad Mejora" acorde al formato de informe auditoria V3. 06 de julio de 2015 y se introdujo como tipo de auditoria las formuladas ejercicios de "Autocontrol"</t>
  </si>
  <si>
    <t>Se formulo herramienta, para el control de los hallazgos productos de la auditoria</t>
  </si>
  <si>
    <t>Maria Helena Pedraza</t>
  </si>
  <si>
    <t xml:space="preserve">01/12/2015:
Aunque la matriz está definida la medición no es coherente con la caracterización, esta debilidad se refleja en el informe de diciembre de 2015. </t>
  </si>
  <si>
    <t xml:space="preserve">DOCUMENTACIÓN PROCESO CONTRACTUAL - EVALUACIÓN DE COMPETENCIAS
Se evidencia que el formato  208-SADM-FT-63 EVALUACIÓN DE COMPETENCIAS Y HABILIDADES COMPORTAMENTALES NIVEL PROFESIONAL que reposa en cada una de las carpetas de contratos de prestación de servicios con persona natural no ha sido incluido en la carpeta de calidad. 
</t>
  </si>
  <si>
    <t xml:space="preserve">CONTROL SOCIAL Y PARTICIPACIÓN CIUDADANA
La evidencia documental sobre la  publicación en el Sistema Electrónico de Contratación Pública SECOP de la convocatoria a las veedurías ciudadanas para ejercer control social en los  procesos, debe ser incorporada al respectivo expediente. 
</t>
  </si>
  <si>
    <t>Formalizar la revisión anual del plan estratégico de la entidad.</t>
  </si>
  <si>
    <t>Revisar y corregir en el listado maestro y/o en a carpeta de calidad los hallazgos detectados por Control Interno (en el plan de mejoramiento del proceso se generó una acción por cada error encontrado)</t>
  </si>
  <si>
    <t>Se debe continuar con la labor de identificación, organización y archivo de los expedientes que contienen información histórica extensa.</t>
  </si>
  <si>
    <t xml:space="preserve">La Dirección de Urbanizaciones y Titulación presenta un cronograma con actividades que se desarrollarán durante 2016. Sin embargo una de las actividades propuestas se desarrollará en 2017.
Esta acción correctiva se deja abierta hasta diciembre de 2016.
</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</si>
  <si>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</si>
  <si>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Auditoria, estado del sistema integrado de gestión.</t>
  </si>
  <si>
    <t>No existe evidencia de la actualización total de los procedimientos, puesto que no se identifican las políticas de operación ni controles definidos para cada proceso. Tampoco han sido actualizados los procedimientos obligatorios de la NTC GP 1000.</t>
  </si>
  <si>
    <t>No existe evidencia acerca de construir la coherencia institucional de acuerdo con la nueva planeación estratégica, los objetivos de los procesos y las herramientas que permitan verificar el cumplimiento de objetivos y metas.</t>
  </si>
  <si>
    <t>El FUSS es un formato externo del cual no se asegura su control.</t>
  </si>
  <si>
    <t>No se evidenció la generación de acciones correctivas y preventivas que se presentan en Atención al ciudadano a través del mecanismo de PQRS</t>
  </si>
  <si>
    <t>No se pudo evidenciar la eficacia de las acciones tomadas ya que no existe socialización de las mismas en lo relacionado con atención al ciudadano.</t>
  </si>
  <si>
    <t>No se tiene la evidencia del diligenciamiento de los  documentos y/o registros establecidos en los procedimientos del proceso.</t>
  </si>
  <si>
    <t>Auditoria combinada Comunicaciones</t>
  </si>
  <si>
    <t>Auditoria combinada Mejoramiento de Vivienda</t>
  </si>
  <si>
    <t xml:space="preserve">DOCUMENTACIÓN PROCESO CONTRACTUAL - FORMATO DISPONIBILIDAD PRESUPUESTAL
Se evidencia que en el sesenta y ocho por ciento (68%) de los contratos revisados  no es utilizado el formato 208-DJ-Ft-01 FORMATO SOLICITUD CERTIFICACIÓN DISPONIBILIDAD DE PRESUPUESTAL,  el cual hace parte de la documentación aprobada dentro del Sistema combinada de Gestión. 
Tal situación se presenta así mismo en todos los contratos celebrados bajo las modalidades Contratación Directa - Mínima Cuantía,  Selección Abreviada - Subasta Inversa, Selección Abreviada - Mínima cuantía, objeto de revisión.
</t>
  </si>
  <si>
    <t>Decreto 371 de 2010 y auditoria combinada Adquisición de bienes y servicios</t>
  </si>
  <si>
    <t>No hay coherencia entre los documentos descritos en el listado maestro y los incluidos en el proceso (Ver tabla  listado maestro de documentos).</t>
  </si>
  <si>
    <t>Las tablas de retención documental se encuentran desactualizadas. Ver apartes (tablas de retención documental – TRD).</t>
  </si>
  <si>
    <t>La documentación del proceso se archiva  en forma virtual. Sin embargo adolece de una estandarización para su manejo, lo que dificulta el control de su totalidad, además del acceso, trazabilidad y conservación.</t>
  </si>
  <si>
    <t>El líder  del proceso debe asegurarse de efectuar las correcciones y tomar las acciones correctivas y preventivas, producto de los resultados de las auditorías internas.</t>
  </si>
  <si>
    <t>La página web cuenta con el link 3   Transparencia y acceso a información pública”, pero este no contiene  la información requerida.</t>
  </si>
  <si>
    <t>El directorio de información de servidores públicos, empleados y contratistas, publicado en la página web, está desactualizado y no cumple con los requisitos de la norma</t>
  </si>
  <si>
    <t>La web cuenta con el link que guíe a los usuarios a la página del SECOP, pero este no está asociado a los contratos de la Entidad, además no se publica la información sobre la ejecución de los mismos.</t>
  </si>
  <si>
    <t>No se evidencia información en la página web que de cumplimiento al título V Instrumentos de gestión de la información, solamente se encuentra el numeral III esquema de publicación de la información y este no cumple con los componentes descritos en el artículo 42 del Decreto Reglamentario 103 de 2015.</t>
  </si>
  <si>
    <t>En la página web no se encontró publicado el informe de solicitudes de acceso a la información</t>
  </si>
  <si>
    <t>Sin reporte de seguimiento.</t>
  </si>
  <si>
    <t>Auditoria combinada Reasentamientos Humanos</t>
  </si>
  <si>
    <t>En el seguimiento y medición de servicio no existe relación entre los requisitos definidos del servicio en la hoja “Servicio Conforme” con la medición que se realiza en la hoja “Servicio no conforme”. Así mismo, no se cumple con lo solicitado en la norma NTCGP 1000:2009 en lo que se refiere al tratamiento de los servicios no conformes.</t>
  </si>
  <si>
    <t>Auditoria combinada Urbanización y titulaciones</t>
  </si>
  <si>
    <t>Subdirector(a) Administrativo (a)</t>
  </si>
  <si>
    <t>Ajustar el procedimiento 208-SADM-Pr-13 donde la responsabilidad y el punto de control respecto a la verificación del cumplimiento de los requisitos para el cargo y validez de la documentación (actividades 18 y 6 punto de control) recaiga sobre el profesional universitario 219-03 de talento humano</t>
  </si>
  <si>
    <t>Se implementará un  control trimestral, solicitando a cada líder de proceso al cierre de cada trimestre, enviar los formatos diligenciados de inducción en el puesto de trabajo de las personas que han ingresado a la entidad</t>
  </si>
  <si>
    <t>Coordinadores DMV con el acompañamiento del profesional de planeación de la DMV</t>
  </si>
  <si>
    <t>Equipo de gestión documental con apoyo del profesional de planeación d la DMV
Director de Mejoramiento de Vivienda</t>
  </si>
  <si>
    <t>El diligenciamiento del formato M-ODT-FM-026 Certificación de Actualización de Información Distrital del Empleo y la Administración Pública – SIDEAP; se llevó a cabo hasta el mes de febrero de 2014 (ver numeral 3.3).</t>
  </si>
  <si>
    <t xml:space="preserve">Noviembre 12 de 2015:
En la documentación realizada de los procedimientos se especifican los responsables de la aplicación de los políticas por cada actividad del procedimiento. En proceso la implementación de los procedimientos.
</t>
  </si>
  <si>
    <t>29 de diciembre de 2015:
Se estableció que la ejecución de esta acción fue modificada, por cuanto la antigüedad de la mayoría de las mencionadas historias y la necesidad de dar cumplimiento a los requerimientos normativos vigentes a partir de segundo semestre de 2015, dio inicio a un proceso de organización documental de cada uno de los expedientes de las historias laborales de la entidad, a cargo del contratista Fredy Camacho Guerrero, con el fin de elaborar el Inventario Único Documental FUID. Esta nueva gestión se soporta en los informes remitidos vía correo institucional, sobre sus avances. Por lo anterior, esta acción aunque modificada continúa en ejecución.</t>
  </si>
  <si>
    <t>Diciembre 31 de 2015:
La circular se expedirá una vez se valide por parte de la OAP.</t>
  </si>
  <si>
    <t>Auditoria Si Capital</t>
  </si>
  <si>
    <t>En el módulo PERNO no queda el registro (evidencia) de las pruebas que se efectúan.</t>
  </si>
  <si>
    <t>El manual del módulo SAE no contempla el procedimiento para enviar información al módulo LIMAY.</t>
  </si>
  <si>
    <t>10:15:00 a 11:00 a.m.</t>
  </si>
  <si>
    <t>Se realiza la revisión de coherencia, en general no se tienen un buen análisis de causas y solo se proponen acciones correctivas, las fechas propuesta para ejecutar la acción es 30 de diciembre de 2015, fecha ya cumplida, falto incluir la no conformidad, se devuelve por correo institucional a Wilber Abril para su corrección.</t>
  </si>
  <si>
    <t>9:23 a 9:40 a.m.</t>
  </si>
  <si>
    <t>Claudia Ximena Hormanza</t>
  </si>
  <si>
    <t>Se verifica los ajustes de la revisión inicial realizado en diciembre 3 de 2015, se reitera que el hallazgo y la causa no deben ser lo mismo.</t>
  </si>
  <si>
    <t>Administración de la Información</t>
  </si>
  <si>
    <t>Mario Rolando Benavides</t>
  </si>
  <si>
    <t>Dirección de Gestión Corporativa y CID</t>
  </si>
  <si>
    <t>Realizar inducción y seguimiento a la implementación del procedimiento de mantenimiento y desarrollo de software junto con los formatos respectivos para cualquier proyecto de mantenimiento y desarrollo de software.</t>
  </si>
  <si>
    <t>13/01/2016
14/01/2016</t>
  </si>
  <si>
    <t>Considerando que en el manual para SAE ubicado en la direcciòn http://serv-cv2/documentacion/sae/SAE.pdf, pagina Nº 9 describe que se  debe "hacer clic" en el boton "generar comprobante" y luego hacer clic en el botòn contabilizar para envìar la informaciòn de este modulo al de contabilidad (mòdulo LIMAY), comedidamente se solicitano considerar esta oportunidad de mejora dado con lo anteriormente descrito se cumple lo solicitado</t>
  </si>
  <si>
    <t>Auditoria Si capital</t>
  </si>
  <si>
    <t>4:00 a 4:30 p.m.
9:00 A 9:40</t>
  </si>
  <si>
    <t>Se devuelve el plan de mejoramiento con dos observaciones, para pasar al formato version 4, ajustar y firmar. Se envío por correo instituciona a Mario Rolando</t>
  </si>
  <si>
    <t>10:40 a 11:00 a.m.</t>
  </si>
  <si>
    <t>Gestion Humana</t>
  </si>
  <si>
    <t>Carolina Cuartas</t>
  </si>
  <si>
    <t>Se revisa los ajustes de la primera revisión, se devuelve con dos pequeños ajustes, para impresión y firma, se dejan pendientes siete OM que se pregunta en el correo quien debe formularlas.</t>
  </si>
  <si>
    <t>2:00 a 2:30 p.m.</t>
  </si>
  <si>
    <t>Nicolas Padilla</t>
  </si>
  <si>
    <t>Se realiza revisión de coherencia y se devulve con observaciones por correo institucional, las observaciones tiene que ver con el diligenciamiento del formato y la determinación de las causas.</t>
  </si>
  <si>
    <t>Elaborar y comunicar los actos administrativos de prorroga de los encargados y nombramientos provisionales</t>
  </si>
  <si>
    <t>Auditoria combinada Administración de la Información</t>
  </si>
  <si>
    <t xml:space="preserve">El proceso auditado no cuenta con una política actualizada de Administración de la Información que se ajuste a los requerimientos de gestión del mismo; situación que se evidencia en:
1. El subproceso Sistemas de Información requiere adelantar las gestiones pertinentes, tendientes a la actualización de su política marco, incluyendo la normatividad vigente en materia de TIC; así como la armonización de los roles y responsabilidades para su adecuada funcionalidad.
2. El subproceso Gestión documental adoptó una política que no cumple los parámetros establecidos en la normatividad vigente, especialmente los relativos a los componentes definidos en el Decreto 2609 de 2012 artículo 6.
3. La falta de formulación de una política unificada para el proceso, refleja la carencia de una visión sistémica sobre la administración de la información, en la que se debe armonizar tanto los subprocesos internos como los demás procesos que conforman el mapa institucional. (Ver numerales 1.1 y 1.2)
</t>
  </si>
  <si>
    <t>Los subprocesos de manera independiente han logrado una ejecución significativa de los productos formulados en la caracterización; no obstante, es necesario que se genere una sinergia en la gestión de las actividades, que tienda a dar cumplimiento armónico a los objetivos del proceso. Lo anterior, por cuanto existen prácticas y resultados mancomunados cuyo cumplimiento impacta la gestión de todos los procesos de la entidad así como de las demás partes interesadas; tal como sucede con el “modelo de requisitos para la gestión de archivos electrónicos” que no ha sido implementado.</t>
  </si>
  <si>
    <t xml:space="preserve">Producto de la verificación efectuada por Control Interno al nivel de cumplimiento de las disposiciones contenidas en la Ley de Transparencia, con corte al 30 de noviembre del presente; se evidenció que aún se encuentran pendientes por implementar algunos de los requisitos de dicha norma, o los mismos se encuentran desactualizados o incompletos. (Ver numeral 5) </t>
  </si>
  <si>
    <t>10 a 10:30 a.m.</t>
  </si>
  <si>
    <t>Se reviso el archivo con las correcciones de la primera revisión, se reenvía con la observacion de mejorar el análisis de acusas, para poder formular mejor las acciones.</t>
  </si>
  <si>
    <t>No se mejor el análisis de causas, se devulve archivo con observaciones la mayoría igual que la primera revisión.</t>
  </si>
  <si>
    <t>7:40 a 8:30 a.m.</t>
  </si>
  <si>
    <t>07:40 a.m. 8:20 a.m.</t>
  </si>
  <si>
    <t>Se explica las observaciones personalmente al enlace para su ajuste</t>
  </si>
  <si>
    <r>
      <rPr>
        <b/>
        <sz val="8"/>
        <color theme="1"/>
        <rFont val="Arial"/>
        <family val="2"/>
      </rPr>
      <t>30/01/2015</t>
    </r>
    <r>
      <rPr>
        <sz val="8"/>
        <color theme="1"/>
        <rFont val="Arial"/>
        <family val="2"/>
      </rPr>
      <t xml:space="preserve">
Se verifico que dentro de los estudios previos de los contratos 141 y 143 de 2015, correspondientes a los abogados de representación judicial y extrajudicial, se incluyo la obligación especial correspondiente a la actualización y diligenciamiento de la información en el SIPROJ de acuerdo con lo señalado en el art. 110 del Decreto 654 de 2011
13-06-2013 Se evidenció que dentro de las obligaciones especiales de los contratos 057, 096 y 044 de 2013, suscritos para la representación como apoderado y asesor judicial y extrajudicial… se incluyó "Hacer seguimiento diario de la información necesaria para alimentar la base de datos Siproj, garantizando que en ella se encuentren todos los procesos que se cursen en contra de la Entidad.
12-01-2016
Se incluyó dentro de las obligaciones especiales: en el numeral 15 “Hacer seguimiento diario de la información necesaria para alimentar la base de datos del SIPROJWEB (…)”; y de la misma manera en la obligación N° 16 que dice: “Inmediatamente se profiera una sentencia sea favorable o desfavorable el contratista deberá (…)”.  Por las razones expuestas, se solicita cerrar la acción. (Se adjunta archivo electrónico copia página 3, Ítem 2.4. OBLIGACIONES ESPECIALES, Sisco: 2015 -228, 37-f-04 V.5.)</t>
    </r>
  </si>
  <si>
    <t>12-01-2016
El último informe presentado fue en el mes de octubre de 2015, relacionado con el inventario de los procesos judiciales con el estado actual.  Se anexa soporte en archivo electrónico remitido por Álvaro Leonardo Garnica Guevara, Técnico Operativo de la Dirección Jurídica – Encargado del Archivo. Se solicita cierre.</t>
  </si>
  <si>
    <t>Se da cierre por José Orjuela en seguimiento en enero de 2016, comprobando el cumplimiento, y los soportes se dejan en carpeta de soportes del plan de mejoramiento</t>
  </si>
  <si>
    <t xml:space="preserve">12-01-2016
Se verificó que el archivo de gestión de la Dirección Jurídica, se encuentra custodiado con un mecanismo de seguridad bajo llave.  Por lo tanto, se solicita sea cerrada la acción. </t>
  </si>
  <si>
    <t>12/01/2016
El Director Jurídico de la CVP, realizó reunión con el fin de impartir las directrices para la distribución de los procesos a los abogados contratados, reparto que es realizado por el mismo Director. Se solicita el cierre de esta acción.</t>
  </si>
  <si>
    <t>12-01-2016
El Director Jurídico de la CVP, realizó reunión con el fin de impartir las directrices para la distribución de los procesos a los abogados contratados, reparto que es realizado por el mismo Director. Se solicita el cierre de esta acción.</t>
  </si>
  <si>
    <t>12-01-2016
Se contrató el personal necesario.</t>
  </si>
  <si>
    <t>12-01-2016
Se realizaron cinco (5) capacitaciones por parte de la Alcaldía Mayor, relacionadas con el SIPROJ, dirigida a los abogados que ejercen la representación judicial de la Entidad.  Se anexan los correos de solicitud e invitación a las capacitaciones, en archivo electrónico. Se solicita el cierre de esta acción.</t>
  </si>
  <si>
    <t xml:space="preserve">12-01-2016
Se realizó sensibilización sobre actualización del SIPROJ, haciendo énfasis en la Circular del 6 de octubre de 2014.  Se anexan listados y correos electrónicos. Se solicita el cierre de esta acción. </t>
  </si>
  <si>
    <t>07:52:00 a.m. a 9:11 a.m.</t>
  </si>
  <si>
    <t>Se revisa el plan de mejoramiento en borrador, se generan algunas recomendaciones frente a las acciones formuladas y a los indicadores, se deja como compromiso ajustar, revisar las fechas de cumplimiento de remitir a CI</t>
  </si>
  <si>
    <t>Solicitar un concepto al DASCD, sobre la validez del documento presentado por el funcionario para efectos de certificar el cumplimiento de requisitos respecto a la educación formal (especialización) solicitada en convocatoria</t>
  </si>
  <si>
    <t>Decepcionar el recibo de pago de arriendo, firmado por el arrendador</t>
  </si>
  <si>
    <t>Formular Plan de mejoramiento, según las evidencias durante el proceso de: Toma de inventarios, recibo e ingreso de pedidos de bienes al almacén, entrega de inventarios devolutivos a contratistas o personal de planta, recibo de bienes a contratistas o personal de planta por cesación de vinculo laboral o contractual con la CVP y traslados.</t>
  </si>
  <si>
    <t>4 de septiembre de 2015:
Durante la toma de inventario que se realizó en el periodo comprendido entre el 18 noviembre y 19 de diciembre de 2014 desde mayo 20 de 2015 al 23 de junio de 2015, no se evidenciaron inconsistencias frente a los elementos devolutivos, por lo tanto no hace necesario formular plan de mejoramiento. No se cierra porque se va a evaluar en auditoria de septiembre de 2015.
CI evidencia que si existen mejoras que se pueden aplicar al proceso se cambia de fecha para medirlo con el inventario a 31 de diciembre de 2015.</t>
  </si>
  <si>
    <t xml:space="preserve">19 de diciembre de 2014:
La oficina Asesora de Planeación y el Equipo Operativo del Comité de Ética formuló el documento Plan de Acción.
El mismo se encuentra pendiente de aprobación por parte del Comité de Ética, por lo cual se estima n avance del 60% en la acción.
Por lo anterior se solicita respetuosamente a la Oficina de control Interno modificar la fecha de cumplimiento de la acción para el 31 de enero de 2015, a fin de que el comité se reúna y apruebe el plan de acción. </t>
  </si>
  <si>
    <t xml:space="preserve">3. Líder del proceso de Mejoramiento de Vivienda.
</t>
  </si>
  <si>
    <t>La acción se cumplió, pero se  verificará en la auditoría de esta vigencia  la efectividad de la  acción, para darle el respectivo cierre
Se da cierre por José Orjuela en seguimiento en enero de 2016</t>
  </si>
  <si>
    <r>
      <rPr>
        <b/>
        <sz val="8"/>
        <color theme="1"/>
        <rFont val="Arial"/>
        <family val="2"/>
      </rPr>
      <t>30/01/2015</t>
    </r>
    <r>
      <rPr>
        <sz val="8"/>
        <color theme="1"/>
        <rFont val="Arial"/>
        <family val="2"/>
      </rPr>
      <t xml:space="preserve">
Se socializa la obligación de la actualización del SIPROJ, a los apoderados de acuerdo con los estudios previos en sus obligaciones especiales.
Así mismo el 19/09/2014 con el código 208-DJ-Pr-08 se incorporo en calidad el procedimiento correspondiente al seguimiento de los procesos judiciales.
13-06-2013 No presenta ningún avance.
12-01-2016
Se anexa correo dirigido a los abogados que realizan la representación judicial de la Entidad, en el cual se hace referencia a los Lineamientos para la buena Gestión de la representación judicial de la CVP, contenidos en la Circular del 6 de octubre de 2014. (Se adjunta archivo electrónico copia Pdf correos y registro de reunión 11/02/2015). .  Por lo anterior, se solicita el cierre de esta acción.</t>
    </r>
  </si>
  <si>
    <t>La acción se cumplió, pero se  verificará en la auditoría de esta vigencia  la efectividad de la  acción, para darle el respectivo cierre.
Se da cierre por José Orjuela en seguimiento en enero de 2016</t>
  </si>
  <si>
    <t>21-08-2014: Se tiene planteado un cronograma de actividades del SI CAPITAL, se describen actividades tendientes a la integrabilidad del sistema, algunas actividades se terminan en diciembre de 2014, se debe realizar seguimiento para verificar el cumplimiento.</t>
  </si>
  <si>
    <r>
      <t xml:space="preserve">01/05/2015 
Solicitan redefinir fecha de finalización en la acción. Se está construyendo o un documento en el cual se generen las políticas para la administración de la información. </t>
    </r>
    <r>
      <rPr>
        <b/>
        <sz val="10"/>
        <color theme="1"/>
        <rFont val="Arial"/>
        <family val="2"/>
      </rPr>
      <t xml:space="preserve">PENDIENTE FECHA DE TERMINACIÓN
Noviembre 12 de 2015:
</t>
    </r>
    <r>
      <rPr>
        <sz val="10"/>
        <color theme="1"/>
        <rFont val="Arial"/>
        <family val="2"/>
      </rPr>
      <t>Se logró elaborar la Política Marco de la Seguridad de la Información. Se documentaron nueve procedimientos dentro de los cuales se establecieron políticas para se ejecución. En aprobación.</t>
    </r>
    <r>
      <rPr>
        <b/>
        <sz val="10"/>
        <color theme="1"/>
        <rFont val="Arial"/>
        <family val="2"/>
      </rPr>
      <t xml:space="preserve">
</t>
    </r>
  </si>
  <si>
    <t>Noviembre 12 de 2015:
Se documentaron nueve procedimientos dentro de los cuales se establecieron políticas para se ejecución. Con base en dichos procedimientos, se generó el documento en el cual se consolidan las políticas de seguridad de la entidad,  y el  cual se remitió a la OAP para revisión.  En proceso la implementación de los procedimientos.
Soportes de los procedimientos en  la carpeta N° 10 de la carpeta calidad.</t>
  </si>
  <si>
    <t>La acción se cumplió, pero se  verificará en la auditoría de esta vigencia  la efectividad de la  acción, para darle el respectivo cierre</t>
  </si>
  <si>
    <t>10-08-2015
Seguimiento del área realizado el julio de 2015: se realizó la formulación y reformulación  de los instrumentos de seguimientos a la gestión en los nuevos formatos proveídos por la Oficina Asesora de Planeación. Se utilizó la metodología de despliegue  de la estrategia planteada en los acuerdos de gestión de los gerentes públicos  de la Dirección de Gestión Corporativa y CID a los demás instrumentos de gestión en lo referente a la formulación de acciones asociadas a cada una de ellas (formato, único de seguimiento sectorial -FUSS y formato POA asociado, plan de acción ,  matriz de riesgos,  matriz de riesgos de corrupción). Con lo anterior se logró dar coherencia y uniformidad tanto a la mayoría de acciones planteadas como al registro de su seguimiento. No obstante, se aclara que existen acciones, específicamente ,las definidas en el rezago  que no están interrelacionadas entre instrumentos dado que estas se formularon durante la vigencia 2014 y con el método anterior. Igualmente , se debe considerar que existe una particularidad y propósito específico en la formulación de acciones para cada instrumento  que en conjunto con el método utilizado para la vigencia y el gap temporal en la formulación de cada instrumento, ocasionó que existan algunas actividades expresadas únicamente en un instrumento sin que necesariamente implique que no se esté utilizando el método definido para el despliegue.. (Ver los instrumentos  publicados en la carpeta calidad)
4 de septiembre de 2015: Se cambia responsable de acción atendiendo el cambio de líder de proceso sería la Dirección corporativa.</t>
  </si>
  <si>
    <t>8-enero-2015
Se tiene concepto firmado por Juan Manuel Russy Escobar donde se indica que es viable aplicar las equivalencias establecidas en el Decreto 785 de 2005 para el reconocimiento de la prima técnica, esta pendiente el concepto del Departamento Administrativo del Servicio Civil Distrital como lo indica la acción o la confirmación del líder del procedimiento se será pedido o no para evaluar el cierre de la acción.
4 de septiembre de 2015:
Respecto a la respuesta emitida por el  DASCD con fecha 18 de febrero de 2015 se elevó la solicitud de una nueva revisión del tema.</t>
  </si>
  <si>
    <t>4 de septiembre de 2015: 
En espera del tercer concepto solicitado al DASCD, se solicita reprogramar fecha de finalización 31-12-2015</t>
  </si>
  <si>
    <t>Los documentos que se presentan en el listado maestro de documentos no corresponden en versión o en algunos casos no están publicadas en la carpeta de calidad. Casos como:
- Listado Maestro de Documentos reporta como formato el V2, pero el que se encuentra publicado y donde se adelanta el registro corresponde a la V4
- El formato de oficio con código 208-SADM-Ft-59 publicado en este registro cuenta con versión 7, pero se encontró una comunicación de la Oficina Asesora de Planeación con el registro en versión V5.
- Las TRD, según el Listado Maestro de Documentos: “TABLA DE RETENCIÓN DOCUMENTAL” código 208-SADM-Ft-07 V5, de 26 Marzo 2014, y creada desde 8/09/2010, no presenta registros del proceso “Administración de la Información y las formalizadas el 30 de septiembre de 2013 están registradas en el formato.
- Plan de contratación con  código 208-PLA-Ft-11 V5. Se encuentra registros en la carpeta de publicación \\serv-cv2\I\Oficial\Plan de Contratación\Plan de Contratación 2014, pero existe un formato V6.  
- Las diversas caracterizaciones de los doce procesos presentados en la carpeta no se registran en una sola versión, ya que algunas presentan estructura distinta y la del proceso de mejoramiento de vivienda esta publicada con un código 208-MV-Cr-01 Mejoramiento Vivienda y dentro del archivo se reporta como Código: 208-PLA-Ft-19, Versión:2, Vigencia desde:24/09/2014, que no corresponde al documento registrado en el listado Maestro que se reporta como 208-MV-Cr-01, versión 3 con fecha actualización 25/10/2011. Este formato de caracterización se reporta dentro del listado maestro de como Versión: 2, fecha 17/09/2014 y no se encuentra publicado dentro de la carpeta de calidad. PROCESO DE GESTIÓN ESTRATÉGICA</t>
  </si>
  <si>
    <t>Noviembre 12 de 2015:
Los manuales se encuentran almacenados  en el servidor del Sistema y publicados en la ayuda en línea Sistema@ SI C@pital. (ver http://serv-cv2:7778/documentacion/manuales.html)
Se envía a planeación comunicado el 30-12-2015 para que se suba la información a calidad</t>
  </si>
  <si>
    <t>Noviembre 12 de 2015:
Los manuales se encuentran almacenados  en el servidor del Sistema y publicados en la ayuda en línea Sistema@ SI C@pital. (ver http://serv-cv2:7778/documentacion/manuales.html)
Diciembre 31 de 2015:
Se enviará a la OAP una solicitud de publicación de los manuales de los módulos de Si Capital, para consulta de los usuarios y registro actualizado de la documentación.</t>
  </si>
  <si>
    <t>Actualizar y aprobar la política de administración de la información en el capítulo de manejo y control de manuales de usuario.</t>
  </si>
  <si>
    <t>Noviembre 12 de 2015:
Se logró elaborar la Política Marco de la Seguridad de la Información. Igualmente se documentó el procedimiento de desarrollo y mantenimiento de software dentro del cual se definió una política y una actividad referente a la documentación de cambios a través de la generación o ajuste a un manual de usuario. Con base en dichos procedimientos, se generó el documento en el cual se consolidan las políticas de seguridad de la entidad,  y el  cual se remitió a la OAP para revisión. Soportes de los procedimientos en  la carpeta N° 10 de la carpeta calidad.. Se solicita cierre de la acción
Control Interno: Se mantiene abierta hasta que se apruebe el documento.
Diciembre 31 de 2015:
La Política ya se estructuró y la está revisando planeación se considerara la necesidad de incluir un capitulo sobre el manejo y control de los manuales o se procederá a cambiar esta acción.</t>
  </si>
  <si>
    <t xml:space="preserve">Noviembre 12 de 2015:
6. Los manuales se encuentran almacenados  en el servidor del Sistema y publicados en la ayuda en línea Sistema@ SI C@pital. (ver http://serv-cv2:7778/documentacion/manuales.html). Se solicitó a la OAP la publicación en la carpeta de calidad, comunicado del 31de diciembre de 2015. </t>
  </si>
  <si>
    <r>
      <t>6 de mayo de 2015:</t>
    </r>
    <r>
      <rPr>
        <sz val="8"/>
        <color rgb="FFFF0000"/>
        <rFont val="Arial"/>
        <family val="2"/>
      </rPr>
      <t xml:space="preserve">
</t>
    </r>
    <r>
      <rPr>
        <sz val="8"/>
        <rFont val="Arial"/>
        <family val="2"/>
      </rPr>
      <t>Con base en el documento borrador de las políticas, se ha realizado un benchmarking de las políticas  más relevantes en otras organizaciones con el propósito de robustecer el documento. Para el Componente de Seguridad de Información se definió el  portafolios de servicios  de TI con el objetivo de enmarcar la aplicación de las políticas  (niveles de servicio) .Se validó por todo el quipo de trabajo del área de sistemas junto con la Profesional de la Oficina Asesora de Planeación de la matriz de Servicios y  Acuerdos de Niveles de Servicios.
Noviembre de 2015: Se logró elaborar la Política Marco de la Seguridad de la Información. Igualmente se documentaron nueve procedimientos dentro de los cuales se establecieron políticas para su ejecución. Con base en dichos procedimientos, se generó el documento en el cual se consolidan las políticas de seguridad de la entidad,  y el  cual se remitió a la OAP para revisión. Soportes de los procedimientos en  la carpeta N° 10 de la carpeta calidad.</t>
    </r>
  </si>
  <si>
    <t>Prevención de Daño antijurídico y representación judicial</t>
  </si>
  <si>
    <t>En lo relacionado con la actividad de sensibilización sobre la importancia de prevenir el daño antijurídico, mediante jornadas que la Dirección Jurídica debe realizar; no se encontró evidencia de su ejecución. (numeral 3.3.1. de las Políticas)
Frente a si existen estrategias de capacitación en la cuales se haga especial énfasis en: a) la identificación y manejo del riesgo de pérdida o destrucción de elementos y/o documentos, y b) la aplicación de los manuales de procesos y procedimientos relacionados con la garantía del eficiente y oportuno trámite documental y también de su efectiva salvaguarda. No se encontró evidencia de la existencia de las mencionadas estrategias de capacitación vinculadas a la Dirección Jurídica</t>
  </si>
  <si>
    <t>Una vez se cuenta con el archivo debidamente organizado, se solicitará el apoyo del área de gestión documental para su foliación y digitalización de los documentos correspondientes.</t>
  </si>
  <si>
    <t>Establecer como actividad continua la digitalización del archivo de jurídica que se va generando diariamente. Actividad que se formalizará mediante comunicación escrita dirigida al responsable.</t>
  </si>
  <si>
    <t>Solicitar capacitación a la Alcaldía para SIPROJ al personal contratado</t>
  </si>
  <si>
    <t>Definir un punto de control en cabeza de un funcionario de planta para el seguimiento del SIPROJ, quien verificara y rendirá informe al Director Jurídico mensualmente. Registros que deben quedar en acta.</t>
  </si>
  <si>
    <t>Ajustar procedimiento de supervisión incluyendo un instrumento que me permita medir la gestión realizada a los procesos. (Se une con la acción anterior para el seguimiento de la gestión).</t>
  </si>
  <si>
    <t>01/12/2015
Se esta consolidando la información correspondiente a los procesos de autoevaluación con el fin  de elaborar el plan de mejoramiento pertinente, el plan de mejoramiento 2014 se elaboro en el 2015.
CI: Se deja abierto para verificar en auditorias del 2016, porque en las del 2015 sigue el hallazgo, esto se refiere a planes de mejoramiento por autocontrol.</t>
  </si>
  <si>
    <r>
      <rPr>
        <b/>
        <sz val="10"/>
        <color theme="1"/>
        <rFont val="Arial"/>
        <family val="2"/>
      </rPr>
      <t>08-04-2015</t>
    </r>
    <r>
      <rPr>
        <sz val="10"/>
        <color theme="1"/>
        <rFont val="Arial"/>
        <family val="2"/>
      </rPr>
      <t xml:space="preserve">
No se ha llevado a cabo  la tabulación debido a que no ha finalizado obra,  se revisara para la próxima auditoria, de igual forma la fecha para el cumplimiento de esta acción se encuentra vigente.
28-12-2015
Se reprograma la fecha de finalización de las acciones de mejora debido a la no finalización del informe de resultados.
Se solicita cambio en la fecha de terminación de la acción para 30/03/2016</t>
    </r>
  </si>
  <si>
    <t>2. Líder del proceso de Mejoramiento de Vivienda.</t>
  </si>
  <si>
    <t>Líder del proceso de Mejoramiento de Vivienda.</t>
  </si>
  <si>
    <t>Incluir en las reuniones de Control Interno que se efectúan  quincenalmente el  seguimiento y   la revisión de cumplimiento de las actividades para atender contingencias y replantear tiempos,  controlando el cumplimiento de compromisos por profesional.</t>
  </si>
  <si>
    <t>Mónica Bustamante</t>
  </si>
  <si>
    <t>Enviar al final del mes correo electrónico a los líderes de proceso que serán auditados en el mes siguiente.</t>
  </si>
  <si>
    <t>27-08-2015:
Se realizó contrato de prestación de servicios a Wilber Abril quien maneja los temas del SIG, revisar en próxima auditoria que se tenga siempre a alguien responsable de este tema y verificar en el contrato las obligaciones</t>
  </si>
  <si>
    <t>Administración y control de recursos</t>
  </si>
  <si>
    <t>Revisar y actualizar los documentos de los procedimientos e instructivos referenciados en el informe de auditoría</t>
  </si>
  <si>
    <t xml:space="preserve">Procedimientos:  en los aspectos vinculados a algunas de estas herramientas de gestión  revisadas, se estableció de conformidad con lo descrito en el numeral 5 del presente informe: 
PROCEDIMIENTO DE INDUCCIÓN Y RE INDUCCIÓN 208-SADM-Pr-26; ítems 5 y 6 no se evidencian los registros vinculados a la inducción en el puesto de trabajo; los ítems 14 y 15, que instauran actividades de evaluación y análisis en calidad de insumos del “Informe Semestral de Resultados de inducción”, tampoco hay evidencia de su realización.
PROCEDIMIENTO DE CAPACITACIÓN DE SERVIDORES 208-SADM-Pr-27; verificada la ejecución de las actividades descritas en los ítems 17, 19 y 27 asociados a la evaluación de: la logística y metodología utilizada en la capacitación; y las competencias laborales desarrolladas mediante la capacitación; y por otra parte, lo relacionado con el archivo de dichos soportes en las hojas de vida; no se encontró evidencia de la ejecución de tales actividades. 
</t>
  </si>
  <si>
    <t xml:space="preserve">Se envío nuevamente oficio 2015IE4806 del 29 de octubre de 2015, reiterando el oficio de enero, solicitando la entrega de los formatos diligenciados. Ante esta solicitud los líderes de los procesos enviaron los formatos diligenciados.
Con relación a las evaluaciones de las capacitaciones, se solicitó mediante oficio a cada jefe inmediato hacer las evaluaciones correspondientes a las competencias desarrolladas por los funcionarios en las capacitaciones a las cuales asistieron. </t>
  </si>
  <si>
    <t>Revisar las historias laborales de los profesionales especializados que se vincularon a la entidad desde el mes de mayo de 2015 que cuenten con esta misma situación y realizar un alcance al formato denominado Cumplimiento requisitos mínimos experiencia del cargo 208-SADM-Ft-22</t>
  </si>
  <si>
    <t>Implementar las medidas o recomendaciones que al respecto establezca el concepto que emita el DASCD, sobre los documentos que permiten certificar la educación formal</t>
  </si>
  <si>
    <t>Ajustar el formato denominado Cumplimiento requisitos mínimos experiencia del cargo 208-SADM-Ft-22 en el cual se incluya un campo que permita identificar claramente el registro de las convalidaciones que se realicen.</t>
  </si>
  <si>
    <t>Programar una reunión del equipo de Reasentamientos para analizar los parámetros definidos al servicio conforme y las fuentes de información que me permiten su control.</t>
  </si>
  <si>
    <t>En el seguimiento y medición del servicio no existe relación entre los requisitos definidos del servicio en la hoja "Servicio conforme "con la medición que se realiza en la hoja "Servicio no conforme". Así mismo, no se cumple con lo establecido en la norma NTCGP 1000:2009 en lo relacionado con el tratamiento de los servicios no conformes.</t>
  </si>
  <si>
    <t>Revisar y/o actualizar, aprobar y oficializar la información inmersa en los formatos  de caracterización y seguimiento de servicio no conforme en el marco de la implementación del programa de mejoramiento de vivienda.</t>
  </si>
  <si>
    <t>En las tablas de retención documental de este proceso en la vigencia 2014: No se reportan los expedientes del proceso de mejoramiento de vivienda, aunque se adelanta el registro FUID.
No  se cuenta con la base de datos de información, ni se han definido las opciones para su manejo.
En su calidad de supervisor de los convenios 008 de 2011, 231 de 2013, 005 de 2014, 546 de 2015 y 552 de 2015, el director del área no cuenta con el registro de estos documentos.
No se reporta la totalidad de los formatos de este proceso.</t>
  </si>
  <si>
    <t>Realizar la actualización, aprobación y oficialización de la TRD de conformidad con los ajustes realizados a los procedimientos del proceso de Mejoramiento de Vivienda</t>
  </si>
  <si>
    <t>Auditoria proceso Evaluación de la Gestión.</t>
  </si>
  <si>
    <t>Retomar el diligenciamiento del formato M-ODT-FM-023 certificación de actualización de información distrital del empleo y la administración publica-SIDEAP desde el mes de enero de 2016</t>
  </si>
  <si>
    <t>María Gladys Ramírez Morato</t>
  </si>
  <si>
    <t>Mónica Andrea Bustamante Portela</t>
  </si>
  <si>
    <t>Director(a) de Gestión Corporativa y CID-Jefe oficina de comunicaciones y Jefe oficina asesora de planeación</t>
  </si>
  <si>
    <t>Conformar  un equipo de trabajo integrado por representantes del proceso de adminstracion de la información(  sistemas, gestión documental) de comuniciones y planeación  el cual  elaborará un plan de trabajo que comntemple actividasdes que permitan unificar la política del proceso de Administración de la información.</t>
  </si>
  <si>
    <t>Priorizar el diseño de un Programa de Gestión de Documentos Electrónicos.</t>
  </si>
  <si>
    <t>Priorizar el diseño del Programa de Gestión de Documentos Electrónicos plantedo en el PGD</t>
  </si>
  <si>
    <t xml:space="preserve">Director(a) de Gestión Corporativa y CID - </t>
  </si>
  <si>
    <t>Director(a) de Gestión Corporativa y CID-jefe oficina de comunicaciones y jefe oficina de planeación</t>
  </si>
  <si>
    <t>Director(a) de Gestión Corporativa y CID - Jefe oficina asesora de comunicaciones</t>
  </si>
  <si>
    <t>Realizar jornadas de capacitación sobre la ley de transparencia y acceso a la información dirigidas a los lideres de los procesos y responsables delegados para la publicación de los contenidos en la pagina web</t>
  </si>
  <si>
    <t>Actulizar y socializar el esquema de publicación de información del portal web.</t>
  </si>
  <si>
    <t>Total acciones formuladas</t>
  </si>
  <si>
    <t>3. Revisar y/o aprobar el presupuesto a cada una de las actividades del proyecto 7328 a cargo de la Dirección de Mejoramiento de vivienda.</t>
  </si>
  <si>
    <t>No se verificará en esta acción sino en las nuevas acciones formuladas de atención a la encuesta de satisfacción del Cliente</t>
  </si>
  <si>
    <t>No se evidencia análisis o medición de la eficiencia y efectividad del proceso. Estos métodos deben demostrar la capacidad del proceso para el manejo de los recursos disponibles (eficiencia) y el impacto de la gestión tanto en el logro de los resultados planificados como en el manejo de los recursos utilizados (efectividad). 
Cabe señalar que en la actualidad la entidad adelanta un proceso de ajuste institucional, en el cual se enmarcan los instrumentos de medición, y en los cuales la Dirección de Mejoramiento de Vivienda cumple sus propias acciones.</t>
  </si>
  <si>
    <t>El proceso no ha formulado planes de mejoramiento producto de la autoevaluación. Tal es el caso del resultado obtenido en el informe de evaluación satisfacción de servicio de atención al ciudadano, realizado entre los meses Mayo y Julio de 2014, donde se evidencia que el proceso de Mejoramiento de Vivienda presentó un 48.7% de insatisfacción.
Es preciso anotar que en la autoevaluación se puede generar planes de mejoramiento en el análisis del mapa de riesgo, el cumplimiento del plan de acción, quejas o reclamos de los usuarios, análisis de datos y/o cumplimiento de metas, entre otros.</t>
  </si>
  <si>
    <t xml:space="preserve">El porcentaje de avance en cumplimiento de metas no es acorde a la programación y a los tiempos en cuanto a metas y ejecución presupuestal en el Plan de Desarrollo Bogotá Humana.
Durante la vigencia 2012 y hasta septiembre de 2013 no fue asignado presupuesto para la ejecución del proyecto. </t>
  </si>
  <si>
    <t>Se oficializó el Plan de Mejoramiento como analisis del resultado de la encuesta de Satisfacción del cliente del 2014. Este plan de mejoramiento s enemarcó su hallazgo en: "Encuesta de percepción realizada a los ciudadanos" neto se como resultado de la</t>
  </si>
  <si>
    <r>
      <rPr>
        <b/>
        <sz val="10"/>
        <color theme="1"/>
        <rFont val="Arial"/>
        <family val="2"/>
      </rPr>
      <t>22 de marzo 2016:</t>
    </r>
    <r>
      <rPr>
        <sz val="10"/>
        <color theme="1"/>
        <rFont val="Arial"/>
        <family val="2"/>
      </rPr>
      <t xml:space="preserve"> Se formalizó como resultado de la encuesta el plan de mejoramiento el 16 de enero de 2016 con cinco acciones. Se cierra esta acción considerando el plan formalizado de seguimiento a las acciones de la encuesta.
10 de diciembre de 2015: Se solicita se amplíe el termino de cumplimiento de las acciones formuladas en el plan de mejoramiento.</t>
    </r>
  </si>
  <si>
    <t xml:space="preserve">5. Una vez se cuente con el documento oficial de los resultados de la encuesta de percepción de la vigencia 2014 realizada al proceso de Mejoramiento de Vivienda se enviará el plan de mejoramiento a la OCI y a la OAP para su validación y oficialización en la carpeta de calidad.
</t>
  </si>
  <si>
    <t xml:space="preserve">6. Realizar revisión semestral de los resultados originados en el análisis del cumplimiento del plan de acción.
</t>
  </si>
  <si>
    <t>Jurídco</t>
  </si>
  <si>
    <t>No requiere plan de mejoramiento, en razón a que este hallazgo se identifico el 26-09-2014.</t>
  </si>
  <si>
    <t>02:30:00 p.m. a 3:30 p.m.</t>
  </si>
  <si>
    <t>Administración de la Información - Administracion y Control de Recursos</t>
  </si>
  <si>
    <t>Silenia Neira Torres</t>
  </si>
  <si>
    <t>Gloria Marcela Luna
Ana Sofia Estupiñan
Maria Helena Pedraza</t>
  </si>
  <si>
    <t>Se revisa el plan de mejoramiento en borrador que se genero del informe de Derechos de autor, se evaluan la corrección propuestas y las acciones correctivas y preventivas frente a la oportunidad de mejora generada, se deja como compromiso ajustar, revisar las fechas de cumplimiento  y evaluar los recursos necesarios con el lider del proceso para ejecutar las acciones correctiva.</t>
  </si>
  <si>
    <r>
      <rPr>
        <b/>
        <sz val="9"/>
        <color theme="1"/>
        <rFont val="Arial"/>
        <family val="2"/>
      </rPr>
      <t>22-Mar-2016:</t>
    </r>
    <r>
      <rPr>
        <sz val="9"/>
        <color theme="1"/>
        <rFont val="Arial"/>
        <family val="2"/>
      </rPr>
      <t xml:space="preserve"> Se solicitó modificar a CI fecha del 31Mar al 30May del 2016, depende de las tres acciones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</si>
  <si>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r>
      <rPr>
        <b/>
        <sz val="10"/>
        <color theme="1"/>
        <rFont val="Arial"/>
        <family val="2"/>
      </rPr>
      <t>22 Mar 2016:</t>
    </r>
    <r>
      <rPr>
        <sz val="10"/>
        <color theme="1"/>
        <rFont val="Arial"/>
        <family val="2"/>
      </rPr>
      <t xml:space="preserve">
Se revisa el PM oficializado para este tema, que ya fue validado en coherencia por Control Interno y se encuentra formulado.
10 de noviembre de 2015: Se recibió  el plan de mejoramiento en control interno, se encuentra en revisión de coherencia.</t>
    </r>
  </si>
  <si>
    <r>
      <rPr>
        <b/>
        <sz val="8"/>
        <rFont val="Arial"/>
        <family val="2"/>
      </rPr>
      <t>22-marz-2016</t>
    </r>
    <r>
      <rPr>
        <sz val="8"/>
        <rFont val="Arial"/>
        <family val="2"/>
      </rPr>
      <t xml:space="preserve">: Se esta a la espera de las directrices dadas por planeación. No hay avance se solicita ampliación de la fecha de finalización. Se amplia al 30may2016 </t>
    </r>
  </si>
  <si>
    <r>
      <rPr>
        <b/>
        <sz val="8"/>
        <rFont val="Arial"/>
        <family val="2"/>
      </rPr>
      <t>22-mar2016:</t>
    </r>
    <r>
      <rPr>
        <sz val="8"/>
        <rFont val="Arial"/>
        <family val="2"/>
      </rPr>
      <t xml:space="preserve"> No se ha realizado avance, considerando que a la fecha no hay directriz dada sobre este tema y considerando que no hay responsable de liderarlo dentro de la CVP. Se solicta ampliación de fecha al 30 may 2016</t>
    </r>
  </si>
  <si>
    <t>4. Solicitar la formalización del ajuste de las actividades del proyecto 7328 inmersas en el Plan Operativo Anual.</t>
  </si>
  <si>
    <t>4:22 a 4:40 p.m.</t>
  </si>
  <si>
    <t>Gloria Marcela Luna
Ana Sofia Estupiñan</t>
  </si>
  <si>
    <t>Se revisa el plan de mejoramiento, se devulve via correo institucional para ajustar una palabra y para que incluyan el responsable de la primera acción correctiva, con esto ya se puede firmar.</t>
  </si>
  <si>
    <t>Servicio al ciudadano</t>
  </si>
  <si>
    <t>Glora Marcela Luna</t>
  </si>
  <si>
    <t xml:space="preserve">Al consultar la pagína web, no se encuentra información el nombre del servidor (a) que se ejerce la función de Defensor de Ciudadano, ni tampoco es posible consulta la Resolución 4142 de 2015 </t>
  </si>
  <si>
    <t>Director (a) de Gestión Corporativa o contratista servicio al ciudadano</t>
  </si>
  <si>
    <t>Publicar en la página WEB la resolución 4142 de 2015  en la página WEB, y del nombre del servidor (a) que ejerce la funcion de Defensor del Ciudadano</t>
  </si>
  <si>
    <t xml:space="preserve">Director (a) de Gestión Corporativa o contratista servicio al ciudadano </t>
  </si>
  <si>
    <t>08:00:00 a.m. a 11:20 a.m.</t>
  </si>
  <si>
    <t>Se revisa el plan de mejoramiento, los primeros seis puntos sola y se hace reunión con Silenia Neira y la encargada de servicio al ciudadano informando lo encontrado en los primeros seis puntos y terminando la revisión de la matriz. Se dejan observaciones respecto del análisis de causas, corrección fechas, redactar mejor las acciones</t>
  </si>
  <si>
    <t xml:space="preserve">En el área de atención y servicio al ciudadano, la pantalla que brinda información se encuentra inactiva y por lo tanto no se encuentra articulada con el digiturno </t>
  </si>
  <si>
    <t xml:space="preserve">El líder del proceso debe asegurarse de atender y formular las acciones enmarcadas en el plan de mejoramiento a partir de los informes de PQRS en la vigencia 2015 y de la auditoría de control interno  </t>
  </si>
  <si>
    <t>Al verificar el procedimiento se encontró que se encuentra desactualizado, por referencias normativas que ya fueron derogadas (resoluciones 1115 de 2010 y 1054 de 2012</t>
  </si>
  <si>
    <t>Las pantallas se activaron el día 28 de Abril de 2016 y actualmente se encuentran activas.</t>
  </si>
  <si>
    <t>13-06-2013 se cerro 1, 2, 5. Abiertas 3, 4 y 6, soporte en carpeta Daño antijurídico 2012.
20-04-2016 En la presente auditoria se evidencio que existen documentos en el contrato 606 de 2015 que no corresponden. Se recomienda analizar nuevamente las causas y replantear acciones.</t>
  </si>
  <si>
    <r>
      <rPr>
        <b/>
        <sz val="10"/>
        <color theme="1"/>
        <rFont val="Arial"/>
        <family val="2"/>
      </rPr>
      <t>15 -01-2015</t>
    </r>
    <r>
      <rPr>
        <sz val="10"/>
        <color theme="1"/>
        <rFont val="Arial"/>
        <family val="2"/>
      </rPr>
      <t xml:space="preserve">
El manual se ha ido actualizando  de acuerdo a los cambios normativos sin embargo se modifico la acción de acuerdo a la nueva resolución de honorarios para la vigencia 2015 y se replanteo  la fecha de finalización de la acción 
03-09-2014
No se ha actualizado con respecto a la resolución.
</t>
    </r>
    <r>
      <rPr>
        <b/>
        <sz val="10"/>
        <color theme="1"/>
        <rFont val="Arial"/>
        <family val="2"/>
      </rPr>
      <t xml:space="preserve">20-04-2016
</t>
    </r>
    <r>
      <rPr>
        <sz val="10"/>
        <color theme="1"/>
        <rFont val="Arial"/>
        <family val="2"/>
      </rPr>
      <t>El manual se actualizó el 31 de diciembre de 2015 V2 y se publicó en la carpeta de calidad; igualmente la resolución de honorarios se actualizó (resolución 14 del 7 de enero de  2015). 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r>
  </si>
  <si>
    <t>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</si>
  <si>
    <r>
      <rPr>
        <b/>
        <sz val="10"/>
        <color theme="1"/>
        <rFont val="Arial"/>
        <family val="2"/>
      </rPr>
      <t>02/01/2015</t>
    </r>
    <r>
      <rPr>
        <sz val="10"/>
        <color theme="1"/>
        <rFont val="Arial"/>
        <family val="2"/>
      </rPr>
      <t xml:space="preserve">
La acción propuesta se cumplió por cuanto en el Manual de Contratación y Supervisión se desarrollo en el capitulo VII, todo lo concerniente a la Supervisión e Interventoría en los contratos, y se establecen los criterios mínimos para la delegación de los contratos.
</t>
    </r>
    <r>
      <rPr>
        <b/>
        <sz val="10"/>
        <color theme="1"/>
        <rFont val="Arial"/>
        <family val="2"/>
      </rPr>
      <t>20-04-2016</t>
    </r>
    <r>
      <rPr>
        <sz val="10"/>
        <color theme="1"/>
        <rFont val="Arial"/>
        <family val="2"/>
      </rPr>
      <t xml:space="preserve">
Se actualizó el Manual de Contratación y Supervisión el 31 de diciembre de 2015.</t>
    </r>
  </si>
  <si>
    <t>Se verificará su eficacia en la revisión de los contratos que hacen parte de la Auditoría  para el 2015 
Se verificó en auditoria dl 2016 que existen los criterios.</t>
  </si>
  <si>
    <r>
      <t xml:space="preserve">15/01/2015 
No se evidencia del traslado a las autoridades competentes , la acción sigue abierta.
</t>
    </r>
    <r>
      <rPr>
        <b/>
        <sz val="10"/>
        <color theme="1"/>
        <rFont val="Arial"/>
        <family val="2"/>
      </rPr>
      <t xml:space="preserve">20-04-2016
</t>
    </r>
    <r>
      <rPr>
        <sz val="10"/>
        <color theme="1"/>
        <rFont val="Arial"/>
        <family val="2"/>
      </rPr>
      <t>Se dio traslado a control disciplinario con el memorando 2014IE4588 del 9 de septiembre de 2014.</t>
    </r>
  </si>
  <si>
    <t>Se evidenció el traslado a Disciplinarios, se debe incluir en auditoria a Gestión Humana para verificar su eficcia</t>
  </si>
  <si>
    <r>
      <rPr>
        <b/>
        <sz val="10"/>
        <color theme="1"/>
        <rFont val="Arial"/>
        <family val="2"/>
      </rPr>
      <t>30/01/2015</t>
    </r>
    <r>
      <rPr>
        <sz val="10"/>
        <color theme="1"/>
        <rFont val="Arial"/>
        <family val="2"/>
      </rPr>
      <t xml:space="preserve"> No se encontró evidencia sobre esta acción 
</t>
    </r>
    <r>
      <rPr>
        <b/>
        <sz val="10"/>
        <color theme="1"/>
        <rFont val="Arial"/>
        <family val="2"/>
      </rPr>
      <t xml:space="preserve">20-04-2016
</t>
    </r>
    <r>
      <rPr>
        <sz val="10"/>
        <color theme="1"/>
        <rFont val="Arial"/>
        <family val="2"/>
      </rPr>
      <t>Estos puntos hacen referencia a la publicación en SECOP, hallazgo detectado por la Contraloría y se da cumplimiento con la emisión de la circular. Sin embargo con la publicación del Manual de Contratación y Supervisión se suple la circular, adicionalmente el trámite de contratación se hace en la dirección jurídica.</t>
    </r>
  </si>
  <si>
    <t>El trámite se realiza en la dirección Jurídica</t>
  </si>
  <si>
    <r>
      <rPr>
        <b/>
        <sz val="10"/>
        <color theme="1"/>
        <rFont val="Arial"/>
        <family val="2"/>
      </rPr>
      <t xml:space="preserve">30/01/2015 </t>
    </r>
    <r>
      <rPr>
        <sz val="10"/>
        <color theme="1"/>
        <rFont val="Arial"/>
        <family val="2"/>
      </rPr>
      <t xml:space="preserve">
No se logro evidenciar avances con respecto a esta acción 
</t>
    </r>
    <r>
      <rPr>
        <b/>
        <sz val="10"/>
        <color theme="1"/>
        <rFont val="Arial"/>
        <family val="2"/>
      </rPr>
      <t>20-04-2016</t>
    </r>
    <r>
      <rPr>
        <sz val="10"/>
        <color theme="1"/>
        <rFont val="Arial"/>
        <family val="2"/>
      </rPr>
      <t xml:space="preserve">
Esta acción es improcedente, ya que este documento si se requiere en el proceso, solo que su archivo no debe ser en el expediente de contratación, sino en el área financiera, que lo tiene incluido en su tabla de retención. Se da cierre a esta acción.</t>
    </r>
  </si>
  <si>
    <t>El documento si se requiere en el proceso solo que se archiva en finaciera.</t>
  </si>
  <si>
    <r>
      <rPr>
        <b/>
        <sz val="10"/>
        <color theme="1"/>
        <rFont val="Arial"/>
        <family val="2"/>
      </rPr>
      <t xml:space="preserve">30/01/2015 </t>
    </r>
    <r>
      <rPr>
        <sz val="10"/>
        <color theme="1"/>
        <rFont val="Arial"/>
        <family val="2"/>
      </rPr>
      <t xml:space="preserve">
No se logro evidenciar avances con respecto a esta acción 
03-09-2014
Se evidencia que en los procesos de contratación , donde participan los directores de las áreas, se ponen en conocimiento los procesos contractuales  Sin embargo la Dirección Jurídica no utiliza espacios formales para retroalimentar a sus servidores sobre experiencias exitosas y problemas  encontrados en otros procesos. Lo anterior se evidencia en la ultima auditoría al Decreto 371 de 2014.
</t>
    </r>
    <r>
      <rPr>
        <b/>
        <sz val="10"/>
        <color theme="1"/>
        <rFont val="Arial"/>
        <family val="2"/>
      </rPr>
      <t xml:space="preserve">20-04-2016
</t>
    </r>
    <r>
      <rPr>
        <sz val="10"/>
        <color theme="1"/>
        <rFont val="Arial"/>
        <family val="2"/>
      </rPr>
      <t>Este hallazgo se generó en otra audirotira recomienda analizar las causas y generar nuevas acciones o unificarlas.</t>
    </r>
  </si>
  <si>
    <t>Se cierra este hallazgo teniendo en cuenta que en auditoria del 31-05-2013 se generó este mismo hallazgo y otro plan de mejoramiento, el seguimiento se realiza desde ese hallazgo</t>
  </si>
  <si>
    <t>La entidad en su página web no pública actualizaciones del plan anual de adquisiciones como lo disponen los artículos 6 y 7 del Decreto Reglamentario 1510 de 2013.</t>
  </si>
  <si>
    <t>No se evidencia en la totalidad de los contratos el formato de delegación de la supervisión. (Ver numeral 5 de este informe).</t>
  </si>
  <si>
    <t>No se generan plan de mejoramiento oportuno frente a los hallazgos de auditorías internas</t>
  </si>
  <si>
    <t>Julio Alberto Pineda</t>
  </si>
  <si>
    <t xml:space="preserve">04:00:00 p.m. 4:30 p.m. </t>
  </si>
  <si>
    <t>Se devuelve con observaciones generales de análsis de causas, formulación de indicadores y evaluar las acciones planteadas frente al análsis de causas. Se devuelve por correo institucional y se espera el ajuste.</t>
  </si>
  <si>
    <t>Roberto Carlos Narvaes</t>
  </si>
  <si>
    <t xml:space="preserve">10:00 a 11:0o a.m. y de 3:00 a 3:15 </t>
  </si>
  <si>
    <t>Se revisaron los ajustes recomendados, se mejoraron la determinación de causas, se explicaron algunos hallazgos y se corrigieron algunos indicadores</t>
  </si>
  <si>
    <t>2015 y 2016</t>
  </si>
  <si>
    <t xml:space="preserve">el cierre se realiza atendiendo la recomendación de control interno, en auditoria de realizar nuevo análsiis de causas y replantear las acciones que ayuden a eliminar el hallazgo. </t>
  </si>
  <si>
    <t>En auditoria del abril de 2016 se evidencia que existen documentos en el contrato 606 de 2015 que nocorresponde y se recomienda analizar nuevamente las causas de este hallazgo y formular nuevas acciones. Este hallazgo es igual al del 2013 por esta razón lo unimos a este.</t>
  </si>
  <si>
    <t>Revisar los expedientes de las vigencias 2015 y 2015, acorde con las tablas de retención - Archivo de Gestión</t>
  </si>
  <si>
    <t>Depurar la documentación y organizar las vigencias 2014 y 2015 de acuerdo con la norma archivistica igente.</t>
  </si>
  <si>
    <t>Ajustar expedientes vigencia 2016 a lanorma archivistica vigente.</t>
  </si>
  <si>
    <t>Generar espacios en el Comité de Contratación para realizar el análisis de casos contractuales,  susceptibles de mejoramiento continuo.</t>
  </si>
  <si>
    <r>
      <rPr>
        <b/>
        <sz val="10"/>
        <color theme="1"/>
        <rFont val="Arial"/>
        <family val="2"/>
      </rPr>
      <t>15-01-2015</t>
    </r>
    <r>
      <rPr>
        <sz val="10"/>
        <color theme="1"/>
        <rFont val="Arial"/>
        <family val="2"/>
      </rPr>
      <t xml:space="preserve"> No se han cumplido con las acciones propuestas
03-09-2014
Se evidencia que en los procesos de contratación , donde participan los directores de las áreas, se ponen en conocimiento los procesos contractuales  Sin embargo la Dirección Jurídica no utiliza espacios formales para retroalimentar a sus servidores sobre experiencias exitosas y problemas  encontrados en otros procesos. Lo anterior se evidencia en la ultima auditoría al Decreto 371 de 2014.
18-05-2016 Se cambia fecha de finalización para el 31 de diciembre de 2016.
</t>
    </r>
    <r>
      <rPr>
        <b/>
        <sz val="10"/>
        <color theme="1"/>
        <rFont val="Arial"/>
        <family val="2"/>
      </rPr>
      <t/>
    </r>
  </si>
  <si>
    <t>15-01-2015
La Dirección Jurídica no ha diseño indicadores que permitan verificar el cumplimiento de la gestión
03-09-2014
Esta actividad sigue abierta , ya que la Dirección Jurídica no ha diseñado indicadores de gestión , y estando sujetos al Ajuste Institucional.
18-05-2016 Se solicita cambio de fecha finalización para 31 de diciembre de 2016</t>
  </si>
  <si>
    <r>
      <rPr>
        <b/>
        <sz val="10"/>
        <color theme="1"/>
        <rFont val="Arial"/>
        <family val="2"/>
      </rPr>
      <t xml:space="preserve">30/01/2015 </t>
    </r>
    <r>
      <rPr>
        <sz val="10"/>
        <color theme="1"/>
        <rFont val="Arial"/>
        <family val="2"/>
      </rPr>
      <t xml:space="preserve">
No se logro evidenciar avances con respecto a esta acción
</t>
    </r>
    <r>
      <rPr>
        <b/>
        <sz val="10"/>
        <color theme="1"/>
        <rFont val="Arial"/>
        <family val="2"/>
      </rPr>
      <t>20-04-2016</t>
    </r>
    <r>
      <rPr>
        <sz val="10"/>
        <color theme="1"/>
        <rFont val="Arial"/>
        <family val="2"/>
      </rPr>
      <t xml:space="preserve">
No existe evidencia del cumplimiento de esta acción. Sin embargo, en la auditoría se estableció que la debilidad continúa y por tal razón se debe efectuar nuevo análisis de las causas del hallazgo y formular nuevas acciones.
18-05-2016 Se replantean las acciones y se cambia fecha de finalización.</t>
    </r>
  </si>
  <si>
    <t>Se elaborará un documento interno con el fin de indicar a quienes adelantan el proceso contractual en la Dirección Jurídica cuales son las responsabilidades, lineamientos de organización y verificación de la documentación y lista de chequeo.</t>
  </si>
  <si>
    <t>Yamile Castiblanco</t>
  </si>
  <si>
    <t>2013 a 2016</t>
  </si>
  <si>
    <t>Revisar en SECOP la publicación de los contratos 282 y 283 de 2015, confirmando la publicación legal requerida.</t>
  </si>
  <si>
    <t>Subdirección Administrativa</t>
  </si>
  <si>
    <t>Incluir el formato 208-SADM-Ft-63 en la carpeta de calidad dentro del proceso de adquisición  de bienes y servicios</t>
  </si>
  <si>
    <t>Revisar en SECOP la publicación de los contratos 278, 282, 283 Y 284 de 2015, confirmando la publicación legal requerida.</t>
  </si>
  <si>
    <t>09:00:00 a.m. a 10 a.m.</t>
  </si>
  <si>
    <t>Se envía correo indicando que hay que mejorar el análisis de causas para poder determinar las acciones y que falta incluir los hallazgos del informe del 20 de abril del 2016 seis en total.</t>
  </si>
  <si>
    <t>Profesional de servicio al ciudadano realizará seguimiento trimestral para verificar que la  información relacionada con Servicio al ciudadano, se encuentre actualizada y publicada</t>
  </si>
  <si>
    <t>Diariamente se verificará que las pantallas se encuentren activas</t>
  </si>
  <si>
    <t>Designar un responsable para realizar seguimiento y formulación de los planes de mejoramiento del proceso</t>
  </si>
  <si>
    <t>Aplicar el manual de supervisión frente al cumplimiento de obligaciones</t>
  </si>
  <si>
    <t>actualizar el normograma del proceso incluyendo la normatividad vigente</t>
  </si>
  <si>
    <t xml:space="preserve">Mediante memorando se designará un profesional del proceso, para que realice el respectivo seguimiento y actualización </t>
  </si>
  <si>
    <t>Realizar una revisión trimestral para verificar que el normograma se encuentre actualizado de acuerdo a la normatividad vigente y a las directrices de la entidad</t>
  </si>
  <si>
    <t>Fecha de corte:</t>
  </si>
  <si>
    <t>Estado de las acciones formuladas</t>
  </si>
  <si>
    <t>Formulación plan de mejoramiento</t>
  </si>
  <si>
    <t>Total
hallazgo</t>
  </si>
  <si>
    <t>Realizar reunión con la persona que elabora los informes mensuales de PQR´S, para solicitar que se incluya datos referentes a los temas más recurrentes o importantes por cada proceso, enviar copia a control interno.</t>
  </si>
  <si>
    <t xml:space="preserve">Ampliar en los informe semestral de la vigencia de 2016, presentados por control interno, la verificación y análsis de la respuestas dadas por la entidad a los PQR´S. </t>
  </si>
  <si>
    <t>Con el reporte mensual de Servicio al Ciudadano de PQR´S solicitar a los líderes de los procesos correspondientes la generación del plan de mejoramiento.</t>
  </si>
  <si>
    <t xml:space="preserve">20 de agosto de 2014:
Se presenta a la OAP el 1 de agosto de 2014 por correo institucional la propuesta del procedimiento Auditorias internas y visitas ajustando el tiempo de entrega del plan de mejoramiento a 10 días. No se cierre porque no se ha dado la aprobación.
2 de  Diciembre de 2014:
Se ajusta la fecha considerando la ampliación de entrega del ajuste de procesos y procedimientos y la definición de nueva estructura de presentación de los procedimiento. Se cambia del 13 de junio de 2014 al 15 de marzo de 2015.
25 de enero de 2016: 
Corrección: Se incluye este cambio en el procedimiento 208 CI-Pr-01 Versión 5.
</t>
  </si>
  <si>
    <t>Se realiza la acción, se cierra esta acción y se generan otras que nos ayuden a eliminar el hallazgo.</t>
  </si>
  <si>
    <t>20 de agosto de 2014:
Se presenta a la OAP el 1 de agosto de 2014 por correo institucional la propuesta del procedimiento Auditorias internas y visitas, ajustando la revisión del informe por parte del equipo de CI, la forma de la entrega del informe y el tiempo para entregar el plan de mejoramiento. Y se inicia la revisión y ajuste del procedimiento de acciones correctivas y preventivas.
2 de  Diciembre de 2014:
Se ajusta la fecha considerando la ampliación de entrega del ajuste de procesos y procedimientos y la definición de nueva estructura de presentación de los procedimiento. Se cambia del 13 de junio de 2014 al 15 de marzo de 2015.
7 de abril de 2015:
Quedo incluido en el procedimiento 208 CI-Pr-01 en el 30 de diciembre de 2015.
Las mesas de trabajo para discutir el informe se incluyo en el mismo procedimeinto en la actividad 34.
A parte de culminar estas dos actividades se hace necesario formulas nuevas acciones ya que al cierre de 2015 se  presenta el 20% de hallazgos sin atender, se incrementa un 11% del resultado registrado en el 2014.Se deja acción en el plan de acción para dar a conocer el procedimiento de auditoria y segenera un nuevo plan en 2016 para incluir en los procedimiento de auditorias  y acciones preventivas y correctivas el reporte a Control Interno Disciplina.</t>
  </si>
  <si>
    <t xml:space="preserve">31 de julio de 2015:
A la fecha se reprogramó la auditoria de Si Capital que fue iniciada el 16 de julio, se reprograma por licencia de paternidad y vacaciones del profesional asignado a dicha labor.
25 de enero de 2016:
En los registros de reunión de autocontrol del 2015 en el numeral 3 se registra las razones por las que no se cumple con los tiempos y se deja constancia de la reprogramación de las actividades
Teniendo en cuenta estos registros , entre otros aspectos se realizará el programa del 2016. </t>
  </si>
  <si>
    <t>Se da cierre ya que la acción fue base para proyectar el programa de auditorias del 2016, se espera al seguimiento y análisis del programa de auditorias ver si es necesario realizar más acciones</t>
  </si>
  <si>
    <t>31-07-2015
Se han enviado los correos a partir del mes de abril recordando las auditorias o los informes del mes.
25 de enero de 2016, se enviaron los correos hasta diciembre de 2015.</t>
  </si>
  <si>
    <t>31-07-2015
Se tiene ya definido en el procedimiento pero se encuentra en proceso de aprobación y publicación.
7 de abril de 2016:
Se incluyo en el procedimiento 208-CI-Pr-01, en el numeral 7 Condiciones Generales - condiciones comunes</t>
  </si>
  <si>
    <t>31-07-2015
Al formato se le han realizado ajuste pero se encuentra en revisión por el equipo auditor.
7 de abril de 2016:
Quedo pueblicado en calidad el 26 de enero de 2016 con versión 2 Formato 208-CI-Ft-08</t>
  </si>
  <si>
    <t>Se cumple la acción, hay que evaluar al cierre de vigencia para determinar si es efectiva</t>
  </si>
  <si>
    <t>31-07-2015
Se tiene ya definido en el procedimiento pero se encuentra en proceso de aprobación y publicación.
7 de abril de 2016:
Quedo pueblicado en el procedimiento 208-Ci-Pr-01 V.5 del 30-12-2015</t>
  </si>
  <si>
    <t>En las auditorias de cada proceso y en especial de ateción al ciudadano verificar el estado de los planes de mejoramiento generados por el análsis de los PQR´S e incluir en el informe de auditoria el resultado observado.</t>
  </si>
  <si>
    <t>Profesional control interno - Maria Gladys Ramirez</t>
  </si>
  <si>
    <t>Contratista de control interno</t>
  </si>
  <si>
    <t>Maria Helena</t>
  </si>
  <si>
    <t xml:space="preserve">Se elimina una columna de esta herramienta, enmarcada "Responsable Entes externos" considerando que en esta herramienta solo se registra planes de mejoramiento internos. </t>
  </si>
  <si>
    <t xml:space="preserve">Se incluye un hoja de  "Resumen Vig2016" donde se formula el resultado del consolidado, presentando el estado de los hallazgos, acciones y seguimiento para cada proceso. </t>
  </si>
  <si>
    <t>% Cumplimiento gestión</t>
  </si>
  <si>
    <t>Control Interno</t>
  </si>
  <si>
    <t>Boton de Control Cuentas</t>
  </si>
  <si>
    <t>Gestión estratégica</t>
  </si>
  <si>
    <t>Julián Fonseca</t>
  </si>
  <si>
    <t>Glor Marcela Luna
María Helena Pedraza</t>
  </si>
  <si>
    <t>Se revisaron causas y acciones, de devulve via correo con observaciones en el análisis de causas y formulación de acciones aclarando que no son preventivas sino correctivas. Falta indicadores.</t>
  </si>
  <si>
    <t>09:45:00 a.m. a 11:13</t>
  </si>
  <si>
    <t>10:00 a.m. a 11:10 a.m.</t>
  </si>
  <si>
    <t>Segunda revisión, se realiza reunión con Julio Alberto Pineda y Alexander  nuevo enlace de Comunicaciones, se toma hallazgo por hallazgo y se solicita profundizar en las causas y de acuerdo a ellas si formular las acciones. Se explica que si las causas de varios hallazgos son las mismas, estas se pueden unir para definir las acciones, se explica sobre la formulación de indicadore y sobre la responsabilidad de reportar trimestralmente el seguimiento a control interno, igualmente se recuerda que el archivo del plan de mejoramiento debe ser manjado por el líder del proceso. Queda pendiente corregir y volver a envíar para revisión de coherencia de Control Interno.</t>
  </si>
  <si>
    <r>
      <rPr>
        <b/>
        <sz val="10"/>
        <color theme="1"/>
        <rFont val="Arial"/>
        <family val="2"/>
      </rPr>
      <t>22 marzo 2016</t>
    </r>
    <r>
      <rPr>
        <sz val="10"/>
        <color theme="1"/>
        <rFont val="Arial"/>
        <family val="2"/>
      </rPr>
      <t xml:space="preserve">: Este proyecto de inversión no ha definido un presupuesto para cada una de las actividades, considerando que este presupuesto se invierte en la contratación de los profesionales y técnicos que desarrollaron las diversas actividades.  
</t>
    </r>
    <r>
      <rPr>
        <b/>
        <sz val="9"/>
        <color theme="1"/>
        <rFont val="Arial"/>
        <family val="2"/>
      </rPr>
      <t>10 de noviembre de 2015</t>
    </r>
    <r>
      <rPr>
        <sz val="9"/>
        <color theme="1"/>
        <rFont val="Arial"/>
        <family val="2"/>
      </rPr>
      <t xml:space="preserve">: Para esta vigencia se ha adelantado el 83,85%, con fecha de corte 30 de septiembre 2015, sin embargo hay un a reserva del 2014 correspondiente al 75,86% y se adelanta un cumplimiento. Se va a verificar los gastos con Cesar Sabogal  y Luis Muñoz de la OAP.  
</t>
    </r>
    <r>
      <rPr>
        <b/>
        <sz val="9"/>
        <color theme="1"/>
        <rFont val="Arial"/>
        <family val="2"/>
      </rPr>
      <t>6 de mayo de 2015</t>
    </r>
    <r>
      <rPr>
        <sz val="9"/>
        <color theme="1"/>
        <rFont val="Arial"/>
        <family val="2"/>
      </rPr>
      <t>: Mediante otro plan de mejoramiento se cambia fecha de cumplimiento y las acciones a seguir.</t>
    </r>
  </si>
  <si>
    <t>Se recibio informe según CORDIS 2016IE4535, el 27 de junio de 2016</t>
  </si>
  <si>
    <r>
      <rPr>
        <b/>
        <sz val="10"/>
        <color theme="1"/>
        <rFont val="Arial"/>
        <family val="2"/>
      </rPr>
      <t xml:space="preserve">22 marzo 2016: </t>
    </r>
    <r>
      <rPr>
        <sz val="10"/>
        <color theme="1"/>
        <rFont val="Arial"/>
        <family val="2"/>
      </rPr>
      <t>Este proyecto de inversión no ha definido un presupuesto para cada una de las actividades, considerando que este presupuesto se invierte en la contratación de los profesionales y técnicos que desarrollaron las diversas actividades.</t>
    </r>
    <r>
      <rPr>
        <sz val="9"/>
        <color theme="1"/>
        <rFont val="Arial"/>
        <family val="2"/>
      </rPr>
      <t xml:space="preserve">
</t>
    </r>
    <r>
      <rPr>
        <b/>
        <sz val="9"/>
        <color theme="1"/>
        <rFont val="Arial"/>
        <family val="2"/>
      </rPr>
      <t>10 de noviembre de 2015</t>
    </r>
    <r>
      <rPr>
        <sz val="9"/>
        <color theme="1"/>
        <rFont val="Arial"/>
        <family val="2"/>
      </rPr>
      <t>: Se va a presentar un desagregado del presupuesto y su cumplimiento por las actividades formuladas para los POA vigente y de las actividades del POA de rezagos vigencia 2014 y 2013 sobre el presupuesto no desarrollado. Con un informe del líder del proceso dirigido a la OAP.6 de mayo de 2015: Mediante otro plan de mejoramiento se cambia fecha de cumplimiento y las acciones a seguir.</t>
    </r>
  </si>
  <si>
    <r>
      <rPr>
        <b/>
        <sz val="10"/>
        <color theme="1"/>
        <rFont val="Arial"/>
        <family val="2"/>
      </rPr>
      <t xml:space="preserve">22 marzo 2016: </t>
    </r>
    <r>
      <rPr>
        <sz val="10"/>
        <color theme="1"/>
        <rFont val="Arial"/>
        <family val="2"/>
      </rPr>
      <t>Se definió con el lider del proceso presentar un informe que permita evidenciar los soportes de cumplimiento del presupuesto
10 de noviembre de 2015: Se va a presentar un desagregado del presupuesto y su cumplimiento por las actividades formuladas para los POA vigente y de las actividades del POA de rezagos vigencia 2014y 2013 sobre el presupuesto no desarrollado. Con un informe del líder del proceso dirigido a la OAP.6 de mayo de 2015: Mediante otro plan de mejoramiento se cambia fecha de cumplimiento y las acciones a seguir.</t>
    </r>
  </si>
  <si>
    <r>
      <rPr>
        <b/>
        <sz val="10"/>
        <color theme="1"/>
        <rFont val="Arial"/>
        <family val="2"/>
      </rPr>
      <t xml:space="preserve">22 marzo 2016: </t>
    </r>
    <r>
      <rPr>
        <sz val="10"/>
        <color theme="1"/>
        <rFont val="Arial"/>
        <family val="2"/>
      </rPr>
      <t>Durante esta revisión se va presentar un informe de las actividades ajustadas dentro del POA "Programación y Avance de actividades de Proyectos de Inversión"  de este proyecto, y enmarcado en el cumplimiento del presupuesto asignado para este proyecto.</t>
    </r>
    <r>
      <rPr>
        <b/>
        <sz val="10"/>
        <color theme="1"/>
        <rFont val="Arial"/>
        <family val="2"/>
      </rPr>
      <t xml:space="preserve">
</t>
    </r>
    <r>
      <rPr>
        <b/>
        <sz val="9"/>
        <color theme="1"/>
        <rFont val="Arial"/>
        <family val="2"/>
      </rPr>
      <t>10 de noviembre de 2015</t>
    </r>
    <r>
      <rPr>
        <sz val="9"/>
        <color theme="1"/>
        <rFont val="Arial"/>
        <family val="2"/>
      </rPr>
      <t xml:space="preserve">: Se requiere un informe de las actividades que se ajustaron para la POA vigente 2015. Responsable Janeth Abella. Para el 13 de noviembre de 2015. (firmado por el jefe)
</t>
    </r>
    <r>
      <rPr>
        <b/>
        <sz val="9"/>
        <color theme="1"/>
        <rFont val="Arial"/>
        <family val="2"/>
      </rPr>
      <t xml:space="preserve">6 de mayo de 2015: </t>
    </r>
    <r>
      <rPr>
        <sz val="9"/>
        <color theme="1"/>
        <rFont val="Arial"/>
        <family val="2"/>
      </rPr>
      <t xml:space="preserve">Mediante otro plan de mejoramiento se cambia fecha de cumplimiento y las acciones a seguir. </t>
    </r>
    <r>
      <rPr>
        <sz val="10"/>
        <color theme="1"/>
        <rFont val="Arial"/>
        <family val="2"/>
      </rPr>
      <t xml:space="preserve">
</t>
    </r>
    <r>
      <rPr>
        <b/>
        <sz val="8"/>
        <color theme="1"/>
        <rFont val="Arial"/>
        <family val="2"/>
      </rPr>
      <t xml:space="preserve">30 de Diciembre de 2014: </t>
    </r>
    <r>
      <rPr>
        <sz val="8"/>
        <color theme="1"/>
        <rFont val="Arial"/>
        <family val="2"/>
      </rPr>
      <t xml:space="preserve">Al ejecutar el presupuesto asignado se considera que están asociadas las metas intermedias atendiendo que el personal contratado tiene dentro de sus funciones actividades tendientes al cumplimiento de estas. No se cierra el hallazgo buscando que la Dirección pueda generar un análisis que deje más claro este tema. </t>
    </r>
  </si>
  <si>
    <r>
      <rPr>
        <b/>
        <sz val="10"/>
        <color theme="1"/>
        <rFont val="Arial"/>
        <family val="2"/>
      </rPr>
      <t xml:space="preserve">22 de marzo 2016: </t>
    </r>
    <r>
      <rPr>
        <sz val="10"/>
        <color theme="1"/>
        <rFont val="Arial"/>
        <family val="2"/>
      </rPr>
      <t xml:space="preserve">Se solicito modificar a CI fecha del 31Mar al  30May del 2016, justificando en que no se ha formulado aún indicadores de eficiencia y efecitividad, considerando el ajuste del grupo y del proyecto PDD para este nuevo periodo.
</t>
    </r>
    <r>
      <rPr>
        <b/>
        <sz val="10"/>
        <color theme="1"/>
        <rFont val="Arial"/>
        <family val="2"/>
      </rPr>
      <t xml:space="preserve">10 de noviembre de 2015: </t>
    </r>
    <r>
      <rPr>
        <sz val="10"/>
        <color theme="1"/>
        <rFont val="Arial"/>
        <family val="2"/>
      </rPr>
      <t>No se han formulado indicadores de procesos para esta vigencia. No se ha dado un lineamiento de la directriz sobre losprocesos definidos desde a formulación del plan estratégico, los indicadores del proceso de mejoramiento de vivienda. Se encuentra una hoja de indicadores sobre los mapas de riesgos, proyectos y planes de acción que no se aterrizan la gestión del proceso como cumplimiento del objetivo del proceso. Se solicita ampliación de cumplimiento de acción al primer trimestre del 2016.</t>
    </r>
  </si>
  <si>
    <r>
      <rPr>
        <b/>
        <sz val="10"/>
        <color theme="1"/>
        <rFont val="Arial"/>
        <family val="2"/>
      </rPr>
      <t xml:space="preserve">22 de marzo 2016: </t>
    </r>
    <r>
      <rPr>
        <sz val="10"/>
        <color theme="1"/>
        <rFont val="Arial"/>
        <family val="2"/>
      </rPr>
      <t>Se solicito modificar a CI fecha del 31Mar al 30May del 2016, depende de la accion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</si>
  <si>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r>
      <rPr>
        <b/>
        <sz val="10"/>
        <color theme="1"/>
        <rFont val="Arial"/>
        <family val="2"/>
      </rPr>
      <t xml:space="preserve">22-Mar-2016: </t>
    </r>
    <r>
      <rPr>
        <sz val="10"/>
        <color theme="1"/>
        <rFont val="Arial"/>
        <family val="2"/>
      </rPr>
      <t>Se solicitó modificar a CI fecha del 31Mar al 30May del 2016, depende de las dos acciones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</si>
  <si>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t xml:space="preserve">1. No han sido publicadas en la carpeta de calidad, con la frecuencia que solicitó la Oficina Asesora de Planeación,  herramientas como:
• Matriz de Riesgos,
• Plan de acción
• Reporte de producto y/o servicio no conforme
• Reporte y control del diseño y desarrollo
• Actualización del normograma
</t>
  </si>
  <si>
    <t>2. Efectuar el análisis de los riesgos después de cumplidas las acciones, con el fin de definir si estas pasan a ser controles del procedimiento o si se requiere plantear nuevas acciones que permitan minimizar los riesgos.</t>
  </si>
  <si>
    <t xml:space="preserve">3. El registro de formato “Programación y avance actividades proyectos de inversión, con código: 208-PLA-Ft-12, versión 2, para los proyecto de inversión 7328 y 962, no fue presentado dentro del formato definido en la carpeta de calidad. Así mismo los porcentajes presentados no corresponden a una programación total en la vigencia, al considerar las obras de las diferentes APIS en las vigencias 2015, 2014 y 2013. </t>
  </si>
  <si>
    <r>
      <rPr>
        <b/>
        <sz val="10"/>
        <color theme="1"/>
        <rFont val="Arial"/>
        <family val="2"/>
      </rPr>
      <t xml:space="preserve">05-05-2016: </t>
    </r>
    <r>
      <rPr>
        <sz val="10"/>
        <color theme="1"/>
        <rFont val="Arial"/>
        <family val="2"/>
      </rPr>
      <t>Se elaboró un informe de análisis y se  tabularon las encuestas aplicadas con las comunidades beneficiarias de las obras de los contratos 506, 507,584 y 587 de 2013. Se evidenció  la debida  formalización del informe de análisis de los resultados</t>
    </r>
    <r>
      <rPr>
        <b/>
        <sz val="10"/>
        <color theme="1"/>
        <rFont val="Arial"/>
        <family val="2"/>
      </rPr>
      <t xml:space="preserve">
08-04-2015</t>
    </r>
    <r>
      <rPr>
        <sz val="10"/>
        <color theme="1"/>
        <rFont val="Arial"/>
        <family val="2"/>
      </rPr>
      <t xml:space="preserve">
No se ha llevado a cabo  la tabulación debido a que no ha finalizado obra,  se revisara para la próxima auditoria, de igual forma la fecha para el cumplimiento de esta acción se encuentra vigente.
28-12-2015
Se realizó el análisis y se generó el informe correspondiente a las encuestas aplicadas para los contratos de obra 506 de 2013, 507 de 2013, 584 de 2013 y 587 de 2013, se encuentra en revisión y observaciones generadas para aprobación por parte de la Dirección. Se solicita cambio en la fecha de terminación de la acción para 29/01/2016
Ubicación: \\serv-cv11\mejoramiento de barrios\ENCUESTAS DE SATISFACCIÓN</t>
    </r>
  </si>
  <si>
    <r>
      <rPr>
        <b/>
        <sz val="10"/>
        <color theme="1"/>
        <rFont val="Arial"/>
        <family val="2"/>
      </rPr>
      <t xml:space="preserve">05-05-2016  </t>
    </r>
    <r>
      <rPr>
        <sz val="10"/>
        <color theme="1"/>
        <rFont val="Arial"/>
        <family val="2"/>
      </rPr>
      <t>Se revisan los indicadores con fecha de corte 30 de abril de 2016, los cuales arrojan los siguientes resultados:
Espacios de participación a la comunidad se ejecutó el  57% , 
Pactos de sostenibilidad generados  ejecutado el 27%.  
Procesos ejecutados en APIS  el  87%. 
Porcentaje de ejecución en Chiguaza  el 93%. Población participante supero la meta con 196. 955 personas, frente a lo programado en el proyecto que fue de  8.887 personas.
Ejecución presupuestal  11%
Falta diligenciamiento de formatos desde julio 30 de 2015 hasta abril 30 de 2016.
30-09-2015</t>
    </r>
    <r>
      <rPr>
        <b/>
        <sz val="10"/>
        <color theme="1"/>
        <rFont val="Arial"/>
        <family val="2"/>
      </rPr>
      <t xml:space="preserve">
</t>
    </r>
    <r>
      <rPr>
        <sz val="10"/>
        <color theme="1"/>
        <rFont val="Arial"/>
        <family val="2"/>
      </rPr>
      <t>Los avances de esta acción se verificarán en el próximo seguimiento puesto que los  nuevos indicadores, recientemente fueron formulados; de igual forma el cumplimento para esta acción todavía se encuentra vigente.
28-12-2015
Se realizó informe de gestión  2012 – 2015 (14 de diciembre) correspondiente a la Dirección De Mejoramiento de Barrios en el cual se incluyó el seguimiento a los indicadores del proyecto de inversión 208 así como los resultados obtenidos y las recomendaciones generadas.
El calculo de los indicadores del proyecto de inversión se encuentra en la carpeta de calidad
Ruta: \\serv-cv11\calidad\14. CONSOLIDADO INDICADORES DE PROCESOS\2015\6. PROCESO MEJORAMIENTO DE BARRIOS\PROYECTO DE INVERSIÓN\FECHA DE CORTE 30 DE JUNIO</t>
    </r>
  </si>
  <si>
    <t>Se evidencia la elaboración del Plan de Acción de Gestión con seguimiento a 30 de abril 2016, sin embargo,  no se encontró formalizado y publicado en la carpeta de calidad</t>
  </si>
  <si>
    <t>Al verificar el PI 208 FUSS, POA y PAG no se evidenció la inclusión de la meta intermedia, referida a la ejecución de los contratos 605, 606 y 611 de 2015 cuyos objetos son: realizar mantenimientos, reparaciones e interventorías. ni la variación de la meta 3 con relación a los dos procesos que no fueron viables.</t>
  </si>
  <si>
    <r>
      <rPr>
        <b/>
        <sz val="8"/>
        <color theme="1"/>
        <rFont val="Arial"/>
        <family val="2"/>
      </rPr>
      <t>19 de mayo de 2016.</t>
    </r>
    <r>
      <rPr>
        <sz val="8"/>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30-05-2014). </t>
    </r>
    <r>
      <rPr>
        <sz val="8"/>
        <color theme="1"/>
        <rFont val="Arial"/>
        <family val="2"/>
      </rPr>
      <t xml:space="preserve">
19 de diciembre de 2014:
Se solicitó la información vía correo electrónico a los enlaces de cada proceso misional, a fin de consolidar el seguimiento de esta acción correctiva. 
Al respecto se recibió vía e-mail respuesta por parte de los procesos de Mejoramiento de Barrios y Mejoramiento de Vivienda.
El reporte se hace citando las fechas de los oficios y / o actas, y el objetivo de las mismas.
Es decir ya se cuenta con información de acciones por parte de dos de los cuatro misionales lo que se interpreta como un avance del 50%.
Se espera que una vez se cuente con la información consolidada de los procesos de Urbanizaciones y Titulación y Reasentamientos se pueda dar cierre a la acción</t>
    </r>
  </si>
  <si>
    <r>
      <rPr>
        <b/>
        <sz val="8"/>
        <color theme="1"/>
        <rFont val="Arial"/>
        <family val="2"/>
      </rPr>
      <t>19 de mayo de 2016.</t>
    </r>
    <r>
      <rPr>
        <sz val="8"/>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</si>
  <si>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r>
      <rPr>
        <b/>
        <sz val="8"/>
        <color theme="1"/>
        <rFont val="Arial"/>
        <family val="2"/>
      </rPr>
      <t xml:space="preserve">19 de mayo de 2016. </t>
    </r>
    <r>
      <rPr>
        <sz val="8"/>
        <color theme="1"/>
        <rFont val="Arial"/>
        <family val="2"/>
      </rPr>
      <t xml:space="preserve">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</si>
  <si>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r>
      <rPr>
        <b/>
        <sz val="10"/>
        <color theme="1"/>
        <rFont val="Arial"/>
        <family val="2"/>
      </rPr>
      <t>19 de mayo de 2016.</t>
    </r>
    <r>
      <rPr>
        <sz val="10"/>
        <color theme="1"/>
        <rFont val="Arial"/>
        <family val="2"/>
      </rPr>
      <t xml:space="preserve"> Mediante la Resolución 0381 del 20 de marzo de 2015 se ajustó el mapa de procesos con inclusión del proceso de Servicio al Ciudadano
19 de diciembre de 2014:
En las reuniones de Comité Directivo los días 02/04/2014, 21/07/2014, y 15/08/2014 se trató entre otros el tema de ajuste de ajuste del mapa de procesos de la Entidad.
En el comité del 15 de agosto se presentó la propuesta de un nuevo mapa de procesos.
A la fecha no se ha oficializado esta propuesta de mapa de procesos.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r>
  </si>
  <si>
    <t>Se cumplio la acción adecuadamente</t>
  </si>
  <si>
    <r>
      <rPr>
        <b/>
        <sz val="10"/>
        <color theme="1"/>
        <rFont val="Arial"/>
        <family val="2"/>
      </rPr>
      <t>19 de mayo de 2016.</t>
    </r>
    <r>
      <rPr>
        <sz val="10"/>
        <color theme="1"/>
        <rFont val="Arial"/>
        <family val="2"/>
      </rPr>
      <t xml:space="preserve"> Se actualizaron las caracterizaciones de los trece procesos que conforman el mapa de procesos de la Resolución 381 del 2015. Estas caracterizaciones se incluyeron como registros en el formato 208-PLA-Ft-59 V1 de 14-04-2015 y se registra la "fecha la actualización". Sin embargo no obra control de cambios en el último registro
19 de diciembre de 2014:
En el marco del ajuste institucional, En el comité del 15 de agosto se presentó la propuesta de un nuevo mapa compuesto por 16 procesos, de los cuales ya se han formulado propuestas de caracterización para 15 de estos procesos.
Sin embargo la aprobación de estas caracterizaciones dependen de la oficialización del nuevo mapa de procesos.
A fin de cumplir con esta acción, se estima necesario un plazo aproximado de un mes a partir de la fecha en que se oficialice el mapa de procesos. Por lo cual se requiere ampliar la fecha de finalización de ésta acción para el 31 de marzo de 2015</t>
    </r>
  </si>
  <si>
    <t>Se cierra la acción sin embargo se indica en el informe de la auditoria la observación que este documento no es posible llevar el control de cambios de este documento o registro (Considerando que es un documento de planeación)</t>
  </si>
  <si>
    <r>
      <rPr>
        <b/>
        <sz val="10"/>
        <color theme="1"/>
        <rFont val="Arial"/>
        <family val="2"/>
      </rPr>
      <t>19 de mayo de 2016.</t>
    </r>
    <r>
      <rPr>
        <sz val="10"/>
        <color theme="1"/>
        <rFont val="Arial"/>
        <family val="2"/>
      </rPr>
      <t xml:space="preserve"> Se revisan los registros del formato de Producto No conforme. No todos los procesos aplican el mismo criterio para este registro. Durante la vigencia 2015 todos los procesos hicieron el reporte. Sin embargo el manejo del formato 208-PLA-Ft-26 V4 no tiene la misma presentación en todos los procesos. (Ver Reasentamientos, Mejoramiento de Vivienda y Servicio al Ciudadano). Se van a revisar las formulaciones para la vigencia 2016 y se va a revisar con cada proceso su reporte.
19 de diciembre de 2014:
Las caracterizaciones del servicio de los procesos misionales fueron revisadas y actualizadas y están oficializadas en la carpeta de calidad con corte 30 de septiembre de 2014
(seguimiento informado por el proceso).
No se puede cerrar el hallazgo con el soporte enviado por el proceso en razón en auditoria al proceso Reasentamientos Humanos no se tiene actualizado el servicio no conforme y su medición no fue clara, se deja abierto hasta tanto no se subsane.
</t>
    </r>
  </si>
  <si>
    <r>
      <rPr>
        <b/>
        <sz val="10"/>
        <color theme="1"/>
        <rFont val="Arial"/>
        <family val="2"/>
      </rPr>
      <t>19de mayo de 2016.</t>
    </r>
    <r>
      <rPr>
        <sz val="10"/>
        <color theme="1"/>
        <rFont val="Arial"/>
        <family val="2"/>
      </rPr>
      <t xml:space="preserve"> Pendiente la actualización de diecisiete (17) procedimientos activos que no han sido actualizados. Se espera finalizar a mediados de agosto.
19 de diciembre de 2014:
A la fecha la OAP ha revisado 93 procedimientos a ser oficializados, de los cuales ya han sido oficializados 43</t>
    </r>
  </si>
  <si>
    <r>
      <rPr>
        <b/>
        <sz val="10"/>
        <color theme="1"/>
        <rFont val="Arial"/>
        <family val="2"/>
      </rPr>
      <t>19 de mayo de 2016.</t>
    </r>
    <r>
      <rPr>
        <sz val="10"/>
        <color theme="1"/>
        <rFont val="Arial"/>
        <family val="2"/>
      </rPr>
      <t xml:space="preserve"> Se actualizó el mapa de procesos y se gestionaron herramientas como el PAG y la matriz de Riesgos con indicadores enmarcados en los procesos.
19 de diciembre de 2014:
Se encuentra el seguimiento a los indicadores de proceso actualizados a septiembre de 2014.
Sin embargo los indicadores se deberán reformular o ajustar una vez sea aprobado el nuevo mapa de procesos.</t>
    </r>
  </si>
  <si>
    <t xml:space="preserve">Se recomienda formular indicadores que den cuenta del objetivo del proceso enmarcado en la misionalidad de la CVP. </t>
  </si>
  <si>
    <r>
      <rPr>
        <b/>
        <sz val="10"/>
        <color theme="1"/>
        <rFont val="Arial"/>
        <family val="2"/>
      </rPr>
      <t>19 de mayo de 2016.</t>
    </r>
    <r>
      <rPr>
        <sz val="10"/>
        <color theme="1"/>
        <rFont val="Arial"/>
        <family val="2"/>
      </rPr>
      <t xml:space="preserve"> Se actualizó la matriz de riegos en la nueva herramienta V2, para los procesos de la vigencia 2015. Los procesos adelantaron sus registros y enmarcaron sus indicadores en esta herramienta.
19 de diciembre de 2014:
Se encuentra el seguimiento a mapa de riesgos de los procesos, con corte a septiembre de 2014.
Sin embargo los riesgos muy posiblemente se deberán reformular o ajustar una vez sea aprobado el nuevo mapa de procesos.</t>
    </r>
  </si>
  <si>
    <t>Se cierra el hallazgo considerando el registro durante la vigencia de 2015</t>
  </si>
  <si>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competencias de las responsables en el cargue de la información. Se cuenta con el procedimiento "programación, elaboración, ejecución, control y seguimiento del plan anual de adquisiciones. 208-PLA-Pr-20 v1 del 30 de diciembre de 2015, aunque no se menciona el enlace con el documento que se aprueba sobre el módulo de SI Capital - Contratación Esta acción es complemento de la anterior en cuento a la definición de las competencias y el hacer referencia a ellas (numeral 3.7 de esta manual propuesto).
19-12-2014 
El instructivo no ha sido actualizado, se propone su eliminación y en su lugar formular un procedimiento llamado Plan de Adquisición.
El documento ya fue formulado por la OAP y se encuentra en proceso de revisión y ajuste, por lo cual se considera que a la fecha se tiene un avance del 50% </t>
    </r>
  </si>
  <si>
    <r>
      <rPr>
        <b/>
        <sz val="10"/>
        <color theme="1"/>
        <rFont val="Arial"/>
        <family val="2"/>
      </rPr>
      <t>9 de mayo de 2016</t>
    </r>
    <r>
      <rPr>
        <sz val="10"/>
        <color theme="1"/>
        <rFont val="Arial"/>
        <family val="2"/>
      </rPr>
      <t>. Se deben actualizar el procedimiento y el manual referencia respecto de dos normas que no corresponden: Decretos Distritales 456 de 2008 y 540 de 2013.
2 de febrero de 2015:
En el año 2014 el funcionario que lidera el PIGA, realizó capacitación y sensibilización en materia de Gestión Ambiental Contractual en todas las dependencias de la Entidad, y adicionalmente se verificaron las necesidades en materia contractual de cada dependencia con el fin de identificar posibles mejoras que se puedan hacer a las fichas verdes.
El procedimiento 208-PLA-Pr-10 PROCEDIMIENTO PROGRAMA DE CRITERIOS AMBIENTALES PARA LAS COMPRAS Y LA GESTIÓN CONTRACTUAL se encuentra publicado en la carpeta de calidad, con vigencia 06/01/2012.
La acción de revisión y ajuste del procedimiento no se ha cumplido, se solicita ampliar la fecha de cumplimiento a 31 de marzo de 2015.</t>
    </r>
  </si>
  <si>
    <r>
      <rPr>
        <b/>
        <sz val="10"/>
        <color theme="1"/>
        <rFont val="Arial"/>
        <family val="2"/>
      </rPr>
      <t>19 de mayo de 2016</t>
    </r>
    <r>
      <rPr>
        <sz val="10"/>
        <color theme="1"/>
        <rFont val="Arial"/>
        <family val="2"/>
      </rPr>
      <t>. La acción se mantiene en la misma situación y se amplía la fecha al 31 de junio de 2016
05/01/2015 
Se informa que es necesario replantear la acción de mejoramiento involucrando los responsables de la implementación de la acción y se identifiquen las necesidades(en términos de contratación de profesionales en ingeniería eléctrico electrónica y que la información generada del contrato sea de consulta permanente.) 
2 de febrero de 2015:
Al respecto la Oficina Asesora e Planeación aclara que si  se han adelantado  seguimientos a los consumos institucionales de energía, lo cual se ha documentado en formatos suministrados por la Secretaría Distrital de Ambiente.
No obstante lo anterior La acción propuesta de revisión del procedimiento todavía es necesaria, por lo cual se solicita ampliar la fecha de cumplimiento a 31 de marzo de 2015.</t>
    </r>
  </si>
  <si>
    <r>
      <rPr>
        <b/>
        <sz val="10"/>
        <color theme="1"/>
        <rFont val="Arial"/>
        <family val="2"/>
      </rPr>
      <t xml:space="preserve">19 de mayo de 2016. </t>
    </r>
    <r>
      <rPr>
        <sz val="10"/>
        <color theme="1"/>
        <rFont val="Arial"/>
        <family val="2"/>
      </rPr>
      <t>Se debe gestionar la inclusión, dentro el PAG del proceso de Gestión Estratégica, de alguna acción tanto en el PIGA como en el PIRE para la vigencia 2016. Se solicita ampliar fecha.
En el PIGA hacer referencia a documentos de la Secretaría Distrital de Ambiente a través de la herramienta storm y en el PIRE se requiere formular un plan de acción especifico.
2 de febrero de 2015:
Al respecto la Oficina Asesora e Planeación formuló un plan de acción con indicadores para el seguimiento al PIGA, el cual se reportó a la Secretaría Distrital de Ambiente en agosto de 2014.
A este plan de acción se le hace seguimiento cada seis meses, y finalizará el 31 de enero de 2015.
Se propone incluir este plan de acción dentro del Documento Plan de Acción de la Dependencia.
Dado que aún no se han incluido indicadores de cumplimiento del PIRE dentro del plan de acción de la Entidad, se solicita respetuosamente a Control Interno ampliar la fecha de cumplimiento de la acción para el próximo 31 de diciembre de 2015.</t>
    </r>
  </si>
  <si>
    <t>Se recomienda que estos enlaces sean en su mayor parte planta fija y que se mantenga la base de datos con esta identificación y comunique nuevamente para estos enlaces su responsabilidad con el PIGA.</t>
  </si>
  <si>
    <r>
      <rPr>
        <b/>
        <sz val="10"/>
        <color theme="1"/>
        <rFont val="Arial"/>
        <family val="2"/>
      </rPr>
      <t>19 de mayo de 2016.</t>
    </r>
    <r>
      <rPr>
        <sz val="10"/>
        <color theme="1"/>
        <rFont val="Arial"/>
        <family val="2"/>
      </rPr>
      <t xml:space="preserve"> Se debe gestionar la inclusión, dentro el PAG del proceso de Gestión Estratégica, de alguna acción tanto en el PIGA como en el PIRE para la vigencia 2016. Se solicita ampliar fecha.
05/01/2015 
Se solicita replantear la fecha de finalización de la acción dado que situaciones administrativos en el distrito asociadas al cambio de entidades responsables. El plan de acción se crearía en el primer trimestre de 2015
2 de febrero de 2015:
Se revisó el estado de la no conformidad planteada y de la acción correctiva formulada.
Al respecto se advierte que por cambios normativos que se han dado a raíz de la restructuración que se produjo en el antiguo FOPAE hoy IDIGER, se requiere hacer una actualización al PIRE de la Entidad.
Se solicita respetuosamente ampliar la fecha:
Actualización del PIRE de la CVP para el primer trimestre de 2015 (31 de marzo)
Formular el plan de acción del PIRE para el primer trimestre de 2015 (31 de marzo).</t>
    </r>
  </si>
  <si>
    <r>
      <rPr>
        <b/>
        <sz val="10"/>
        <color theme="1"/>
        <rFont val="Arial"/>
        <family val="2"/>
      </rPr>
      <t>19 de mayo de 2016.</t>
    </r>
    <r>
      <rPr>
        <sz val="10"/>
        <color theme="1"/>
        <rFont val="Arial"/>
        <family val="2"/>
      </rPr>
      <t xml:space="preserve"> Se actualizó el PIRE, 208-PLA-Mn-02 versión 8 del 28 de abril de 2015 y se dio a conocer el 27 y 28 de agosto de 2015.
2 de febrero de 2015:
Al respecto se advierte que por cambios normativos que se han dado a raíz de la restructuración que se produjo en el antiguo FOPAE hoy IDIGER, se requiere hacer una actualización al PIRE de la Entidad.
Se solicita respetuosamente ampliar la fecha a 31 de junio 2015
</t>
    </r>
  </si>
  <si>
    <t>Se da cierre a la acción sin embargo se recomienda que dentro del PAG sea incluido el fortalecimiento de socialización de los documentos de plan institucional de PIGA y PIRE  y el ajuste del los enlaces de operación del PIRE.</t>
  </si>
  <si>
    <r>
      <rPr>
        <b/>
        <sz val="10"/>
        <color theme="1"/>
        <rFont val="Arial"/>
        <family val="2"/>
      </rPr>
      <t>19 de mayo de 2016</t>
    </r>
    <r>
      <rPr>
        <sz val="10"/>
        <color theme="1"/>
        <rFont val="Arial"/>
        <family val="2"/>
      </rPr>
      <t xml:space="preserve">. Se actualizó la matriz de riegos en la nueva herramienta V2, para los procesos de la vigencia 2015. Los procesos adelantaron sus registros y enmarcaron sus indicadores en esta herramienta.
19 de diciembre de 2014:
En las reuniones de Comité Directivo los días 02/04/2014, 21/07/2014, y 15/08/2014 se trató entre otros el tema de ajuste de la Planeación Estratégica de la Entidad.
En comité Directivo de Fecha 15 de agosto, se presentó la propuesta de la misión, la visión, y los objetivos estratégicos ajustados.
A la fecha no se ha oficializado esta nueva misión visión y objetivos estratégicos.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r>
  </si>
  <si>
    <t>Se actualizó la misión y la visión de acuerdo con la resolución 381 de 2015</t>
  </si>
  <si>
    <r>
      <rPr>
        <b/>
        <sz val="10"/>
        <color theme="1"/>
        <rFont val="Arial"/>
        <family val="2"/>
      </rPr>
      <t>19 de mayo de 2016</t>
    </r>
    <r>
      <rPr>
        <sz val="10"/>
        <color theme="1"/>
        <rFont val="Arial"/>
        <family val="2"/>
      </rPr>
      <t>. Se formalizaron las nuevas misión,  visión y los objetivos estratégicos mediante la Resolución 381 del 20 de marzo de 2015, divulgada y dada a conocer a través de varios documentos y medios (presentaciones, resolución, manual de calidad, página web) actualizados en la vigencia 2015
19 de diciembre de 2014:
Se solicita cambio de fecha, ver celda anterior.</t>
    </r>
  </si>
  <si>
    <r>
      <rPr>
        <b/>
        <sz val="10"/>
        <color theme="1"/>
        <rFont val="Arial"/>
        <family val="2"/>
      </rPr>
      <t>19 de mayo de 2016.</t>
    </r>
    <r>
      <rPr>
        <sz val="10"/>
        <color theme="1"/>
        <rFont val="Arial"/>
        <family val="2"/>
      </rPr>
      <t xml:space="preserve"> Se han publicado los objetivos estratégicos y/o de calidad a través de varios documentos y medios (presentaciones, resolución, manual de calidad, página web) actualizados en la vigencia 2015.
19-diciembre-2015
El plan estratégico de la Entidad se consolidó y socializó enmarcándolo en el PDD Bogotá Humana, mediante la publicación en la Carpeta de Calidad, en la Intranet, y en la página web (actualización 21 de noviembre).
Se implementó el documento Estrategia de rendición de cuentas el cual se encuentra socializado en la Carpeta de Calidad desde el 24 de septiembre. 
Cabe aclarar que los lineamientos de rendición de cuentas no hacen parte de la Planeación Estratégica,. Por lo cual se solicita la modificación de la Acción correctiva propuesta separándola en dos acciones así.
- Consolidar y socializar el Plan estratégico de la CVP enmarcado en el Plan de Desarrollo Bogotá Positiva, 
- Formular y oficializar la Estrategia de Rendición de Cuentas de la Entidad.</t>
    </r>
  </si>
  <si>
    <r>
      <rPr>
        <b/>
        <sz val="10"/>
        <color theme="1"/>
        <rFont val="Arial"/>
        <family val="2"/>
      </rPr>
      <t>20 de junio de 2016.</t>
    </r>
    <r>
      <rPr>
        <sz val="10"/>
        <color theme="1"/>
        <rFont val="Arial"/>
        <family val="2"/>
      </rPr>
      <t xml:space="preserve"> No se efectuó seguimiento.
4 de septiembre de 2015: Se cambia responsable de acción atendiendo el cambio de líder de proceso sería la Dirección corporativa.
4 de septiembre de 2015: Se cambia responsable de acción atendiendo el cambio de líder de proceso sería la Dirección corporativa.</t>
    </r>
  </si>
  <si>
    <r>
      <rPr>
        <b/>
        <sz val="10"/>
        <color theme="1"/>
        <rFont val="Arial"/>
        <family val="2"/>
      </rPr>
      <t>19 de mayo de 2016.</t>
    </r>
    <r>
      <rPr>
        <sz val="10"/>
        <color theme="1"/>
        <rFont val="Arial"/>
        <family val="2"/>
      </rPr>
      <t xml:space="preserve"> 1. Se presenta en las dos publicaciones del plan anticorrupción, tanto del cierre vigencia 2014 como formulación y cierre de la vigencia 2015, seguimiento y cumplimiento de las acciones formuladas y que quedaron pendientes en la vigencia 2014. Caso: "Revisión y ajuste de los trámites de acuerdo con la normatividad vigente y el proyecto de ajuste institucional", cumplimiento del 70% en la vigencia 2014 y del 100% en la vigencia 2015. En la vigencia 2016 se formulan acciones para cada tramite "Revisar, actualizar y publicar el trámite con los ajustes pertinentes" considerando cambios de normatividad que apliquen
2. La Oficina Asesora de Planeación, con memorando 2014IE6191, solicito la revisión de la formulación de las herramientas. Documento publicado en la carpeta de calidad \\serv-cv11\calidad\15. CONSOLIDADO MAPAS DE RIESGO\ANÁLISIS RIESGOS DE PROCESOS\2014 y los soportes dados por las áreas agrupado en el archivo: "SOPORTES ANÁLISIS MAPA DE RIESGOS"</t>
    </r>
  </si>
  <si>
    <r>
      <rPr>
        <b/>
        <sz val="10"/>
        <rFont val="Arial"/>
        <family val="2"/>
      </rPr>
      <t xml:space="preserve">19 de mayo de 2016. </t>
    </r>
    <r>
      <rPr>
        <sz val="10"/>
        <rFont val="Arial"/>
        <family val="2"/>
      </rPr>
      <t>La Oficina Asesora de Planeación, con memorando 2014IE6191, solicitó la revisión de la formulación de las herramientas. Documento publicado en la carpeta de calidad \\serv-cv11\calidad\15. CONSOLIDADO MAPAS DE RIESGO\ANÁLISIS RIESGOS DE PROCESOS\2014, y soportes dados por las áreas agrupados en el archivo: "SOPORTES ANÁLISIS MAPA DE RIESGOS". Se han dictado sensibilizaciones a los enlaces de cada uno de los procesos: en la vigencia 2015 el 23 de septiembre y en la vigencia 2016, lineamientos el 29 de febrero y el 19 abril. Soportes verificados en la ruta: \\serv-cv11\calidad\27. PRESENTACIONES E INFORMES\SISTEMA INTEGRADO DE GESTIÓN para cada vigencia.</t>
    </r>
  </si>
  <si>
    <r>
      <rPr>
        <b/>
        <sz val="10"/>
        <rFont val="Arial"/>
        <family val="2"/>
      </rPr>
      <t xml:space="preserve">19 de mayo de 2016. </t>
    </r>
    <r>
      <rPr>
        <sz val="10"/>
        <rFont val="Arial"/>
        <family val="2"/>
      </rPr>
      <t>Pendiente la verificación del memorando.</t>
    </r>
  </si>
  <si>
    <r>
      <rPr>
        <b/>
        <sz val="10"/>
        <rFont val="Arial"/>
        <family val="2"/>
      </rPr>
      <t xml:space="preserve">20 de junio de 2016. </t>
    </r>
    <r>
      <rPr>
        <sz val="10"/>
        <rFont val="Arial"/>
        <family val="2"/>
      </rPr>
      <t>No se efectuó seguimiento.</t>
    </r>
  </si>
  <si>
    <r>
      <rPr>
        <b/>
        <sz val="10"/>
        <color theme="1"/>
        <rFont val="Arial"/>
        <family val="2"/>
      </rPr>
      <t>19 de mayo de 2016.</t>
    </r>
    <r>
      <rPr>
        <sz val="10"/>
        <color theme="1"/>
        <rFont val="Arial"/>
        <family val="2"/>
      </rPr>
      <t xml:space="preserve"> El plan estratégico fue revisado y actualizado en el Comité Directivo del 2 de marzo de 2015. El plan estratégico fue oficializado a través de la Resolución 0381 de 20 de marzo de 2015. El Manual de Calidad se actualizó de acuerdo con el nuevo Plan Estratégico de la entidad y está oficializado en la carpeta de calidad con versión 5 del 28 de octubre de 2015. \\serv-cv11\calidad\1. PROCESO DE GESTIÓN ESTRATÉGICA\MANUALES\208-PLA-Mn-01 MANUAL DE CALIDAD
El artículo 2º de la Resolución 381 estableció: "Durante el primer trimestre de cada anualidad la Caja de la Vivienda Popular revisará y evaluará el Plan Estratégico, con el fin de actualizarlo de esta manera contar con un horizonte de Planeación permanente"
En el artículo 3º dispone la responsabilidad de la Oficina Asesora de Planeación en la divulgación del Plan Estratégico en coordinación con la Oficina Asesora de Comunicaciones.
En la vigencia 2016, por cambio de administración, no se ha efectuado revisión y actualización de este plan estratégico.
17-12-2015 Revisar en la vigencia 2016</t>
    </r>
  </si>
  <si>
    <r>
      <rPr>
        <b/>
        <sz val="8"/>
        <color theme="1"/>
        <rFont val="Arial"/>
        <family val="2"/>
      </rPr>
      <t>19 de mayo de 2016</t>
    </r>
    <r>
      <rPr>
        <sz val="8"/>
        <color theme="1"/>
        <rFont val="Arial"/>
        <family val="2"/>
      </rPr>
      <t xml:space="preserve">. Se formuló acción para corregir los hallazgos presentados en el plan de mejoramiento.
27-Noviembre-2015
Se validó: 
En el documento \\serv-cv11\calidad\Listado Maestro de documentos que se encuentra en el renglón 273 y aparece la versión 4 que es la que está vigente actualmente.
En el documento \\serv-cv11\calidad\Listado Maestro de documentos , donde el formato oficio aparece la versión 9 que es la que está vigente actualmente, y adicionalmente se validó en la carpeta plantillas que el documento publicado está en la versión 9.
En el documento \\serv-cv11\calidad\Listado Maestro de documentos , donde el formato oficio aparece la versión 5  que es la que está vigente actualmente, y adicionalmente se validó en la carpeta  tablas de retención documental 2014 que el documento publicado está en la versión 5.
Se actualizaron las doce caracterizaciones y se aprobó una caracterización de proceso de Servicio al ciudadano, las cuales se encuentran en el formato vigente de Caracterización de Proceso.
En el marco de las acciones de preparación para la auditoría de Calidad de 2015, se revisó el Listado Maestro de documentos y se consolidó la carpeta con la estructura documental vigente de la Entidad.
En el listado maestro de documentos y en la carpeta de calidad se encuentra vigente la versión 6 del formato, con vigencia 20 de noviembre de 2014.
Se enviará comunicación a los funcionarios usuarios de dicho formato para que revisen el uso de la versión del formato que se encuentra aprobada en Calidad.
</t>
    </r>
    <r>
      <rPr>
        <b/>
        <sz val="8"/>
        <color theme="1"/>
        <rFont val="Arial"/>
        <family val="2"/>
      </rPr>
      <t>Control Interno verificó las correcciones que se indican en el seguimiento la acción queda abierta hasta que se envíe el comunicado que se indica en el último párrafo.</t>
    </r>
  </si>
  <si>
    <r>
      <rPr>
        <b/>
        <sz val="10"/>
        <color theme="1"/>
        <rFont val="Arial"/>
        <family val="2"/>
      </rPr>
      <t>19 de mayo de 2016</t>
    </r>
    <r>
      <rPr>
        <sz val="10"/>
        <color theme="1"/>
        <rFont val="Arial"/>
        <family val="2"/>
      </rPr>
      <t>. Se registró la actividad en el formato y se verificó en prueba aleatoria la actualización y ubicación del documento en la carpeta de calidad. En el procedimiento se deja el registro
27-Noviembre-2015
En la versión 6 del procedimiento con vigencia 23/04/2015, se incluyo en el punto 6 del procedimiento la actualización del código y vigencia de los documentos dentro del listado maestro de documentos. Se solicita el cierre de la acción propuesta.
Control Interno verifica el paso en el procedimiento pero se deja abierta la acción para que en próxima auditoria se confirme su efectividad.</t>
    </r>
  </si>
  <si>
    <t>Se verifica el registro en el procedimiento y en el Listado Maestro de documentos.
s.</t>
  </si>
  <si>
    <r>
      <rPr>
        <b/>
        <sz val="10"/>
        <color theme="1"/>
        <rFont val="Arial"/>
        <family val="2"/>
      </rPr>
      <t>19 de mayo de 2016.</t>
    </r>
    <r>
      <rPr>
        <sz val="10"/>
        <color theme="1"/>
        <rFont val="Arial"/>
        <family val="2"/>
      </rPr>
      <t xml:space="preserve"> Se revisan los reportes del registro de los productos No conformes. Sin embargo a fecha de corte del 20 de junio de 2016 no se ha reportado este registro. Se cierra la acción pero se genera una nueva que asegure el compromiso de los líderes de procesos en sus reportes.
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r>
  </si>
  <si>
    <t>20Jun2016. Se cierra la acción. Se deja formulado como resultado de este ejercicio la oportunidad de la publicación de estos registros dentro de la carpeta de Producto No conforme</t>
  </si>
  <si>
    <r>
      <rPr>
        <b/>
        <sz val="10"/>
        <color theme="1"/>
        <rFont val="Arial"/>
        <family val="2"/>
      </rPr>
      <t>20 de junio de 2016.</t>
    </r>
    <r>
      <rPr>
        <sz val="10"/>
        <color theme="1"/>
        <rFont val="Arial"/>
        <family val="2"/>
      </rPr>
      <t xml:space="preserve"> Se dieron a conocer, el 19 de abril de 2016, las herramientas de gestión lideradas por la Oficina Asesora de Planeación. Además se presentó a los enlaces el formato de Producto NO Conforme. Se cierra la acción pero se solicita generar una nueva que asegure el compromiso de los líderes de procesos en sus reportes.
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r>
  </si>
  <si>
    <r>
      <rPr>
        <b/>
        <sz val="10"/>
        <color theme="1"/>
        <rFont val="Arial"/>
        <family val="2"/>
      </rPr>
      <t>20 de junio de 2016.</t>
    </r>
    <r>
      <rPr>
        <sz val="10"/>
        <color theme="1"/>
        <rFont val="Arial"/>
        <family val="2"/>
      </rPr>
      <t xml:space="preserve">  Para el corte a diciembre de 2015, se consolidó el servicio no conforme para los cinco procesos misionales, lo cual se puede validar en la ruta:
\\serv-cv11\calidad\17. CONSOLIDADO SERVICIO NO CONFORME\2015\FECHA DE CORTE 15 DE DICIEMBRE.
Se solcitó mediante correo dirigido el 01 de diciembre de 2015
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r>
  </si>
  <si>
    <r>
      <rPr>
        <b/>
        <sz val="8"/>
        <color theme="1"/>
        <rFont val="Arial"/>
        <family val="2"/>
      </rPr>
      <t>20 de junio de 2016</t>
    </r>
    <r>
      <rPr>
        <sz val="8"/>
        <color theme="1"/>
        <rFont val="Arial"/>
        <family val="2"/>
      </rPr>
      <t xml:space="preserve">. Se han formulado los siguientes procedimientos definidos en la norma NTD-SIG-2011: 
a. Reporte e investigación de accidentes laborales: Se encuentra descrito en el manual "Subsistema de Gestión de la Salud y Seguridad en el Trabajo, en el capítulo 11.3. PROGRAMA DE HIGIENE Y SEGURIDAD INDUSTRIAL, ítem 11.3. PROGRAMA DE HIGIENE Y SEGURIDAD INDUSTRIAL. Validar el manual en la ruta:\\serv-cv11\calidad\12. PROCESO GESTIÓN HUMANA\MANUALES\208-SADM-Mn-07 SUBSISTEMA GESTIÓN SST
b. Construcción y actualización del normograma: Se encuentra descrito en el documento Control Documental con Código: 208-PLA-Pr-15, capítulo III. Elaboración de la normatividad vigente y IV. Actualización de la normatividad vigente
c. Monitoreo del uso de los medios de procesamiento de información se encuentra presentado en el procedimiento: PROCEDIMIENTO VERIFICACIÓN DE INTEGRIDAD DE DATOS EN SISTEMAS DE INFORMACIÓN código 208-DGC-Pr-08 Versión 1 del 05-11-2015. (Revisar en auditoria de Administración de Sistemas de Información). y el instructivo 208-DGC-In-03 INSTRUCTIVO MEDIDAS TECNOLÓGICAS Y ADMINISTRATIVAS DE PROTECCIÓN DE DATOS. (Revisar en auditoria de Administración de Sistemas de Información) 
Se modificó fecha de cierre del 31 de diciembre de 2015 al 31 de diciembre de 2016 para la elaboración de los procedimientos protección del intercambio de información y monitoreo del uso de los medios de procesamiento de información.
12-08-2015 Seguimiento del proceso
El reporte de accidentes de trabajo: Para este reporte no se va a realizar procedimiento, esta actividad se va a dejar inmersa dentro del manual de SST.
La investigación de accidentes laborales.  Para este reporte no se va a realizar procedimiento, esta actividad se va a dejar inmersa dentro del manual de SST.
La construcción y actualización del Normograma: Esta actividad quedo inmersa dentro del procedimiento Control Documental.
El monitoreo del uso de los medios de procesamiento de información. Esta actividad va a quedar inmersa dentro de los nuevos  procedimientos del proceso de administración de la información.
La Planificación Operativa esta descrita en las siguientes herramientas: Caracterización del proceso, caracterización del producto y/o servicio, la matriz de trámites y servicios y en la matriz de servicios del proceso de administración de la información.
</t>
    </r>
  </si>
  <si>
    <r>
      <rPr>
        <b/>
        <sz val="8"/>
        <color theme="1"/>
        <rFont val="Arial"/>
        <family val="2"/>
      </rPr>
      <t>20 de junio de 2016</t>
    </r>
    <r>
      <rPr>
        <sz val="8"/>
        <color theme="1"/>
        <rFont val="Arial"/>
        <family val="2"/>
      </rPr>
      <t>.  Se construyó el plan de trabajo que asegure su completa implementación. Se lleva acabo seguimiento para su culminación.
12/08/2015. Se elaboró el cronograma para los productos mínimos de los  trece elementos de control, y se debe continuar con la elaboración del cronograma para los productos mínimos del eje transversal de Información y Comunicación. Por lo cual se determina un avance de 2/3 partes de la primera Actividad de formular el cronograma o plan de trabajo, la cual tiene un porcentaje ponderado de 25%.
Para la segunda actividad de seguimiento a la implementación la cual tiene una ponderación del 75%, ya se tiene un avance de 11 productos (componente talento humano) y cinco productos  (componente administración del riesgo) de los 64 productos mínimos requeridos.
=(2/3*0,25) + (36/64)*0,75 = 35%.
12/08/2015
Se elaboró el cronograma para los productos mínimos de los  trece elementos de control, y se debe continuar con la elaboración del cronograma para los productos mínimos del eje transversal de Información y Comunicación. Por lo cual se determina un avance de 2/3 partes de la primera Actividad de formular el cronograma o plan de trabajo, la cual tiene un porcentaje ponderado de 25%.
Para la segunda actividad de seguimiento a la implementación la cual tiene una ponderación del 75%, ya se tiene un avance de 11 productos (componente talento humano) y cinco productos  (componente administración del riesgo) de los 64 productos mínimos requeridos.
=(2/3*0,25) + (36/64)*0,75 = 35%.
27 de noviembre de 2015
Se elaboró el cronograma y se realiza seguimiento permanente con un consolidado semestral, dado que aún se requiere implementar algunos productos mínimos y que en cuadro de seguimiento se estima un porcentaje de implementación del 87%, se solicita a control interno ampliar la fecha a 31 de marzo de 2016.</t>
    </r>
  </si>
  <si>
    <t xml:space="preserve">No se reportan las herramientas de gestión en cumplimiento de los términos establecidos por la entidad.
Matriz de Riesgos,
- Plan de acción
- Reporte de producto y/o Servicio No conforme
- Reporte y control del Diseño y desarrollo
- Actualización del normograma
</t>
  </si>
  <si>
    <t>No se ha adelantado el registro de las actas del comité del Sistema Integrado de Gestión, para todos los comités reunidos en la vigencia 2016.</t>
  </si>
  <si>
    <t>El mapa de riesgos por procesos 2015 debe ser analizado para constatar que las acciones formuladas y ejecutadas aporten a efectos de mitigarlos, reducirlos o evitarlos y tomarlos como insumo en la construcción del mapa de riesgos de la vigencia 2016.</t>
  </si>
  <si>
    <t>No se ha elaborado la matriz de producto y/o Servicio No conforme</t>
  </si>
  <si>
    <t>No formularon plan pero se realiza seguimiento en la auditoria cerrada e 30 de junio de 2016</t>
  </si>
  <si>
    <t xml:space="preserve">16 de junio de 2016. 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</si>
  <si>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t xml:space="preserve">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</si>
  <si>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r>
      <rPr>
        <b/>
        <sz val="9"/>
        <color theme="1"/>
        <rFont val="Arial"/>
        <family val="2"/>
      </rPr>
      <t>16 de junio de 2016.</t>
    </r>
    <r>
      <rPr>
        <sz val="9"/>
        <color theme="1"/>
        <rFont val="Arial"/>
        <family val="2"/>
      </rPr>
      <t xml:space="preserve"> Se da cierre, puesto que la Dirección Jurídica presenta los soportes de trasferencia al archivo de gestión central de la entidad. Soportes firmados por la persona encargada de la época. 
12-01-2016
Se hizo entrega de las cajas de los archivos muertos a gestión documental, área encargada de hacer la intervención en calidad de apoyo a la Dirección Jurídica; actividad que está en proceso. Una vez terminada esta labor se procederá a formalizar la transferencia, de conformidad con el cronograma de la vigencia 2016, aprobado por el Comité Interno de Archivo de la entidad. Por lo anterior, esta acción continúa abierta.</t>
    </r>
  </si>
  <si>
    <r>
      <rPr>
        <b/>
        <sz val="10"/>
        <color theme="1"/>
        <rFont val="Arial"/>
        <family val="2"/>
      </rPr>
      <t>16 de junio de 2016.</t>
    </r>
    <r>
      <rPr>
        <sz val="10"/>
        <color theme="1"/>
        <rFont val="Arial"/>
        <family val="2"/>
      </rPr>
      <t xml:space="preserve"> Se da cierre, se evidenció que el formato fue actualizado
12-01-2016
El formato 2018-DJ-Pr-06, no ha sido actualizado. Esta acción continúa abierta.</t>
    </r>
  </si>
  <si>
    <r>
      <rPr>
        <b/>
        <sz val="10"/>
        <color theme="1"/>
        <rFont val="Arial"/>
        <family val="2"/>
      </rPr>
      <t>16 de junio de 2016.</t>
    </r>
    <r>
      <rPr>
        <sz val="10"/>
        <color theme="1"/>
        <rFont val="Arial"/>
        <family val="2"/>
      </rPr>
      <t xml:space="preserve"> Se solicitaron al funcionario Leonardo Garnica, responsable del archivo, los soportes de la sensibilización a la que asistió pero estos no fueron allegados. Continúa abierta.
12-01-2016
Se asignó funcionario de planta encargado del archivo de jurídica. Esta acción establece la sensibilización al funcionario encargado, de lo cual no se presenta evidencia. Continúa abierta.</t>
    </r>
  </si>
  <si>
    <t>16 de junio de 2016. Se verifica que los expedientes que fueron transferidos al archivo de gestión central fueron digitalizados, los expedientes que se encuentran en la Dirección Jurídica están en proceso de digitalización. Continúa Abierta.
12-01-2016
Los documentos de los procesos judiciales son digitalizados y subidos en el SIPROJWEB. EL SIPROJWEB es una “herramienta de trabajo para la consulta, análisis y actualización de información judicial relacionada con Bogotá.”. La Entidad cuenta con el aplicativo Zaffiro, que permite entre otros aspectos, la digitalización de la totalidad de los tipos documentales susceptibles de archivo. Esta acción continúa abierta.</t>
  </si>
  <si>
    <r>
      <rPr>
        <b/>
        <sz val="8"/>
        <color theme="1"/>
        <rFont val="Arial"/>
        <family val="2"/>
      </rPr>
      <t>16 de junio de 2016.</t>
    </r>
    <r>
      <rPr>
        <sz val="8"/>
        <color theme="1"/>
        <rFont val="Arial"/>
        <family val="2"/>
      </rPr>
      <t xml:space="preserve"> Se solicitó al funcionario (Leonardo Garnica) responsable los soportes de la sensibilización a la que asistió pero no fueron allegados a Control Interno. Continúa Abierta.
12-01-2016
Acción cerrada en el Plan de Mejoramiento de la Contraloría. Sin embargo, en revisión del 06 de enero de 2016, se evidenció en presencia de la contratista Maryoris Esther Carrilllo Esmeral, que se siguen presentando procesos judiciales desactualizados en el SIPROJ, en especial en lo relacionado con los documentos en PDF. Por lo anterior, la acción continúa abierta. </t>
    </r>
  </si>
  <si>
    <t>Respecto a los informes que deben entregar los abogados de representación judicial al Director Jurídico, no se evidencia el cumplimiento de uno de ellos, tampoco que haya sido requerido por el supervisor del contrato para la entrega de los mismos. Así mismo no se está cumpliendo con los tiempos establecidos en el procedimiento 208-DJ-Pr-08 “Seguimiento a los procesos judiciales”, el cual determina que su periodicidad debe ser semanal.</t>
  </si>
  <si>
    <t>Respecto al plan de mejoramiento revisado en el ejercicio de esta auditoría a cuatro hallazgos no se habían formulado acciones, igualmente se hizo seguimiento dentro del ejercicio de la auditoría.</t>
  </si>
  <si>
    <t xml:space="preserve">24-06-2016 En la formulación del Plan de mejoramiento derivado de la auditoría de 2015, se solicita ampliación de la fecha de cierre para el 30 de octubre de 2016, para efectos de cumplir con la acción.
El procedimiento se construyó y está en proceso de revisión y firma.
20 de octubre de 2015
El procedimiento 208-COM-Pr-03 ADMINISTRACIÓN Y GESTIÓN DE CONTENIDOS EN WEB E INTRANET, Vr 2 formalizado a partir del 22 de septiembre de 2015, no cuenta con  el aparte de evaluación sobre la percepción de la WEB e Intranet.
Revisada la página web se encontró, en el link de servicio al ciudadano, sondeo de percepción portal web, el cual no se encuentra asociado a ningún procedimiento del proceso.
</t>
  </si>
  <si>
    <t>No se ha incluido en el normograma la Resolución 3564 del 31 de diciembre de 2015 expedida por el Ministerio de Tecnologías de la Información de las Comunicaciones. Los procedimientos 208-COM-Pr-03, 208-COM-Pr-04, 208-COM-Pr-05, 208-COM-Pr-06, 208-COM-Pr-07 y 208-COM-Pr-08 no se encuentran actualizados de conformidad con la norma citada.</t>
  </si>
  <si>
    <r>
      <rPr>
        <b/>
        <sz val="8"/>
        <color theme="1"/>
        <rFont val="Arial"/>
        <family val="2"/>
      </rPr>
      <t xml:space="preserve">14 de junio de 2016: </t>
    </r>
    <r>
      <rPr>
        <sz val="8"/>
        <color theme="1"/>
        <rFont val="Arial"/>
        <family val="2"/>
      </rPr>
      <t>Se evidenció la actualización del procedimiento desde el punto de vista de la nueva normatividad aplicable. Falta verificar el listado maestro de documentos contra el procedimiento, para garantizar la codificación de los registros.</t>
    </r>
  </si>
  <si>
    <r>
      <rPr>
        <b/>
        <sz val="9"/>
        <color theme="1"/>
        <rFont val="Arial"/>
        <family val="2"/>
      </rPr>
      <t>14 de junio de 2016:</t>
    </r>
    <r>
      <rPr>
        <sz val="9"/>
        <color theme="1"/>
        <rFont val="Arial"/>
        <family val="2"/>
      </rPr>
      <t>No se evidenció avance. Se presenta el inventario de activos de información de la Dirección Corporativa y CID sin ninguno de los componentes que tengan relación directa  proceso servicio al ciudadano.</t>
    </r>
  </si>
  <si>
    <r>
      <rPr>
        <b/>
        <sz val="10"/>
        <color theme="1"/>
        <rFont val="Arial"/>
        <family val="2"/>
      </rPr>
      <t xml:space="preserve">14 de junio de 2016: </t>
    </r>
    <r>
      <rPr>
        <sz val="10"/>
        <color theme="1"/>
        <rFont val="Arial"/>
        <family val="2"/>
      </rPr>
      <t>En la página WEB que se encuentran publicados, tanto el nombre del Defensor del Ciudadano como la Resolución 4142 de 2015.</t>
    </r>
  </si>
  <si>
    <r>
      <rPr>
        <b/>
        <sz val="10"/>
        <color theme="1"/>
        <rFont val="Arial"/>
        <family val="2"/>
      </rPr>
      <t>14 de junio de 2016:</t>
    </r>
    <r>
      <rPr>
        <sz val="10"/>
        <color theme="1"/>
        <rFont val="Arial"/>
        <family val="2"/>
      </rPr>
      <t xml:space="preserve"> Correo enviado a Ángela Díaz  con contrato 264 de 2016 asignándole la función, de verificación trimestral que la información del proceso al servicio al ciudadano, se encuentre actualizada y publicada.</t>
    </r>
  </si>
  <si>
    <r>
      <rPr>
        <b/>
        <sz val="8"/>
        <color theme="1"/>
        <rFont val="Arial"/>
        <family val="2"/>
      </rPr>
      <t>14 de junio de 2016:</t>
    </r>
    <r>
      <rPr>
        <sz val="8"/>
        <color theme="1"/>
        <rFont val="Arial"/>
        <family val="2"/>
      </rPr>
      <t xml:space="preserve"> En el desarrollo de esta auditoría se evidencia de nuevo que la pantalla no se encuentra en funcionamiento. La acción debe ser reformulada o reasignada.
Correo de respuesta para dar a conocer las comunicaciones al área de sistemas. Esta informa que se han “generado varias comunicaciones para dar solución a la problemática y se observa que la empresa no ha estado muy receptiva para apoyarnos y eso se ve reflejado en las demoras”
</t>
    </r>
  </si>
  <si>
    <r>
      <rPr>
        <b/>
        <sz val="8"/>
        <color theme="1"/>
        <rFont val="Arial"/>
        <family val="2"/>
      </rPr>
      <t xml:space="preserve">14 de junio de 2016: </t>
    </r>
    <r>
      <rPr>
        <sz val="8"/>
        <color theme="1"/>
        <rFont val="Arial"/>
        <family val="2"/>
      </rPr>
      <t>Se vuelve a evidenciar que la pantalla no se encuentra en funcionamiento.</t>
    </r>
  </si>
  <si>
    <r>
      <rPr>
        <b/>
        <sz val="10"/>
        <color theme="1"/>
        <rFont val="Arial"/>
        <family val="2"/>
      </rPr>
      <t>14 de junio de 2016</t>
    </r>
    <r>
      <rPr>
        <sz val="10"/>
        <color theme="1"/>
        <rFont val="Arial"/>
        <family val="2"/>
      </rPr>
      <t>: Se asignó a la contratista Silenia Neira Torres para el seguimiento y la formulación de los planes de mejoramiento del proceso servicio al ciudadano.</t>
    </r>
  </si>
  <si>
    <r>
      <rPr>
        <b/>
        <sz val="10"/>
        <color theme="1"/>
        <rFont val="Arial"/>
        <family val="2"/>
      </rPr>
      <t>14 de junio de 2016</t>
    </r>
    <r>
      <rPr>
        <sz val="10"/>
        <color theme="1"/>
        <rFont val="Arial"/>
        <family val="2"/>
      </rPr>
      <t>: Se asignó a la contratista Silenia Neira Torres para el seguimiento y la formulación de los planes de mejoramiento del proceso servicio al ciudadano. No se evidencia la formulación del indicador de cumplimiento.</t>
    </r>
  </si>
  <si>
    <r>
      <rPr>
        <b/>
        <sz val="10"/>
        <color theme="1"/>
        <rFont val="Arial"/>
        <family val="2"/>
      </rPr>
      <t>14 de junio de 2016:</t>
    </r>
    <r>
      <rPr>
        <sz val="10"/>
        <color theme="1"/>
        <rFont val="Arial"/>
        <family val="2"/>
      </rPr>
      <t xml:space="preserve"> El normograma se encuentra actualizado y publicado en la carpeta de calidad con fecha 6 de mayo de 2016.</t>
    </r>
  </si>
  <si>
    <r>
      <rPr>
        <b/>
        <sz val="10"/>
        <color theme="1"/>
        <rFont val="Arial"/>
        <family val="2"/>
      </rPr>
      <t>14 de junio de 2016:</t>
    </r>
    <r>
      <rPr>
        <sz val="10"/>
        <color theme="1"/>
        <rFont val="Arial"/>
        <family val="2"/>
      </rPr>
      <t xml:space="preserve"> El contrato 057 de 2016, suscrito con Gilda Miriam España Rodríguez, establece dentro de las obligaciones específicas, actualizar la documentación del proceso. Esta acción se adelantará durante toda la vigencia.</t>
    </r>
  </si>
  <si>
    <r>
      <rPr>
        <b/>
        <sz val="9"/>
        <color theme="1"/>
        <rFont val="Arial"/>
        <family val="2"/>
      </rPr>
      <t xml:space="preserve">14 de juniode 2016: </t>
    </r>
    <r>
      <rPr>
        <sz val="9"/>
        <color theme="1"/>
        <rFont val="Arial"/>
        <family val="2"/>
      </rPr>
      <t>El contrato 057 de 2016, suscrito con Gilda Miriam España Rodríguez, establece dentro de las obligaciones específicas, actualizar la documentación del proceso. Esta acción se adelantará durante toda la vigencia. Falta la formulación del indicador de cumplimiento.</t>
    </r>
  </si>
  <si>
    <t>Verificar las acciones del mapa de riesgos para formulación conforme al PDD Bogotá Mejor para todos</t>
  </si>
  <si>
    <t xml:space="preserve">Hacer seguimiento a las metas de las sub-actividades para identificar su cumplimiento </t>
  </si>
  <si>
    <t>Aprobar las acciones correctivas y preventivas identificadas</t>
  </si>
  <si>
    <t xml:space="preserve">Dirección de Urbanización y Titulación </t>
  </si>
  <si>
    <t xml:space="preserve">Revisar y actualizar a tiempo cada una de las herramientas de la direccion de Mejoramiento de Vivienda, con el fin de mantener y oficializar los resultados de las mediciones </t>
  </si>
  <si>
    <t>Director de Mejoramiento de Vivienda, Coordinadores DMV y Profesional de planeación de la DMV</t>
  </si>
  <si>
    <t>Realizar la revisión de las acciones propuestas en la matriz de riesgos, con el fin de definir si se continua con el seguimiento o si se requiere realizar un nuevo planteamiento</t>
  </si>
  <si>
    <t xml:space="preserve">Se debe revisar y ajustar el formato " 208-PLA-Ft-12" según la carpeta de calidad y  realizar la revision y ajuste a los ponderados  de las actividades y subactividades </t>
  </si>
  <si>
    <t> Ajustar la minuta contractual para los abogados, incluyendo la renuncia de los poderes en término prudencial posterior a la terminación del contrato de prestación de servicios</t>
  </si>
  <si>
    <r>
      <rPr>
        <b/>
        <sz val="10"/>
        <color theme="1"/>
        <rFont val="Arial"/>
        <family val="2"/>
      </rPr>
      <t>14 de octubre de 2016</t>
    </r>
    <r>
      <rPr>
        <sz val="10"/>
        <color theme="1"/>
        <rFont val="Arial"/>
        <family val="2"/>
      </rPr>
      <t xml:space="preserve">. Mediante memorando 2016IE5811, la Dirección Jurídica remite los soportes para subsanar este hallazgo y una vez verificada la información se da cierre. En cuanto a la modificación de la minuta contractual se hará a partir de la vigencia 2017, según lo informado por el contratista Gilberto Suarez                               </t>
    </r>
    <r>
      <rPr>
        <b/>
        <sz val="10"/>
        <color theme="1"/>
        <rFont val="Arial"/>
        <family val="2"/>
      </rPr>
      <t>16 de junio de 2016</t>
    </r>
    <r>
      <rPr>
        <sz val="10"/>
        <color theme="1"/>
        <rFont val="Arial"/>
        <family val="2"/>
      </rPr>
      <t>. La abogada Yamile Castiblanco manifiesta que el poder otorgado a los abogados aún cuando no tengan vínculo con la entidad continua vigente si no se ha radicado la renuncia a los mismos o si no son aceptadas por el juez. Art 69 CPC, lo mantiene el Art 76 CGP. (Riesgo operativo). GENERAR PLAN DE MEJORAMIENTO</t>
    </r>
  </si>
  <si>
    <t>Se da cierre por Monica Bustamante  en Auditoria de octubre 20 de 2016, comprobando el cumplimiento.</t>
  </si>
  <si>
    <t>Ajustar el procedimiento de Seguimiento a procesos judiciales para que, anexo al informe de procesos judiciales se allegue al reporte del histórico de actuaciones de cada proceso que genera el SIPROJ incluyendo el registro de PDF.</t>
  </si>
  <si>
    <t>Ajustar el procedimiento de seguimiento a procesos judiciales para generar el punto de control del manejo, cuidado y custodia del archivo de gestión de defensa judicial de acuerdo a la normatividad archivística vigente.</t>
  </si>
  <si>
    <r>
      <rPr>
        <b/>
        <sz val="9"/>
        <color theme="1"/>
        <rFont val="Arial"/>
        <family val="2"/>
      </rPr>
      <t xml:space="preserve"> 14 de octubre de 2016.  </t>
    </r>
    <r>
      <rPr>
        <sz val="9"/>
        <color theme="1"/>
        <rFont val="Arial"/>
        <family val="2"/>
      </rPr>
      <t>Se evidencia que no ha sido efectiva la acción planteada por el área. Se encuentra documentación suelta (documentos, expedientes, AZ) tanto en el área de archivo de procesos judiciales, como en el área de la secretaría. Continúa abierta. (se replantea la acción y la fecha de cumplimiento)</t>
    </r>
    <r>
      <rPr>
        <b/>
        <sz val="9"/>
        <color theme="1"/>
        <rFont val="Arial"/>
        <family val="2"/>
      </rPr>
      <t xml:space="preserve">                                                       16 de junio de 2016.  </t>
    </r>
    <r>
      <rPr>
        <sz val="9"/>
        <color theme="1"/>
        <rFont val="Arial"/>
        <family val="2"/>
      </rPr>
      <t>Dentro del ejercicio de la auditoría se evidencia que  no hay efectividad dentro de la acción planteada por el área. Continúa abierta.</t>
    </r>
    <r>
      <rPr>
        <b/>
        <sz val="9"/>
        <color theme="1"/>
        <rFont val="Arial"/>
        <family val="2"/>
      </rPr>
      <t xml:space="preserve">
30/01/2015 </t>
    </r>
    <r>
      <rPr>
        <sz val="9"/>
        <color theme="1"/>
        <rFont val="Arial"/>
        <family val="2"/>
      </rPr>
      <t xml:space="preserve">El 19/09/2014 con el código 208-DJ-Pr-08 se incorporo en calidad el procedimiento correspondiente al seguimiento de los procesos judiciales; la acción se cumplió </t>
    </r>
  </si>
  <si>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</si>
  <si>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t xml:space="preserve">Se solicitará al proceso de Gestión Documental la capacitación y el apoyo para el levante, depuración y foliación de la documentacion de la Dirección jurídica </t>
  </si>
  <si>
    <r>
      <rPr>
        <b/>
        <sz val="10"/>
        <color theme="1"/>
        <rFont val="Arial"/>
        <family val="2"/>
      </rPr>
      <t>14 oct 2016.</t>
    </r>
    <r>
      <rPr>
        <sz val="10"/>
        <color theme="1"/>
        <rFont val="Arial"/>
        <family val="2"/>
      </rPr>
      <t xml:space="preserve"> Una vez revisados los soportes enviados por la Dirección Jurídica se evidencia que aún el aplicativo se encuentra desactualizado. Se mantiene el hallazgo.   (replantean la acción y la fecha de cumplimiento)                                          </t>
    </r>
    <r>
      <rPr>
        <b/>
        <sz val="10"/>
        <color theme="1"/>
        <rFont val="Arial"/>
        <family val="2"/>
      </rPr>
      <t>12-01-2016</t>
    </r>
    <r>
      <rPr>
        <sz val="10"/>
        <color theme="1"/>
        <rFont val="Arial"/>
        <family val="2"/>
      </rPr>
      <t xml:space="preserve">
Se organizó el archivo judicial supeditado a esta acción, en unidades de almacenamiento (carpetas) conforme a las normas archivísticas, y previamente se incluyó en el inventario de los procesos judiciales. Se anexan los soportes en archivo electrónico que incluye copia Pdf de 34 folios del Formato Único de Inventario Documental FUID 208-SADM-Ft-02 V3 (13/10/2011) diligenciados con la intervención de  Gestión Documental. Se solicita cierre.</t>
    </r>
  </si>
  <si>
    <t xml:space="preserve">Se da cierre por José Orjuela en seguimiento en enero de 2016, comprobando el cumplimiento       Se abre nuevamente por una observación realizada por la Contraloría </t>
  </si>
  <si>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</si>
  <si>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r>
      <rPr>
        <b/>
        <sz val="10"/>
        <color theme="1"/>
        <rFont val="Arial"/>
        <family val="2"/>
      </rPr>
      <t>14 de octubre de 2016</t>
    </r>
    <r>
      <rPr>
        <sz val="10"/>
        <color theme="1"/>
        <rFont val="Arial"/>
        <family val="2"/>
      </rPr>
      <t xml:space="preserve">. La Dirección Jurídica remite el informe semestral  de gestión y el informe bimensual de indicadores con sus respectivos soportes. Sobre estos informes es necesario aclarar que si bien es cierto se cumple con los establecido en la Circular 024 de la Secretaría General, en el Manual de las Políticas del Daño Antijurídico y la Representación Judicial establecen otras fechas. Así mismo en el Decreto Reglamentario 1167 de 2016 modifica y suprime algunas disposiciones del Decreto Reglamentario 1069 de 2015, soporte legal del manual en mención. Se cierra                                                           </t>
    </r>
    <r>
      <rPr>
        <b/>
        <sz val="10"/>
        <color theme="1"/>
        <rFont val="Arial"/>
        <family val="2"/>
      </rPr>
      <t xml:space="preserve">12-01-2016  </t>
    </r>
    <r>
      <rPr>
        <sz val="10"/>
        <color theme="1"/>
        <rFont val="Arial"/>
        <family val="2"/>
      </rPr>
      <t>Se expidió constancia por parte del Secretario del Comité de Conciliación, de la no generación de reporte de indicadores.  Se anexa soporte. (Certificación suscrita el 08 de enero de 2016). Se solicita el cierre de esta acción.</t>
    </r>
  </si>
  <si>
    <t>Se da cierre por José Orjuela en seguimiento en enero de 2016, comprobando el cumplimiento, y los soportes se dejan en carpeta de soportes del plan de mejoramiento Se da cierre por Monica Bustamante  en Auditoria de octubre 20 de 2016, comprobando el cumplimiento.</t>
  </si>
  <si>
    <t xml:space="preserve">Realizar capacitación en políticas de la prevención del daño antijurídico con 1 capacitación semestral. </t>
  </si>
  <si>
    <r>
      <rPr>
        <b/>
        <sz val="10"/>
        <color theme="1"/>
        <rFont val="Arial"/>
        <family val="2"/>
      </rPr>
      <t>14 de octubre de 2016</t>
    </r>
    <r>
      <rPr>
        <sz val="10"/>
        <color theme="1"/>
        <rFont val="Arial"/>
        <family val="2"/>
      </rPr>
      <t xml:space="preserve">. La Dirección Jurídica imparte capacitación el 23 de septiembre de 2016 (soporte en la carpeta compartida de Control Interno) y da cumplimiento a la acción planteada. Para la próxima vigencia se recomienda verificar que se cumpla con la propuesta de impartir una capacitación semestral. Se da cierre.                            </t>
    </r>
    <r>
      <rPr>
        <b/>
        <sz val="10"/>
        <color theme="1"/>
        <rFont val="Arial"/>
        <family val="2"/>
      </rPr>
      <t>16 de junio de 2016</t>
    </r>
    <r>
      <rPr>
        <sz val="10"/>
        <color theme="1"/>
        <rFont val="Arial"/>
        <family val="2"/>
      </rPr>
      <t>. A la fecha de la auditoría, no se ha impartido ninguna capacitación en esta vigencia. Continúa abierta
12-01-2016
Se realizó solo una capacitación en la vigencia 2015.  Por lo tanto, esta acción continúa abierta.</t>
    </r>
  </si>
  <si>
    <r>
      <rPr>
        <b/>
        <sz val="10"/>
        <color theme="1"/>
        <rFont val="Arial"/>
        <family val="2"/>
      </rPr>
      <t xml:space="preserve">14 de octubre </t>
    </r>
    <r>
      <rPr>
        <sz val="10"/>
        <color theme="1"/>
        <rFont val="Arial"/>
        <family val="2"/>
      </rPr>
      <t xml:space="preserve">de 2016. El técnico operativo que en este momento se encuentra a cargo de esta actividad menciona que a la fecha no han convocado por parte de Gestión Documental la capacitación que está pendiente. Continúa abierta.                                                                         </t>
    </r>
    <r>
      <rPr>
        <b/>
        <sz val="10"/>
        <color theme="1"/>
        <rFont val="Arial"/>
        <family val="2"/>
      </rPr>
      <t>12-01-2016</t>
    </r>
    <r>
      <rPr>
        <sz val="10"/>
        <color theme="1"/>
        <rFont val="Arial"/>
        <family val="2"/>
      </rPr>
      <t xml:space="preserve">
Se organizó el archivo judicial supeditado a esta acción, en unidades de almacenamiento (carpetas) conforme a las normas archivísticas, y previamente se incluyó en el inventario de los procesos judiciales. Se anexan los soportes en archivo electrónico que incluye copia Pdf de 34 folios del Formato Único de Inventario Documental FUID 208-SADM-Ft-02 V3 (13/10/2011) diligenciados con la intervención de  Gestión Documental. Se solicita cierre.</t>
    </r>
  </si>
  <si>
    <t xml:space="preserve">Se solicitara al proceso de Gestión Documental la capacitación y el apoyo para el levante, depuración y foliación de la documentación de la dirección jurídica. Así mismo, se solicitará que por parte del personal encargado del proceso de Gestión Documental se intervenga el archivo de esta Dirección para adelantar la labor de digitalización de la documentación allí obrante. </t>
  </si>
  <si>
    <t xml:space="preserve">Para la firma del informe de actividades mensual, los abogados deberan certificar previamente que los procesos que correspondan al periodo de dicho informe estan debidamente actualizados en el SIPROJ, precisandose  que ello no podrá exiguirse en princiio respecto de aquellos procesos que se encuentran sufriendo tramirtes de recurso ordinario y extraordinarios ante las distintas corporaciones judiciales, toda vez que los mismos pueden permanecer largo tiempo ingresados al despacho, lo cual impide el acceso material al expediente, por un término que en la prática  resulta indeterminado atentiendo a la falta de perentoriedad para resolver los mismo.  </t>
  </si>
  <si>
    <r>
      <rPr>
        <b/>
        <sz val="8"/>
        <rFont val="Arial"/>
        <family val="2"/>
      </rPr>
      <t xml:space="preserve">14 de octubre de 2016. </t>
    </r>
    <r>
      <rPr>
        <sz val="8"/>
        <rFont val="Arial"/>
        <family val="2"/>
      </rPr>
      <t xml:space="preserve">Con memorando 2016IE5811, formulan plan de mejoramiento. Una vez revisados los soportes enviados por la Dirección Jurídica se evidencia que aún el aplicativo se encuentra desactualizado. Se mantiene abierta la acción. </t>
    </r>
    <r>
      <rPr>
        <b/>
        <sz val="8"/>
        <rFont val="Arial"/>
        <family val="2"/>
      </rPr>
      <t xml:space="preserve">   </t>
    </r>
    <r>
      <rPr>
        <sz val="8"/>
        <rFont val="Arial"/>
        <family val="2"/>
      </rPr>
      <t xml:space="preserve">(se replantea la acción y la fecha de cumplimiento)  </t>
    </r>
    <r>
      <rPr>
        <b/>
        <sz val="8"/>
        <rFont val="Arial"/>
        <family val="2"/>
      </rPr>
      <t xml:space="preserve">                                              16 de junio de 2016</t>
    </r>
    <r>
      <rPr>
        <sz val="8"/>
        <rFont val="Arial"/>
        <family val="2"/>
      </rPr>
      <t>. Una vez revisado el aplicativo se evidencia que subsiste esta situación. GENERAR PLAN DE MEJORAMIENTO</t>
    </r>
  </si>
  <si>
    <r>
      <rPr>
        <b/>
        <sz val="8"/>
        <color theme="1"/>
        <rFont val="Arial"/>
        <family val="2"/>
      </rPr>
      <t xml:space="preserve">14 oct 2016. </t>
    </r>
    <r>
      <rPr>
        <sz val="8"/>
        <color theme="1"/>
        <rFont val="Arial"/>
        <family val="2"/>
      </rPr>
      <t xml:space="preserve">Una vez revisados los soportes enviados por la Dirección Jurídica se evidencia que aún el aplicativo se encuentra desactualizado. Se mantiene el hallazgo.  (se replantea la acción y la fecha de cumplimiento)                                             </t>
    </r>
    <r>
      <rPr>
        <b/>
        <sz val="8"/>
        <color theme="1"/>
        <rFont val="Arial"/>
        <family val="2"/>
      </rPr>
      <t xml:space="preserve">16 de junio de 2016. </t>
    </r>
    <r>
      <rPr>
        <sz val="8"/>
        <color theme="1"/>
        <rFont val="Arial"/>
        <family val="2"/>
      </rPr>
      <t>La acción continúa y dentro del ejercicio de la auditoría se sigue evidenciando la falta de actualización en el aplicativo.</t>
    </r>
    <r>
      <rPr>
        <b/>
        <sz val="8"/>
        <color theme="1"/>
        <rFont val="Arial"/>
        <family val="2"/>
      </rPr>
      <t xml:space="preserve">
30-01-2015 </t>
    </r>
    <r>
      <rPr>
        <sz val="8"/>
        <color theme="1"/>
        <rFont val="Arial"/>
        <family val="2"/>
      </rPr>
      <t xml:space="preserve">De acuerdo a la última Auditoría realizada en el mes de Diciembre el sistema SIPROJWEB, se encuentra aún desactualizado.
</t>
    </r>
    <r>
      <rPr>
        <b/>
        <sz val="8"/>
        <color theme="1"/>
        <rFont val="Arial"/>
        <family val="2"/>
      </rPr>
      <t xml:space="preserve">13-06-2013 </t>
    </r>
    <r>
      <rPr>
        <sz val="8"/>
        <color theme="1"/>
        <rFont val="Arial"/>
        <family val="2"/>
      </rPr>
      <t>No se evidenciaron soportes que den cuenta de la actividad realizada por los contratistas para la fecha de corte. Y en los informes mensuales de los contratistas se observó que cada uno enuncia haber realizado la actualización en la pagina de SIPROJ, sin embargo lo hace de manera general y no detalla los procesos actualizados.
12-01-2016
La acción continúa abierta, por cuanto se siguen presentando procesos judiciales desactualizados en el SIPROJ, en especial en lo relacionado con los documentos en PDF.</t>
    </r>
  </si>
  <si>
    <r>
      <rPr>
        <b/>
        <sz val="10"/>
        <color theme="1"/>
        <rFont val="Arial"/>
        <family val="2"/>
      </rPr>
      <t>14 de octubre de 2016</t>
    </r>
    <r>
      <rPr>
        <sz val="10"/>
        <color theme="1"/>
        <rFont val="Arial"/>
        <family val="2"/>
      </rPr>
      <t xml:space="preserve">. No se está llevando a cabo la digitalización de los expedientes. Continúa abierta.                                                                      </t>
    </r>
    <r>
      <rPr>
        <b/>
        <sz val="10"/>
        <color theme="1"/>
        <rFont val="Arial"/>
        <family val="2"/>
      </rPr>
      <t>12-01-2016</t>
    </r>
    <r>
      <rPr>
        <sz val="10"/>
        <color theme="1"/>
        <rFont val="Arial"/>
        <family val="2"/>
      </rPr>
      <t xml:space="preserve"> Se remitió inventario del archivo a gestión documental, para que con su intervención se lleve a cabo la foliación y digitalización de los documentos.  Se anexan soportes. Se solicita el cierre de esta acción.</t>
    </r>
  </si>
  <si>
    <r>
      <rPr>
        <b/>
        <sz val="8"/>
        <color theme="1"/>
        <rFont val="Arial"/>
        <family val="2"/>
      </rPr>
      <t>14 de octubre de 2016.</t>
    </r>
    <r>
      <rPr>
        <sz val="8"/>
        <color theme="1"/>
        <rFont val="Arial"/>
        <family val="2"/>
      </rPr>
      <t xml:space="preserve"> Vía correo electrónico, la Dirección Jurídica remite el soporte del informe entregado por parte del técnico judicial. Con base en la actualización del procedimiento se procede al cierre.                                                      </t>
    </r>
    <r>
      <rPr>
        <b/>
        <sz val="8"/>
        <color theme="1"/>
        <rFont val="Arial"/>
        <family val="2"/>
      </rPr>
      <t>16 de junio de 2016</t>
    </r>
    <r>
      <rPr>
        <sz val="8"/>
        <color theme="1"/>
        <rFont val="Arial"/>
        <family val="2"/>
      </rPr>
      <t>. El funcionario a cargo del seguimiento informa que no está presentando al Director Jurídico el seguimiento de SIPROJ. Sin embargo entrega soportes de los correos que envía a los apoderados para informar sobre las inconsistencias que se presentan en el aplicativo. Así mismo una comunicación al abogado Juan Manuel Russy, para solicitarle mantener actualizado el sistema. Soportes en la carpeta compartida de Control Interno. Continúa Abierta</t>
    </r>
  </si>
  <si>
    <t>Ajustar el procedimiento de seguimiento a procesos judiciales para que anexo al informe de procesos judiciales se allegue el reporte del histórico de actuaciones de cada proceso que genera el SIPROJ incluyendo el registro de PDF y  puntos de control.</t>
  </si>
  <si>
    <r>
      <t xml:space="preserve">
</t>
    </r>
    <r>
      <rPr>
        <b/>
        <sz val="8"/>
        <color theme="1"/>
        <rFont val="Arial"/>
        <family val="2"/>
      </rPr>
      <t>14 de octubre de 2016.</t>
    </r>
    <r>
      <rPr>
        <sz val="8"/>
        <color theme="1"/>
        <rFont val="Arial"/>
        <family val="2"/>
      </rPr>
      <t xml:space="preserve"> Una vez revisados los soportes presentados por la Dirección Jurídica se evidencia que el aplicativo se encuentra desactualizado. Continúa abierta.
</t>
    </r>
    <r>
      <rPr>
        <b/>
        <sz val="8"/>
        <color theme="1"/>
        <rFont val="Arial"/>
        <family val="2"/>
      </rPr>
      <t>16 de junio de 2016</t>
    </r>
    <r>
      <rPr>
        <sz val="8"/>
        <color theme="1"/>
        <rFont val="Arial"/>
        <family val="2"/>
      </rPr>
      <t xml:space="preserve">. La abogada Yamile Castiblanco menciona que el punto de control para estos contratos está compuesto por: el manual de contratación, el informe mensual, el seguimiento al aplicativo SIPROJWEB. Teniendo en cuenta lo anterior se puede evidenciar que el aplicativo continúa desactualizado en varios de los procesos tomados como muestra selectiva para revisión. Así mismo, como se mencionó anteriormente, no obran informes del abogado Juan Manuel Russy. El seguimiento se hace en el aplicativo SIPROJ por parte del funcionario a cargo, pero no es una acción eficaz, ya que al parecer por parte de los abogados no hay interés en actualizarlo. En el caso del abogado Juan Manuel Russy tampoco en la presentación de informes. Resulta necesario que quien supervise estos contratos tenga en cuenta la exigencia de cumplimiento de las obligaciones generales y especiales de los contratos, así como de los procedimientos aprobados de la entidad para el debido cumplimiento. Si el área considera que es suficiente con las herramientas para la supervisión de contratos, es necesario hacer un análisis de causa y reformular la acción planteada. Continúa Abierta. En la revisión del </t>
    </r>
    <r>
      <rPr>
        <b/>
        <sz val="8"/>
        <color theme="1"/>
        <rFont val="Arial"/>
        <family val="2"/>
      </rPr>
      <t>6 de enero de 2016</t>
    </r>
    <r>
      <rPr>
        <sz val="8"/>
        <color theme="1"/>
        <rFont val="Arial"/>
        <family val="2"/>
      </rPr>
      <t xml:space="preserve"> se evidenció en presencia de la contratista que se siguen presentando procesos judiciales desactualizados en el SIPROJ, en especial en lo relacionado con los documentos en PDF</t>
    </r>
  </si>
  <si>
    <r>
      <rPr>
        <b/>
        <sz val="10"/>
        <color theme="1"/>
        <rFont val="Arial"/>
        <family val="2"/>
      </rPr>
      <t>14 de octubre de 2016.</t>
    </r>
    <r>
      <rPr>
        <sz val="10"/>
        <color theme="1"/>
        <rFont val="Arial"/>
        <family val="2"/>
      </rPr>
      <t xml:space="preserve"> No se ha cumplido con la acción propuesta. Continúa abierta                                                                  </t>
    </r>
    <r>
      <rPr>
        <b/>
        <sz val="10"/>
        <color theme="1"/>
        <rFont val="Arial"/>
        <family val="2"/>
      </rPr>
      <t>16 de junio de 2016</t>
    </r>
    <r>
      <rPr>
        <sz val="10"/>
        <color theme="1"/>
        <rFont val="Arial"/>
        <family val="2"/>
      </rPr>
      <t>. No se ha cumplido con la acción propuesta. Continúa abierta</t>
    </r>
  </si>
  <si>
    <r>
      <t xml:space="preserve">14 de octubre de 2016. </t>
    </r>
    <r>
      <rPr>
        <sz val="8"/>
        <color theme="1"/>
        <rFont val="Arial"/>
        <family val="2"/>
      </rPr>
      <t>En las carpetas de informes de los abogados no reposa el histórico de actuaciones (en PDF) de cada proceso, generado por el aplicativo SIPROJ. Continúa abierta.</t>
    </r>
  </si>
  <si>
    <r>
      <t>14 de octubre de 2016</t>
    </r>
    <r>
      <rPr>
        <sz val="8"/>
        <color theme="1"/>
        <rFont val="Arial"/>
        <family val="2"/>
      </rPr>
      <t>. Se remiten por parte la Dirección Jurídica los registros de reunión, soportes del seguimiento que se hace a los procesos. Se cierra.</t>
    </r>
  </si>
  <si>
    <t xml:space="preserve">Auditoria Interna </t>
  </si>
  <si>
    <t>Al verificar la muestra de procesos judiciales se evidencia que persiste el mismo hallazgo de años anteriores. Desde 2012 se presenta la misma inconsistencia en las auditorías como: información desactualizada en el aplicativo SIPROJWEB. Por lo tanto no es eficaz la supervisión en los  contratos de representación judicial.     Se aclara que no es necesario formular plan de mejoramiento para este hallazgo, sino verificar el análisis de causa y las acciones planteadas en el plan de mejoramiento actual de la Dirección Jurídica; así mismo reformular las fechas de cierre de las mismas ya que se encuentran vencidas.</t>
  </si>
  <si>
    <t>Respecto a los informes que deben entregar los abogados de representación judicial al Director Jurídico, se evidencia que no se está haciendo uso de la herramienta para tal fin, denominada 208-DJ-Ft-44 REPORTES DE PROCESOS JUDICIALES; de igual manera no se adjunta a estos el formato histórico de actuaciones, que genera el aplicativo SIRPOJWEB.</t>
  </si>
  <si>
    <t xml:space="preserve">Director Jurídico </t>
  </si>
  <si>
    <t xml:space="preserve">Se envio requerimiento a los abogados Alejandro Guayara y Juan Manuel Russi solicitandoles el diligenciamiento del formato 208-DJ-Ft-44 y  anexándoles copia física y digital del mismo para su conocimiento y ejecución. Igualmente, este documento hará parte de los anexos que se deben adjuntar al informe mensual de actividades, para su revisión y aprobación. Sin embargo la gestión adelantada es evaluada con relación a su eficacia y eficiencia, a través de la contratación de veracidad y oportunidad de la información contenida en el reporte mensual de procesos, entre el SIPROJ y la página web de la Rama Judicial. se tiene una base de 22 procesos que tienen fecha de otorgamiento de poder a los abogados que se encuentren vinculados actualmente a la CVP, posterior a la fecha de inicio del mismo, y a los caules les vamos a solicitar que actualicen el SIPROJ a partir del 1° de julio de 2016  </t>
  </si>
  <si>
    <t>Se envio requerimiento a los abogados Alejandro Guayara y Juan Manuel Russi solicitandoles el diligenciamiento del formato 208-DJ-Ft-44 y  anexándoles copia física y digital del mismo para su conocimiento y ejecución. Igualmente, este documento hará parte de los anexos que se deben adjuntar al informe mensual de actividades, para su revisión y aprobación.</t>
  </si>
  <si>
    <t>Durante la revisión de los planes de acción se evidencian acciones que a la fecha no registran avance de ejecución, así como acciones que no establecían meta pero presentan avance de ejecución. El resultado, planes con mínimo avance en su ejecución, sin determinar medición y análisis de la misma para formular y ejecutar acciones de mejora</t>
  </si>
  <si>
    <t xml:space="preserve">Verificado en el Formato Único de Seguimiento Sectorial FUSS la ejecución del  proyecto 691, programada para el periodo 2012 – 2016,  presenta un mínimo  avance del siete punto cero ochenta y cinco por ciento (7.085%) de acuerdo con el reporte fechado el 30 de mayo. Este proyecto no continuará para el segundo periodo.  Esta situación se presenta debido a la mínima planeación  en la elaboración del proyecto. 
Debido a esta mínima planeación en los proyectos la institución corre el riesgo de no cumplir con las metas establecidas
</t>
  </si>
  <si>
    <t>Al verificar la actualización del normograma se evidencia que la publicación en la página web institucional no presenta la última actualización. Esta situación se presenta debido a la falta de control y trazabilidad con el documento para verificar su publicación.</t>
  </si>
  <si>
    <t>A partir del mes Julio de 2016 con el nuevo Plan de Desarrollo se efectúa seguimiento  a las metas de entrega de 2 zonas de cesión y cierre de 3 proyectos constructivos y de urbanismo para vivienda VIP y a los nuevos indiciadores planeados.</t>
  </si>
  <si>
    <t>A partir del mes Julio de 2016 con el nuevo Plan de Desarrollo se efectua seguimiento a las metas de  la titulación de 1000 predios, entrega de 2 zonas de cesión y cierre de 3 proyectos constructivos y de urbanismo para vivienda VIP y a los nuevos indiciadores planeados.</t>
  </si>
  <si>
    <t>Mensualmente se efectuará seguimiento a la publicación por parte de Planeación</t>
  </si>
  <si>
    <t xml:space="preserve">Auditoria </t>
  </si>
  <si>
    <t>Analizar el procedimiento para observar la alternativa de ajustes al mismo, en los pasos que se realizan a través E-mail. Se realizan actas de reuniones, documentación que requiere firma de los que participan.</t>
  </si>
  <si>
    <t>Oficina Asesora de Comunicaciones</t>
  </si>
  <si>
    <t>Revisión, análisis y ajuste (eliminación o modificación) del procedimiento para evidenciar la vigencia y aplicabilidad de los documentos enlistados.</t>
  </si>
  <si>
    <t>Revisión y actualización TRD para el área de comunicaciones.</t>
  </si>
  <si>
    <t>Crear carpeta virtual que evidencia el proceso. Generar un soporte que incluya la relación de los archivos guaradados de manera virtual para tener evidencia.</t>
  </si>
  <si>
    <t>La OAC lideró junto con la Dirección Corportativa el seguimiento a la actualización del Esquema de Publicaciones CVP; Activos de Información y Guía de Transparencia Activa de la Procuraduría y cada numeral de la Resolución 3564 de 2015</t>
  </si>
  <si>
    <t>La OAC cumple con la normatividad del Decreto 103 de 2015, Art. 4, y la Resolución 3564 de 2015 MINTIC,  en el link TRANSPARENCIA se despliega el acceso a TRANSPARENCIA Y ACCESO A LA INFORMACIÓN PÚBLICA , con todos los contenidos norma.</t>
  </si>
  <si>
    <t xml:space="preserve">La OAC lidera la solicitud de información a las diferentes direcciones corresponsables de la producción de ésta infromación del Directorio, con base en la normatividad. </t>
  </si>
  <si>
    <t>Los directorios, perfiles y demás información que señala la norma, se encuentran actualizados a corte abril 2016</t>
  </si>
  <si>
    <t xml:space="preserve">Este hallazgo tiene como acción de mejoramiento el de enlazar a la página web de CVP el formulario de búsqueda avanzada  de SECOP </t>
  </si>
  <si>
    <t xml:space="preserve">Se cuenta como una ayuda adicional al proceso de búsqueda del usuario, el chat en línea del SECOP. Para noviembre se tendrán las pruebas del  tutorial dirigido a los usuarios </t>
  </si>
  <si>
    <t>De acuerdo con los contenidos del Tíulo V del Decreto 103 de 2015 y la Resolución 3564 de 2015 MINTIC, lo señalado allí se encuentra hoy, marzo de 2016  publicado y actualizado.</t>
  </si>
  <si>
    <t xml:space="preserve">La OAC lidera junto con la Dirección Corportativa el seguimiento a la actualización del Esquema de Publicaciones CVP; Activos de Información y Guía de Transparencia Activa de la Procuraduría y cada numeral de la Resolución 3564 de 2015. </t>
  </si>
  <si>
    <t>En el menú de TRANSPARENCIA Y ACCESO A LA INFORMACIÓN PÚBLICA, numeral 10, Instrumentos de Gestión de Información Pública, se encuentran los contenidos regulados por el  Artículo  52 (Informes de solicitudes de acceso a información) del Decreto 103 de 2015.</t>
  </si>
  <si>
    <t>La OAC lidera junto con la Dirección Corportativa el seguimiento a la actualización del Esquema de Publicaciones CVP; Activos de Información y Guía de Transparencia Activa de la Procuraduría y cada numeral de la Resolución 3564 de 2015.</t>
  </si>
  <si>
    <t>Gestión Documental/ Oficina asesora de Comuniaciones</t>
  </si>
  <si>
    <t xml:space="preserve">La Dirección Corporativa, la OAC y profesionales Web Master y Transparencia </t>
  </si>
  <si>
    <t>El Enlace de la Dirección de Mejoramiento de Barrios con la Oficina Asesora de Planeación, solicita la publicación en la carpeta de la Calidad y comprueba que este publicado.</t>
  </si>
  <si>
    <t>María Fernanda Narváez</t>
  </si>
  <si>
    <t>El Enlace de la Dirección de Mejoramiento de Barrios con la Oficina Asesora de Planeación, realiza la planificación de las herrramientas de seguimiento incluyendo todos los procesos vigentes.</t>
  </si>
  <si>
    <t>Remitir comunicación (correo o memorando) a los enlaces y líderes de los procesos informando cuales de los procedimientos se encuentran en el formato anterior, y solicitar su concepto acerca de la necesidad o no de actualizarlos.</t>
  </si>
  <si>
    <t>Profesional  Oficina Asesora de Planeación</t>
  </si>
  <si>
    <t>Realizar una jornada de socialización a los enlaces de cada proceso donde se expondrá el formato de procedimiento y el contenido de los capítulos -Condiciones Generales (Políticas de Operación) y -Puntos de Control.</t>
  </si>
  <si>
    <t>Una vez recibida la respuesta por parte de los procesos, actualizar los procedimientos en el nuevo formato.</t>
  </si>
  <si>
    <t>Gestionar que el comité Directivo se reuna para que se Analice, revise y ajuste el Plan Estratégico de la Entidad.</t>
  </si>
  <si>
    <t>Comité Directivo - Jefe Oficina Asesora de Planeación.</t>
  </si>
  <si>
    <t>Solicitar a la Secretaría Distrital de Hábitat el envió de la última versión oficial del formato FUSS, socializarlo con los enlaces de los proyectos y hacer seguimiento mensual a su diligenciamiento. Con el envió de la información se solicitará que nos sea informado cualquier cambio futuro en el formato.</t>
  </si>
  <si>
    <t>Realizar nuevas jornadas de socialización a los enlaces de las dependencias, en el manejo de las herramientas de gestión.
Matriz de Riesgos,
- Plan de acción
- Reporte de producto y/o Servicio No conforme
- Reporte y control del Diseño y desarrollo
- Actualización del normograma</t>
  </si>
  <si>
    <t xml:space="preserve">Actualización inmediata correspondiente y presentación a la OAP para la respectiva publicacion </t>
  </si>
  <si>
    <t>La OAC contrató un profesional encargado de mantener actualizados los documentos de control normativo.</t>
  </si>
  <si>
    <t>Auditoria interna</t>
  </si>
  <si>
    <t>La organización documental de las historias laborales es inadecuada por carencia de organización cronológica y ausencia de registros que demuestren el cumplimiento de los procedimientos.</t>
  </si>
  <si>
    <t>Las primas técnicas reconocidas a los ex servidores María del Carmen Rincón Bohórquez, Olga Lucía Godoy Osorio y Manuel Alejandro Velásquez Ovalle carecen del debido sustento legal, puesto que se basaron, la primera en una certificación de terminación de estudios y no de un título profesional, y la segunda y el tercero en cursos de capacitación.</t>
  </si>
  <si>
    <t>El procedimiento 208 – SADM - pr13, para vinculación y desvinculación de servidores públicos,  vigente desde el 25 de noviembre de 2014, se encuentra desactualizado. No cuenta con el normograma cuya última actualización en la carpeta de calidad data del 30 de junio de 2016.</t>
  </si>
  <si>
    <t>No se encuentran publicados en la carpeta de calidad y por tanto no existe evidencia de haberse suscrito, los acuerdos de gestión de Audrey Álvarez Bustos y Adriana Forero Montoya.</t>
  </si>
  <si>
    <t>Realizar proceso de contratación de personal exclusivamente para la organización del archivo de las historias laborales que realicen las siguientes etapas:
1. Revisión de las historias laborales existentes bajo la supervisión por parte del Grupo de Gestión Documental.
2. Levantamiento del inventario documental de las historias laborales.
3. Organización de los expedientes de las historias laborales teniendo como base la aplicadción de las TRD que de acuerdo con las funciones se puede adelantar desde el año 2011, tomando como base las Circulares 04 de 2003 y 012 de 2004 expedidas por el Archivo General de la Nación.
4. Escaneo de las historias laborales y cargue en el sistema Zaffiro o el dispuesto por la Entidad, en aras de garantizar el acceso a la información de manera eficiente así como su conservación.</t>
  </si>
  <si>
    <t>Asignar una persona de perfil Asistencial con experiencia en el tema que se dedique exclusivamente para la gestión, organización, custodia e inclusión de archivos en las historias laborales, en aras a mantener las acciones adelantadas de la implementadión de la Acción Correctiva aquí planteada para así prevennir la ocurrencia de la no conformidad y mejorar continuamente dicha actividad.</t>
  </si>
  <si>
    <t>Subdirector (a) Administrativo (a)</t>
  </si>
  <si>
    <t>Subdirector (a) Administrativo (a)
Coordinador (a) de Gestión Documental</t>
  </si>
  <si>
    <t>1. Asignar un funcionario o contratista para la actualización del procedimiento.
2. Levantamiento de actas de mesas de trabajo y demás actividades que porpendan a obtener la información adecuada para la actualización del procedimiento con las personas que intervienen en éste.
3. Formulación de la actualización del Procedimiento.
4, Revisión del procedimiento por parte de los intervinientes.
5. Ajustes al procedimiento.
6. Presentación del procedimiento al Líder del proceso.
7. Ajustes finales al procedimiento.
8.  Aprobación del procedimiento por parte del Líder del proceso.
9. Presentación del procedimiento ante la Oficina Asesora de Planeación pra su oficialización y publicación.
10, Presentación del procedimiento actualizado a los funcionarios de la Entidad.</t>
  </si>
  <si>
    <t>Asignar a una persona que se encargue de la actualización del procedimiento y que aune esfuerzos con las personas intervinientes en dicho procedimiento para su adecuada actualización.</t>
  </si>
  <si>
    <t>Realizar la inclusión de información que esta pendiente por archivar en las historias laborales.</t>
  </si>
  <si>
    <t>Realizar circular interna de la Dirección Jurídica, donde se definan responsabilidades y lineamientos en la organización y verificación de la documentación de los procesos contractuales  y diligenciamiento de la lista de chequeo.</t>
  </si>
  <si>
    <r>
      <rPr>
        <b/>
        <sz val="10"/>
        <color theme="1"/>
        <rFont val="Arial"/>
        <family val="2"/>
      </rPr>
      <t>15-01-2015</t>
    </r>
    <r>
      <rPr>
        <sz val="10"/>
        <color theme="1"/>
        <rFont val="Arial"/>
        <family val="2"/>
      </rPr>
      <t xml:space="preserve">
No se tiene evidencia del traslado de esta acción  a los otros responsables de su cumplimiento.
</t>
    </r>
    <r>
      <rPr>
        <b/>
        <sz val="10"/>
        <color theme="1"/>
        <rFont val="Arial"/>
        <family val="2"/>
      </rPr>
      <t>18-05-2016</t>
    </r>
    <r>
      <rPr>
        <sz val="10"/>
        <color theme="1"/>
        <rFont val="Arial"/>
        <family val="2"/>
      </rPr>
      <t xml:space="preserve"> Se solicita cambio de fecha de finalización a 10 de junio de 2016. </t>
    </r>
    <r>
      <rPr>
        <b/>
        <sz val="10"/>
        <color theme="1"/>
        <rFont val="Arial"/>
        <family val="2"/>
      </rPr>
      <t xml:space="preserve">30-07-2016 </t>
    </r>
    <r>
      <rPr>
        <sz val="10"/>
        <color theme="1"/>
        <rFont val="Arial"/>
        <family val="2"/>
      </rPr>
      <t>En la fecha propuesta de cierre se estaba haciendo el traslado del Proceso de Gestión Contractual a la Dirección de Gestión Corporativa. Está pendiente una reunión con esa Dependencia para explicar y aclarar dudas frente a las acciones que quedaron pendientes.</t>
    </r>
  </si>
  <si>
    <t>Se expidio la Circular 008 de 2016 de fecha 29 de junio de 2016 y se encuentra publicada en la carpeta de calidad en el proceso (2 dic 2016)</t>
  </si>
  <si>
    <t>Se revisaron las publicaciones en SECOP de los contratos 282 y 283 de 2015 - Se encuentran las publicaciones realizadas en la fecha oportuna en el SECOP - Corresponden estos contratos a Invitaciones Públicas de Menor Cuantia - Se adjunta soportes. (2 dic 2016)</t>
  </si>
  <si>
    <t>Se revisaron las publicaciones en SECOP de los contratos 278, 282, 283  y 284 de 2015 - Se encuentran las publicaciones realizadas e invitaciones a las veedurias - Se observa que el contrato 278 de 2015, corresponde a una orden de compra 1608 realizada a traves de los Acuerdo Marco de Colombia Compra Eficiente, quien adelanta el procedimiento como un catalogo y es una entidad objeto de control por los mismos organismos nacionales. Dando cumplimiento a la normatividad vigente - Se adjunta soportes (2 dic 2016)</t>
  </si>
  <si>
    <t>Circular dirigida a todos aquellos que tienen la calidad de supervisor e interventor, con el fin de que den cumplimiento de allegar los documentos de los respectivos expedientes al archivo de contratación, incluye la socializacion del Manual de Contratación actualizado a 30 de diciembre de 2015</t>
  </si>
  <si>
    <t>Se emitió Circular 008 de 2016</t>
  </si>
  <si>
    <t>Como lider del proceso establecer cronograma con los encargados de las auditorias internas y de las herramientas de control, verificando el seguimiento y oportunidad de cada uno</t>
  </si>
  <si>
    <t>Queda pendiente que en la Dirección de Gestión Corporativa definan los mecanismos de seguimiento a implementar</t>
  </si>
  <si>
    <t>La Subdirección Administrativa mediante correo electrónico del día 16 de septiembre de 2015 informa que este formato teniendo en cuenta que es susceptible de revisión previa por parte de los contratistas y se perdería la objetividad en las entrevistas, en la carpeta de planes de mejoramiento queda el soporte del correo con la justificación.</t>
  </si>
  <si>
    <t>Nombre Auditor</t>
  </si>
  <si>
    <t>El normograma del proceso se encuentra desactualizado y no coincide con el consignado en el procedimiento 208-SADM-Pr-06 aprobado el 30 de noviembre de 2015</t>
  </si>
  <si>
    <t>Profesional de Servicio al Ciudadano realizará la actualización del normograma según procedimiento 208-SADM-Pr-06 aprobado el 30 de noviembre del 2015</t>
  </si>
  <si>
    <r>
      <rPr>
        <b/>
        <sz val="10"/>
        <color theme="1"/>
        <rFont val="Arial"/>
        <family val="2"/>
      </rPr>
      <t xml:space="preserve">Noviembre 9 de 2016 </t>
    </r>
    <r>
      <rPr>
        <sz val="10"/>
        <color theme="1"/>
        <rFont val="Arial"/>
        <family val="2"/>
      </rPr>
      <t xml:space="preserve"> El hallazgo se cierra por lo expuesto en la acción </t>
    </r>
  </si>
  <si>
    <t>El literal b del paragrafo del articulo 3 del acuerdo 005 de 2008 establece para la prima técnica del nivel profesional: "Un 0.5% adicional por cada 40 horas de capacitación acreditadas hasta completar el 12,5%"  o hasta un 12.5% por especialización o postgrado no inferior a un año, o titulo universitario adicional de nivel profesional o de licenciatura. En cualquiera de los eventos ocntemplados la capacitación que se acredite deberá relacionarse o ser inherente a la profesión o desempeño del cargo. (negrilla subrayada fuera del texto original), con lo cual se precisa que no es fundamental poseer un titulo de formación de postgrado para obtener dicho porcentaje, sino que se puede suplir con capacitación acreditada, y fue por esta razón por medio de la cual se concedió dichos porcentajes a las personas nombradas en este hallazgo.</t>
  </si>
  <si>
    <r>
      <rPr>
        <b/>
        <sz val="10"/>
        <color theme="1"/>
        <rFont val="Arial"/>
        <family val="2"/>
      </rPr>
      <t xml:space="preserve">Noviembre 9 de 2016  </t>
    </r>
    <r>
      <rPr>
        <sz val="10"/>
        <color theme="1"/>
        <rFont val="Arial"/>
        <family val="2"/>
      </rPr>
      <t xml:space="preserve">El hallazgo se cierra por lo expuesto en la acción </t>
    </r>
  </si>
  <si>
    <r>
      <rPr>
        <b/>
        <sz val="10"/>
        <color theme="1"/>
        <rFont val="Arial"/>
        <family val="2"/>
      </rPr>
      <t>Diciembre 18</t>
    </r>
    <r>
      <rPr>
        <sz val="10"/>
        <color theme="1"/>
        <rFont val="Arial"/>
        <family val="2"/>
      </rPr>
      <t xml:space="preserve">/16:  Se verifico el cumplimiento de esta acción y no muestra avance ultima actualización del procedimiento fue en el año 2014. </t>
    </r>
  </si>
  <si>
    <t>Diciembre 18/16:  Se verifico el cumplimiento de esta acción y se verifica que la ultima actualización del formato se realizo el 22 de febrero de 2016, dando cumplimiento a la acción</t>
  </si>
  <si>
    <t>Claudia Yanet D'antonio Adame</t>
  </si>
  <si>
    <t>Yenny Milena Villamil Guerrero</t>
  </si>
  <si>
    <t>Graciela Zabala Rico</t>
  </si>
  <si>
    <t>Fernando Reinoso Guerra</t>
  </si>
  <si>
    <t>Carolina Montoya Duque</t>
  </si>
  <si>
    <t>Los documentos soporte de reembolso y ordenes de pago no se encuentran archivados a partir de los meses de julo, agosto y septiembre</t>
  </si>
  <si>
    <t>El archivo de la carpeta "Caja 2016(reembolsos)", presenta desorganización en la custodia de los recibos y formatos de la misma</t>
  </si>
  <si>
    <t>Según la Resolución 3218 del 29 de junio de 2016, artículo 3,existe la facultad de delegar, en un servidor publico del nivel Directivo, la responsabilidad de ordenación del gasto y de designar el servidor público responsable de la Caja Menor.</t>
  </si>
  <si>
    <t>Dentro del archivo se encontraba un póliza de seguro con la Aseguradora Previsora con número 92100000398, que no corresponde a la actualidad. La correcta es la No. 930-87-99400000065 de la Aseguradora Solidaria.</t>
  </si>
  <si>
    <t>El paragrafo tercero del articulo 3 de la Resolución 3218 de 2016 ordena que la designación del responsable de la caja menor se relizará mediante memorando, cuya copia se deberá a la Dirección de Gestión Corporativa y Cid, a la Subdirección Financiera y al oficina de control interno. No hay evidencia de este docuemento al momento del arqueo.</t>
  </si>
  <si>
    <t>No obra registro del arqueo y /o acompañamiento por parte de control interno en el momento de la entrega de la caja menor por parte de Andrea Cristina Melo Cerón, anterior responsable por su manejo.</t>
  </si>
  <si>
    <t xml:space="preserve">Se evidencia que hay documentos obsoletos, que aunque se encuentran en una carpeta para tal fin, no cuentan con una identificación que prevengan su uso no intencionado, tal como lo establece la norma en su numeral 4,2,3 Control de Documentos (Se evidenció en la carpeta "Planeación", backup archivos calidad documentos obsoletos"). Así mismo se observaron algunos documentos que no se encuentran protegidos, se incumple el numeral 4,2,3 de la norma NTCGP 1000 </t>
  </si>
  <si>
    <t>En el seguimiento al plan de mejoramiento del proceso se evidencian 33 acciones formuladas para 28 hallazgos, no se han cumplido y que a la fecha no se cuenta con base para su cierre. Además se evidencia que muchas de estas acciones no son apropiadas para dar tratamiento a las no conformidades encontradas, se incumple con los requisitos 8,5,2 de NTCGP 1000 y 7,3 de NTD-SIG 001</t>
  </si>
  <si>
    <t>Aunque se evidencian actos administrativos de adopción de la política de administración de riesgos, no se tiene establecida, implementada y divulgada una politica de riesgos para la entidad , con lo cual se incumple con lo establecido en el numeral 4,2,2 planificación de la gestión del riesgo de la norma NTD- SIG 001-2011</t>
  </si>
  <si>
    <t>Enviar un memorando al contratista José Leonardo  Pinto  Colorado.  solicitandole  el reintegro de los recursos faltantes en la caja menor.</t>
  </si>
  <si>
    <t>Ajustar el procedimiento de caja menor Código: 208-SADM-Pr-29 estbleciendo un punto de control que implique que responsable de caja menor relice un arqueo diario y ordenador del gasto, relice arqueos periodicos e implementar el control.</t>
  </si>
  <si>
    <t>Realizar arqueos periódicos a la operación de la Caja Menor</t>
  </si>
  <si>
    <t>Asignar  un fucionario de planta para el manejo de la caja menor.</t>
  </si>
  <si>
    <t>Actualizar el formato relación de pagos efectuados Código: 208-SADM-Ft-70 con la información actula e incluir el número y el nombre de la aseguradora de la póliza actual.</t>
  </si>
  <si>
    <t>Una vez se designe al funcionario responsable del manejo de la caja menor, se elaborá el respectivo  memeorando y se remitirá a las dependencias que corresponde.</t>
  </si>
  <si>
    <t>Cada vez que se cambie el reponsable de la caja menor se relizará un arqueo de acuerdo a lo establecido en el árticulo cuarto de la Resolución 0037 de 2016, dejando acta que evidencie el acompañamiento de control interno.</t>
  </si>
  <si>
    <t>Actualizar el procedimiento - Control de Documentos - 208 PLA-Pr-15, de manera que se deje claro el manejo de los documentos obsoletos.</t>
  </si>
  <si>
    <t xml:space="preserve">Establecer en el plan de acción de gestión, indicador asociado al cierre de hallazgos del plan de mejoramiento </t>
  </si>
  <si>
    <t>Actualizar la Resolución No 1354 - 2010 de manera que se ajuste y se incluya una política de administración del riesgo.</t>
  </si>
  <si>
    <t>Según se evidencia en el Listado maestro de documentos, desde el 2014 a la fecha, se han realizado 297 actualizaciones a los documentos del SGC. 
Cabe aclarar que corresponde a los responsables de procesos determinar la necesidad de realizar cambios a sus documentos, de acuerdo a los cambios normativos, resultados de auditorías, cambios internos en el que y como hacer las actividades, simplificación o racionalización de trámites, entre otros. Así mismo solicitar su actualización formalmente ante la Oficina Asesora de Planeación. 
Según lo establecido en la  Resolución 1358 del 8 de octubre de 2010 "Por medio de la cual se adopta el manual de procesos y procedimientos de la Caja de Vivienda Popular y se incluyen documentos de Gestión documental", es responsabilidad de las dependencias que conforman la estructura organizacional de la Caja de Vivienda Popular, mantener actualizados los procesos y procedimientos a su cargo.
Teniendo en cuenta que no es competencia de la Oficina Asesora de Planeación la actualización del contenido de los documentos de los procesos de la entidad. Se procede a cerrar las acciones y el hallazgo.</t>
  </si>
  <si>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funciones de las personas responsables en el cargue de la información.
19-12-2014 Se evidencia el cumplimiento de esta acción por parte del personal de la Oficina Asesora de Planeación al definir las competencias dentro del SISCO, sin embargo se debe incluir  con los responsables de los gastos de funcionamiento.
</t>
    </r>
    <r>
      <rPr>
        <b/>
        <sz val="10"/>
        <color theme="1"/>
        <rFont val="Arial"/>
        <family val="2"/>
      </rPr>
      <t>Diciembre 29 de 2016</t>
    </r>
    <r>
      <rPr>
        <sz val="10"/>
        <color theme="1"/>
        <rFont val="Arial"/>
        <family val="2"/>
      </rPr>
      <t xml:space="preserve">
La propuesta de El Manual, está elaborada por parte de quienes intervienen, se tiene pendiente la aprobación, para darle claridad a las responsabilidades y manejo, por lo cual se requiere que la Dirección de Gestión Corporativa revise el documento y lo apruebe. 
En su momento el profesional Oscar Gallo, tiene la propuesta, por lo cual se solicitará a la DGC, retome el tema para el cierre del hallazgo.  
Se enviará a la Dirección Corporativa, como responsable del documento, para su revisión y /o aprobación - Proceso de Bienes y Servicios.
</t>
    </r>
  </si>
  <si>
    <r>
      <rPr>
        <b/>
        <sz val="10"/>
        <color theme="1"/>
        <rFont val="Arial"/>
        <family val="2"/>
      </rPr>
      <t>Diciembre 29 de 2016:</t>
    </r>
    <r>
      <rPr>
        <sz val="10"/>
        <color theme="1"/>
        <rFont val="Arial"/>
        <family val="2"/>
      </rPr>
      <t xml:space="preserve">
Ya se elaboró y formalizó el procedimiento respectivo.  Se encuentra publicado en la carpeta calidad y es vigente desde el 30 de diciembre de 2015. Procedimiento " PROGRAMACIÓN, ELABORACION, EJECUCION,
CONTROL Y SEGUIMIENTO DEL PLAN ANUAL
DE ADQUISICIONES"  208-PLA-Pr-20 , versión 01.
Se procede a cerrar la acción.</t>
    </r>
  </si>
  <si>
    <t>Revisión de la política de responsabilidad social y ejecución de las actividades asociadas a al Subsistema de Responsabilidad Social</t>
  </si>
  <si>
    <t xml:space="preserve">
Se evidencia que mensualmente se realiza seguimiento al avance en la ejecución de las metas y actividades de cada uno de los proyectos de inversión de la Entidad mediante el reporte, revisión y ajuste del Formato Único de Seguimiento Sectorial.  Evidencia, correos electrónicos remitidos a las dependencias, con las respectivas observaciones y correos recibidos con ajustes realizados. Teniendo en cuenta lo anterior, se procede a cerrar la accón y el hallazgo.</t>
  </si>
  <si>
    <t xml:space="preserve">
Se evidencia que mensualmente se realiza seguimiento al avance en la ejecución de las metas y actividades de cada uno de los proyectos de inversión de la Entidad mediante el reporte, revisión y ajuste del Formato Único de Seguimiento Sectorial.  Evidencia, correos electrónicos remitidos a las dependencias, con las respectivas observaciones y correos recibidos con ajustes realizados. Teniendo en cuenta lo anterior, se procede a cerrar la acción y el hallazgo.</t>
  </si>
  <si>
    <t>Diciembre 29 de 2016:
Se evidencia múltiples acciones tendientes al fortalecimiento de la política de responsabilidad social definida en la entidad.  
Se cuenta con un documento diagnóstico para la implementación del subsistema de responsabilidad social en articulación con el Sistema Integrado de Gestión y en cumplimiento al décimo quinto lineamiento distrital. En este documento se consolidan las actividades realizadas por la entidad respecto a cada una de las materias fundamentales de la responsabilidad social (gobernanza, derechos humanos, prácticas laborales, gestión ambiental, transparencia y anticorrupción y atención y servicio a la ciudadanía). Evidencia (\\serv-cv11\calidad\1. PROCESO DE GESTIÓN ESTRATÉGICA\DOCUMENTOS REFERENCIA\Responsabilidad Social\LINEAMIENTO 15).
La Oficina Asesora de Comunicaciones apoya el cubrimiento de todos los encuentros de participación ciudadana organizados por las áreas misionales de la entidad, en atención a la política de Rendición de Cuentas y la cultura de apertura de la información, transparencia y diálogo entre las entidades del estado y los ciudadanos. Se evidencia la divulgación de  la información a través dela página web, redes sociales (Facebook y Twitter), intranet, carteleras digitales, boletines de prensa, piezas gráficas y videos publicados en los diferentes medios internos y externos de la entidad. Evidencia (\\serv-cv11\calidad\27. PRESENTACIONES E INFORMES\SISTEMA INTEGRADO DE GESTIÓN\2016\RENDICIÓN CUENTAS).                                                                                                                                                                   
Adicionalmente, se han implementaron actividades para dar cumplimiento con la Política de Transparencia en el sentido de actualizar el Plan de Anticorrupción en los componentes de comunicaciones y rendición de cuentas. Así mismo se realizaron acciones de gestión operativa en aras de cumplir con la Ley 1712 de 2014 Ley de Transparencia y Acceso a la Información Pública. Se hizo seguimiento a la matriz de cumplimiento de Ley 1712, se actualizó el esquema de publicaciones y el sitio web de la entidad, como se describe a continuación. Evidencias en la Carpeta Comunicaciones/2016/Transparencia2016.
Teniendo en cuenta que se evidencian acciones  dirigidas al cumplimiento y fortalecimiento de la política de responsabilidad social, se procede a cerrar el hallazgo.</t>
  </si>
  <si>
    <r>
      <rPr>
        <b/>
        <sz val="8"/>
        <color theme="1"/>
        <rFont val="Arial"/>
        <family val="2"/>
      </rPr>
      <t>19 de mayo de 2016.</t>
    </r>
    <r>
      <rPr>
        <sz val="8"/>
        <color theme="1"/>
        <rFont val="Arial"/>
        <family val="2"/>
      </rPr>
      <t xml:space="preserve"> Se realizó reunión el 4 de septiembre de 2015 donde se tomaron decisiones para la disposición de estos residuos. Pendiente la evidencia del registro de reunión llevada a cabo
</t>
    </r>
    <r>
      <rPr>
        <b/>
        <sz val="8"/>
        <color theme="1"/>
        <rFont val="Arial"/>
        <family val="2"/>
      </rPr>
      <t>2 de Febrero de 2015:</t>
    </r>
    <r>
      <rPr>
        <sz val="8"/>
        <color theme="1"/>
        <rFont val="Arial"/>
        <family val="2"/>
      </rPr>
      <t xml:space="preserve">
Seguimiento registrado en acción anterior, adicional: dado que a la fecha, los RAEES que se han identificado se tienen previstos para su entrega al programa Computadores para educar, de momento no se han identificado RAEES restantes y no recuperables que requieran ser entregados a entidades con licencia ambiental para su disposición final.
Se deja abierto hasta tanto no se realice la entrega y se confirme que no hay elementos para dar disposición final.
Se solicita cambio de fecha a 31 de diciembre de 2015, sujeta al cumplimiento de la anterior acción.
</t>
    </r>
    <r>
      <rPr>
        <b/>
        <sz val="8"/>
        <color theme="1"/>
        <rFont val="Arial"/>
        <family val="2"/>
      </rPr>
      <t xml:space="preserve">4 de Septiembre de 2015: </t>
    </r>
    <r>
      <rPr>
        <sz val="8"/>
        <color theme="1"/>
        <rFont val="Arial"/>
        <family val="2"/>
      </rPr>
      <t xml:space="preserve">
Se está adelantando una gestión con ECOCOMPUTO, con el fin de realizar la entrega ambientalmente segura de los RAESS, para dar continuidad con el proceso de entrega, se encuentra pendiente la calibración de la báscula para realizar el pesaje de los elementos la cual depende de asignación presupuestal que se encuentra en gestión.</t>
    </r>
  </si>
  <si>
    <t xml:space="preserve">
Se revisan los indicadores del proceso y se evidencia que se crearon dos (2) indicadores de eficacia, para  medir el cumplimiento del PIGA y el PIRE, estos fueron incluidos en el Plan de acción de gestión del proceso, con corte a 30 de diciembre 2016, para realizar seguimiento  del avance del cumplimiento a partir del primer trimestre de 2017. (evidencia plan de acción del proceso, publicado en la carpeta calidad).         
Teniendo en cuenta que con esto se da cumplimiento a la acción, Se procede a cerrar el hallazgo,                                                                                                                                                                                                                                                                                                                                                                                                                                                                                                                                                                                                                                                                                                                                                                                                                                                                                                                                                                                                                                                                                                                                                                                                                                                                                                                                                                                                                                                                                                                                                                                                                                                                                           
</t>
  </si>
  <si>
    <t xml:space="preserve">Se revisa el procedimiento, se evidencia su actualización en cuanto a normatividad, actividades, responsables, registros y demás aspectos. Se tienen registros que evidencian el desarrollo de las actividades de este. Se encuentra en versión 3 vigente a partir del 14 de diciembre de 2016. Evidencia: (\\serv-cv11\calidad\1. PROCESO DE GESTIÓN ESTRATÉGICA\PROCEDIMIENTOS\208-PLA-Pr-10 CRITERIOS AMB. PARA COMPRA Y GESTION CONTRACTUAL).
Teniendo en cuenta que se la acción fue eficaz, se procede a dar cierre al hallazgo.
</t>
  </si>
  <si>
    <t>Diciembre 29 de 2016:
Se revisa el procedimiento, se evidencia su actualización, en cuanto a actividades, responsables, registros y demás aspectos. Se tienen registros que evidencian el desarrollo de las actividades de este. Se encuentra en versión 3, vigente a partir del 14 de diciembre de 2016. De la fecha del hallazgo al día de hoy, ha sido actualizado 2 veces, como se puede evidenciar en el control de cambios del documento. Evidencia: procedimiento "Programa de uso eficiente de energía procedimiento para la gestión energética" 208-PLA-Pr-12, versión 3, publicado en la carpeta calidad (\\serv-cv11\calidad\1. PROCESO DE GESTIÓN ESTRATÉGICA\PROCEDIMIENTOS\208-PLA-Pr-12  GESTION ENERGETICA).
Teniendo en cuenta que se la acción fue eficaz, se procede a dar cierre al hallazgo.</t>
  </si>
  <si>
    <r>
      <rPr>
        <b/>
        <sz val="10"/>
        <color theme="1"/>
        <rFont val="Arial"/>
        <family val="2"/>
      </rPr>
      <t>19 de mayo de 2016.</t>
    </r>
    <r>
      <rPr>
        <sz val="10"/>
        <color theme="1"/>
        <rFont val="Arial"/>
        <family val="2"/>
      </rPr>
      <t xml:space="preserve"> En atención a que los enlaces son nuevos, el 28 de abril se oficializó, mediante correo, su identificación dentro del sistema SIG, donde se incluyen como enlaces ambientales. Se evidencia el listado de varias capacitaciones dadas en la vigencia 2016, como las del 19 de abril y el 3 de mayo.
2 de febrero de 2015:
En comité directivo del 2 de abril de 2014 se realizó la socialización del Plan Institucional de Gestión Ambiental PIGA a los Directivos.
Así mismo se incluyó este tema en las jornadas de capacitación de Re inducción adelantadas en los meses de agosto y septiembre para todos los funcionarios de la CVP.
</t>
    </r>
  </si>
  <si>
    <t>FFormular y/o ajustar el Plan de Acción de la entidad incluyendo indicadores que den cuenta del cumplimiento del PIRE.</t>
  </si>
  <si>
    <t xml:space="preserve">A la fecha, se evidencia la existencia del  “Plan Institucional de Respuesta a Emergencias PIRE” 208-PLA-Mn-02, versión 8. Se encuentra publicado en la carpeta calidad \\serv-cv11\calidad\1. PROCESO DE GESTIÓN ESTRATÉGICA\MANUALES\208-PLA-Mn-02 PLAN INSTITUCIONAL DE RESPUESTA A EMERGENCIAS\208-PLA-Mn-02 PIRE 2015. Vigente desde el 28 de abril de 2015.
Así mismo se cuanta con un Cronograma de actividades Plan Institucional de Respuesta a Emergencias 2015, debidamente publicado en la carpeta calidad \\serv-cv11\calidad\1. PROCESO DE GESTIÓN ESTRATÉGICA\MANUALES\208-PLA-Mn-02 PLAN INSTITUCIONAL DE RESPUESTA A EMERGENCIAS\ANEXOS PIRE.
Teniendo en cuenta que con esto se da cumplimiento a la acción, Se procede a cerrar el hallazgo, </t>
  </si>
  <si>
    <t xml:space="preserve">Se evidencia articulación de la política de responsabilidad social con las herramientas de gestión de la entidad. Así mismo,| con los objetivos de calidad definidos para la administración Bogotá Humana: "Promover la cultura de transparencia y probidad en desarrollo de los objetivos y procesos de la entidad" y "Promover una comunicación integral para construir relaciones de confianza con los actores con los cuales interactúa la entidad ".
En el marco del proyecto de inversión " Fortalecimiento institucional para la transparencia, participación ciudadana, control y responsabilidad social y anticorrupción" , se evidencian actividades como : 
1. Seguimiento al  plan de trabajo definido en la implementación de la evaluación a las declaraciones éticas   y/o pactos éticos establecidos y suscritos durante la vigencia 2015 por todos los procesos que hacen parte de la entidad en cumplimiento  de la Comunicación Educación para el Fortalecimiento de la Transparencia, Probidad y Ética de lo Público en la CVP (Anticorrupción) y 
2. Participar activamente en  la implementación del procedimiento de Rendición de Cuentas de la CVP
Hay articulación de la política de responsabilidad social con el Sistema Integrado de Gestión.
Adicionalmente, se ha actualizado el Plan de Anticorrupción en los componentes de comunicaciones y rendición de cuentas. 
Teniendo en cuenta qlo anterior, se procede a cerrar el hallazgo.
</t>
  </si>
  <si>
    <t>Ajustar y articular las herramientasd de gestión con  cada uno de los componentes del Subsistema de Responsabilidad Social</t>
  </si>
  <si>
    <t xml:space="preserve">
Revisar y ajustar la terminologia con la cual se denominara al area de servicio al ciudadano en la matriz del "Plan anticorrupción y de atención al ciudadano" </t>
  </si>
  <si>
    <t>De acuerdo al hallazgo, se revisa la matriz " Plan anticorrupción y de atención al ciudadano" publicada con corte a 30 de agosto de 2016, se evidencia que fue ajustado en cuanto a la forma estándar de nombrar al área de servicio al ciudadano. Evidencia: Plan anticorrupción y de atención al ciudadano, publicado con corte a 30 de agosto de 2016 (\\serv-cv11\calidad\15. CONSOLIDADO MAPAS DE RIESGO\RIESGOS ANTICORRUPCIÓN\2016\Seguimiento - fecha corte 30-08-2016).
Teniendo en cuenta lo anterior, se procede a cerrar el hallazgo.</t>
  </si>
  <si>
    <t>Solicitar a los líderes de proceso que tengan en cuenta al formular el plan de la vigencia actual  la formulación y el seguimiento de las vigencias anteriores para hacer el análisis y manejar la continuidad e las acciones</t>
  </si>
  <si>
    <t xml:space="preserve">
Se envió comunicación a todas las dependencias, mediante radicado 2016IE13459 del 5 de diciembre de 2016, solicitándoles reportar el seguimiento de los proyectos de inversión y de las metas del plan de desarrollo distrital "Bogotá Humana" y "Bogotá mejor para todos" a 31 de diciembre de 2016 y el cumplimiento a algunas directrices y tiempos para reportar su seguimiento.
Teniendo en cuenta que se cumple con la acción propuesta, para dar tratamiento al hallazgo, se procede a cerrar el hallazgo.</t>
  </si>
  <si>
    <t>Con el propósito de llevar mayor control, mensualmente se realiza seguimiento a la ejecución de las metas y actividades de cada uno de los proyectos de inversión de la Entidad mediante el reporte, revisión y ajuste del Formato Único de Seguimiento Sectorial. Así mismo se establecieron directrices respecto  al reporte de los proyecto de inversión, mediante comunicación N°  2016IE13459 del 5 de diciembre de 2016, enviada a todas las dependencias de la entidad.
Teniendo en cuenta que se cumple con la acción propuesta, para dar tratamiento al hallazgo, se procede a cerrar el hallazgo.</t>
  </si>
  <si>
    <t>Solicitar que en el seguimiento al plan anticorrupción, se relacione donde se encuentran las evidencias que soportan la ejecución de las aciones planteadas.</t>
  </si>
  <si>
    <t>Como se puede evidenciar en el seguimiento reportado a la acción formulada en el componente 3 rendición de cuentas del "Plan anticorrupción y de atención al ciudadano", para la vigencia 2016, la Dirección de Urbanizaciones y Titulación realizó dos eventos de participación ciudadana a través de 20 foros de inicio de obra realizados durante el mes de diciembre. Como evidencia de esto se tienen los listados de asistencia, que reposan en el archivo de gestión de la dirección de urbanizaciones y titulaciones y la información publicada en la página web de la entidad (http://cajaviviendapopular.gov.co/?q=Noticias/650-familias-bogotanas-aseguran-su-patrimonio-trav%C3%A9s-de-la-titulaci%C3%B3n) y los avances reportados en 
Así mismo, durante el mes de septiembre, se realizó otro  encuentro de participación ciudadana,  para informar sobre la gestión de la Dirección de la Dirección de Urbanizaciones y Titulación.  Se presentó un informe sobre el trabajo que ha adelantado este año a fin de que la comunidad de Usme, conociera los avances de los proyectos y programas  de la entidad en el marco del nuevo Plan de Desarrollo “Bogotá Mejor para Todos”.
 La Oficina Asesora de comunicaciones, promovió estos espacios y divulgó la información a través de boletines de prensa a medios de comunicación, videos relacionados con los eventos e hizo cubrimiento en las redes sociales (Facebook y Twitter), así mismo entregó folletos informativos.
Tenienedo en cuenta lo anterior, se procede a cerrar el hallazgo.</t>
  </si>
  <si>
    <t>Con el propósito de establecer lineamientos estándar para el desarrollo de los ejercicios de rendición de cuentas, se creó el procedimiento "Rendición de cuentas, participación ciudadana y control social" 208-PLA-Pr-19, el cual entro en vigencia a partir del 01 de abril de 2015, a la fecha se encuentra en versión 2. Así mismo creó el formato "Evaluación de la rendición de cuentas" 208-PLA-Ft-58, el cual entro en vigencia a partir del 6 de marzo de 2015 y paso a versión 2 a partir del 16 de diciembre de 2016.
Por otro lado, la Oficina Asesora de Planeación, envió solicitud a los líderes de procesos misionales, para que realicen las evaluaciones de los ejercicios de rendición de cuentas en el formato respectivo (208-PLA-Ft-58) y se generen el respectivo informe sobre cada evento ejecutado. 
Por último, la Oficina Asesora de Comunicaciones publica todos los soportes de los eventos en la página de la CVP, en cumplimiento a lo establecido en la Ley 1712 de 2014. 
Evidencias: procedimiento y formato publicados en la carpeta calidad (\\serv-cv11\calidad\1. PROCESO DE GESTIÓN ESTRATÉGICA), Correos y Página de la Entidad.
Teniendo en cuenta lo anterior, se procede a cerrar el hallazgo.</t>
  </si>
  <si>
    <t>Revisar  las acciones propuestas en el plan de mejoramiento presentado y realizar el respectivo seguimiento de su cumplimiento.</t>
  </si>
  <si>
    <t>En caso de encontrar acciones pendientes  por ejecutar, elaborar plan de trabajo interno, con responsables y fechas para dar cumplimiento a las mismas y poder reportar al área de Control Interno la evidencia de su ejecución.</t>
  </si>
  <si>
    <t xml:space="preserve">6 de mayo de 2015: PENDIENTE VERIFICAR ESTE SEGUIMIENTO PARA CIERRE. 
La Oficina Asesora de Comunicaciones remitió una comunicación interna a las Direcciones, Subdirecciones y Jefes de Oficina para solicitar la base de datos digital actualizada de la información de cada uno de los funcionarios.  Se realizó la actualización del Directorio de la página web y portal intranet con esta información. 
En febrero 16 de 2015 (2015IE673), se remitió otra comunicación interna con los mismos destinatarios solicitando esta información. Se realizó la actualización de acuerdo con la  información que fue entregada. Se tiene programado una nueva actualización utilizando la base de datos que se pertenece a la plataforma Google Apps.
</t>
  </si>
  <si>
    <t xml:space="preserve">
El Plan estratégico de la entidad fue revisado, ajustado de acuerdo a l Plan de gobierno de la administración "Bogotá Humana" 2012 - 2016, oficializado y publicado. Así mismo se actualizó en el "Manual de calidad" 208-PLA-Mn-01, pasando a su versión 5 .Se definieron cinco (5) objetivos estratégicos, los cuales fueron actualizados en todas las caracterizaciones de los procesos de la entidad, como se puede evidenciar en la carpeta calidad.  (evidencias: manual de calidad y caracterizaciones de los 13 procesos de la entidad). De acuerdo con lo anterior se da cumplimiento a la acción propuesta, por tanto se procede a cerrar el hallazgo.</t>
  </si>
  <si>
    <t>Socializar a través de los enlaces la correcta aplicación de las TRD aprobadas.</t>
  </si>
  <si>
    <t>Las tablas de retención documental  han sido actualizadas y  aprobadas, se encuentran debidamente publicadas en la carpeta calidad (\\serv-cv11\calidad\10. PROCESO ADMINISTRACIÓN DE LA INFORMACIÓN\TABLAS RETENCION DOCUMENTAL\VIGENCIA 2016). 
Durante el mes de julio de 2016,se socializaron a través de talleres en cada una de las 13 dependencias de la entidad, con el objetivo de dar inducción en cuanto a su aplicación, organización y conservación, como evidencia se tienen publicados los registros de reunión y listados de asistencia por proceso en la carpeta calidad(\\serv-cv11\calidad\10. PROCESO ADMINISTRACIÓN DE LA INFORMACIÓN\TABLAS RETENCION DOCUMENTAL\CAPACITACIÓN TRD - 2016).
Así mismo se realizó sensibilización sobre el Subsistema Interno de Gestión Documental y Archivo el día 24 de Octubre - 2016. Evidencia (\\serv-cv11\calidad\27. PRESENTACIONES E INFORMES\SISTEMA INTEGRADO DE GESTIÓN\2016\SENSIBILIZACIÓN SIG - 2016).
Por último es importante aclarar que las tablas de retención documental se vienen ajustando de acuerdo a los cambios de los documentos (elaboración, modificación o anulación). En cuanto a los documentos que se mencionan en el hallazgo, algunos ya han sido anulados a la fecha.
Teniendo en cuenta que o anterior, se procede a cerrar el hallazgo.</t>
  </si>
  <si>
    <t>Revisar los documentos formalizados dentro del SIG, para verificar que se esten contemplando los aspectos mencionados en el hallazgo. De no encontrarse, solicitar a las dependencias responsables de los temas, actualizar sus documentos contemplando estos aspectos.</t>
  </si>
  <si>
    <t>Se revisa cada uno de los puntos contenidos en el hallazgo, se evidencia que el tema de  reporte e investigación de accidentes de trabajo, se encuentra contemplado dentro del Manual Subsistema de Gestión de Seguridad y Salud en el Trabajo, vigente desde el 9/02/2016 y publicado en la carpeta calidad (\\serv-cv11\calidad\12. PROCESO GESTIÓN HUMANA\MANUALES\208-SADM-Mn-07 SUBSISTEMA GESTIÓN SST). Así mismo, la protección del intercambio de información y el monitoreo del uso de los medios de procesamiento de información, se contemplan dentro de los procedimientos "Verificación de integridad de datos en sistemas de información" 208-DGC-Pr-08, Versión 1 ,  y "Administración de servidores" 208-DGC-Pr-12, versión 1 ( vigentes desde el 05-11-2015).
La construcción y actualización de normograma, se contempla dentro del procedimiento "control documental" 208-PLA-Pr-15, versión 6 (vigente desde 23/04/2015). Evidencia (\\serv-cv11\calidad\10. PROCESO ADMINISTRACIÓN DE LA INFORMACIÓN\PROCEDIMIENTOS\208-PLA-Pr-15 CONTROL DOCUMENTAL).
En cuanto a Planificación Operativa, para garantizar la prestación de los productos y/o servicios y el cumplimiento de sus requisitos, la OAP solicita mensualmente a los procesos misionales la caracterización y seguimiento de los mismos, a través de los formatos "Caracterización del producto y/o servicio conforme" 208-PLA-Ft-18 y "Seguimiento medición del producto y/o servicios no conforme" 208-PLA-Ft-26 para su publicación. Evidencia (\\serv-cv11\calidad\17. CONSOLIDADO SERVICIO NO CONFORME\2016)
Por último, respecto a la evaluación periódica o legal, se tiene el procedimiento de "Identificación y evaluación de requisitos legales" 208-PLA-Pr-22, versión 1 (vigente desde el 2/09/2016). Evidencia (\\serv-cv11\calidad\1. PROCESO DE GESTIÓN ESTRATÉGICA\PROCEDIMIENTOS\208-PLA-Pr-22 IDENTIFICACION Y EVALUACIÓN DE REQUISITOS LEGALES).
Teniendo en cuenta que no es necesario establecer un procedimiento para cada uno de los puntos señalados en el hallazgo y que con lo anterior se está dando cumplimiento a la acción, se procede a cerrar el hallazgo.</t>
  </si>
  <si>
    <t>En cuanto a la actualización de los procedimientos,  es importante aclarar, que corresponde a los responsables de procesos determinar la necesidad y pertinencia de realizar cambios a sus documentos, de acuerdo a los cambios normativos, resultados de auditorías, cambios internos en el que y como hacer las actividades, simplificación o racionalización de trámites, entre otros. Así mismo solicitar su actualización formalmente ante la Oficina Asesora de Planeación. 
Se evidencia la constante labor de la OAP, en cuanto a que se ha solicitado a todos los responsables de procesos revisar y actualizar la documentación del SIG, en escenarios como sensibilizaciones del Sistema Integrado de Gestión, reuniones con cada uno de los jefes de área, reunión de Revisión por la Dirección y  mediante memorando 216IE13496 del 5 de diciembre de 2016.  A la fecha se evidencia la actualización de algunos procedimientos, según la información reportada en el Listado Maestro de Registros LMR.
Respecto a los procedimientos básicos de la norma, se evidencia que a la fecha han sido actualizados los procedimientos de: “Control de producto y/o servicio no conforme”, “Auditorías Internas” y “Acciones correctivas, preventivas y de mejora”. En auditoría interna realizada en el mes de noviembre, se dejó como oportunidad de mejora, la actualización del procedimiento  "Control documental" 208-PLA-Pr-15, en cuanto a algunos aspectos que no se están contemplando dentro de este. Sin embargo corresponde al responsable de proceso determinar la necesidad y pertinencia de su actualización. Así mismo se dejó como oportunidad de mejora, formalizar dentro del SIG una plantilla estándar para la elaboración de procedimientos, teniendo en cuenta que se observa que no hay criterios estándar para esto.
Por último, se evidencia la gestión de la OAP, en cuento a la actualización de logos institucionales en los documentos. 
Teniendo en cuenta lo anteriormente expuesto, se procede a cerrar el hallazgo, ya que no es competencia de la Oficina Asesora de Planeación la actualización del contenido de los documentos de los procesos de la entidad.</t>
  </si>
  <si>
    <r>
      <rPr>
        <b/>
        <sz val="10"/>
        <color theme="1"/>
        <rFont val="Arial"/>
        <family val="2"/>
      </rPr>
      <t>Diciembre 29 de 2016:</t>
    </r>
    <r>
      <rPr>
        <sz val="10"/>
        <color theme="1"/>
        <rFont val="Arial"/>
        <family val="2"/>
      </rPr>
      <t xml:space="preserve">
En el mes de enero de 2017, se reunirá el Comité Directivo, con el propósito de revisar la plataforma estratégica de la entidad, para ajustarla de acuerdo al nuevo Plan estratégico de la actual administración.  
 </t>
    </r>
  </si>
  <si>
    <t>El formato FUSS se encuentra debidamente identificado y disponible para su uso, en su versión vigente desde el  noviembre de 2016.  Esta publicado en la carpeta calidad  (\\serv-cv11\calidad\1. PROCESO DE GESTIÓN ESTRATÉGICA\FORMATOS -  PG01-FO382 FUSS V1). Se ha realizado socialización del mismo y se hace seguimiento mensual a su diligenciamiento, ya que en el  se reporta de seguimiento a los proyectos de inversión.
Teniendo en cuenta lo anterior, se procede a cerrar el hallazgo.</t>
  </si>
  <si>
    <t>Se han realizado  sensibilizaciones por parte de la OAP a todas las dependencias de la entidad, sobre el manejo de las herramientas de gestión (Evidencia: registros de asistencia y capacitaciones que se encuentran publicados en la carpeta de calidad). 
A la fecha se evidencia que las herramientas de gestión se vienen reportando oportunamente por parte de los procesos, de acuerdos con los tiempos establecidos para cada una y se encuentran debidamente publicadas. Así mismo se evidencia la constante  labor que realiza  la Oficina de Planeación, a través de correos  a todas las dependencias, con el propósito de recordar el diligenciamiento y reporte de estas herramientas.
Teniendo en cuenta que se vienen reportando estas herramientas y el seguimiento que se hace a la entrega oportuna de las mismas, se procede a cerrar la acción.</t>
  </si>
  <si>
    <t>Gestionar ante el comité SIG una reunión para realizar  la revisión por la dirección de la vigencia 2016.</t>
  </si>
  <si>
    <t>Durante la vigencia 2016, se realizó comité para efectuar la Revisión por la Dirección el día 31 de Octubre, el acta de dicho comité, el registro de sistencia y la presentación, se encuentran publicadas en la carpeta calidad  (\\serv-cv11\calidad\27. PRESENTACIONES E INFORMES\SISTEMA INTEGRADO DE GESTIÓN\2016\REVISIÓN POR LA DIRECCIÓN).
Dado que durante la vigencia se relizó un (1) solo comité y existe la evidencia correspondiente en cumpIlimiento con la norma NTCGP 1000:2009, numeral 5.6. Se procede a cerrar la acción y el hallazgo.</t>
  </si>
  <si>
    <r>
      <rPr>
        <b/>
        <sz val="10"/>
        <color theme="1"/>
        <rFont val="Arial"/>
        <family val="2"/>
      </rPr>
      <t>19 de mayo de 2016.</t>
    </r>
    <r>
      <rPr>
        <sz val="10"/>
        <color theme="1"/>
        <rFont val="Arial"/>
        <family val="2"/>
      </rPr>
      <t xml:space="preserve"> Se requiere reformular la acción, para este hallazgo.
Se actualizó el procedimiento 208-PLA-Pr-01 V4 con fecha 29 de enero de 2016 Formulación, reformulación y/o actualización a proyectos de inversión, que menciona una concordancia con la planeación estratégica, pero sin indicación sobre el plan institucional y su vinculación con planes de acción de gestión de cada proceso.
19 de diciembre:
La oficina Asesora de Planeación definió no realizar un procedimiento de Planeación Institucional.
Sin embargo se contempla la posibilidad de documentarlo como un instructivo.</t>
    </r>
  </si>
  <si>
    <t>Se tiene el procedimiento "FORMULACIÓN Y
SEGUIMIENTO DE INDICADORES" 208-PLA-Pr-16, vigente desde el 22 de junio de 2016, en el cual se establecen responsabilidades relacionadas con la fornulación y seguimiento a los planes de acción de gestión. Evidencia \\serv-cv11\calidad\1. PROCESO DE GESTIÓN ESTRATÉGICA\PROCEDIMIENTOS\208-PLA-Pr-16 FORMULACIÓN Y SEGUIMIENTO INDICADORES. Teniendo en cuanta lo anterior, se procede a cerrar la acción.</t>
  </si>
  <si>
    <t>No se evidencia un  plan de trabajo que contenga acciones tendientes a la implementación de los productos mínimos requeridos por el MECI. Se sugiere revisar y reprogramar la acción.
Es importante mencionar que la responsabilidad de la implementación de los productos del MECI, corresponde a la OAP, así mismo corresponde al area de Control Interno  la medición y seguimiento de los productos ya implementados.</t>
  </si>
  <si>
    <t>Estado plan de mejoramiento por procesos - Vigencia 2017</t>
  </si>
  <si>
    <t>Eliminar la carpta de documentos obsoletos de la carpeta compartida con toda la entidad en el servidor ruta \\serv-cv11\calidad</t>
  </si>
  <si>
    <t xml:space="preserve">Cerrar los planes de mejoramiento abiertos </t>
  </si>
  <si>
    <t>Estructurar y establecer politicas de riego SIG</t>
  </si>
  <si>
    <t>Actualizar el normograma del proceso de adminstración y control de recursos e incluir las  resoluciones internas 0037 de 2016, 3218 de 2016 y la normatividad que se encuentra pendiente.</t>
  </si>
  <si>
    <t xml:space="preserve">Se cierra por cumplir con lo establecido </t>
  </si>
  <si>
    <t>Gestión Humana</t>
  </si>
  <si>
    <t>La caja menor registra un faltante de $16,667 pesis m/cte</t>
  </si>
  <si>
    <t>El normograma registra errores de vigencia y por tanto de actualización.</t>
  </si>
  <si>
    <t>No se evidencia la trazabilidad de las versiones en algunos documentos.</t>
  </si>
  <si>
    <t>Relacionar en todos los documentos del Sistema Integrado de Gestión, cuando se requiera, los puntos modificados, para mantener la trazabilidad de la infromación, cumpliendo así con lo estabelcido en la Norma Fundamental de la entidad.</t>
  </si>
  <si>
    <t xml:space="preserve">Validar que en cada cambio de versión, se guarde la trazabilidad de la información y se registren las actualizaciones efectuadas, de manera que se conserve el histórico. 
</t>
  </si>
  <si>
    <t>Diligenciar el formato establecido para éste fin - 208-PLA-Ft-02 Solicitud creación, modificación y eliminación de documentos  y diligenciar dentro de los documentos del proceso, todos los cambios efectuados.</t>
  </si>
  <si>
    <t>Silenia Neira Torres - Contratista</t>
  </si>
  <si>
    <t>Ruth Ciprian Huertas - Contratista</t>
  </si>
  <si>
    <t>No se tiene claridad en los puntos de control con el fin de eliminar o mitigar los riesgos en la caja menor.</t>
  </si>
  <si>
    <t>Aunque se tienen establecidos formatos dentro del SGC, se observa que no se relacionan como registros dentro de los procedimientos. Algunos se relacionan pero sin su respectiva codificación y nombre, tal cual como se identifica el formato. Se debe tener en cuenta  que los registros proporcionan evidencia   del desarrollo de los procedimientos para que puedan ser fácilmente identificables, tal como lo establece la norma NTCGP 1000:2009 en su numeral 4.2.4 control de registros.</t>
  </si>
  <si>
    <t>Los puntos de control establecidos en los procedimientos, no tienen relación con los riesgos  establecidos en el mapa de riesgos del proceso. Es importante tener en cuenta que los puntos de control son los que describen el control  a ejercer en un procedimiento, con el fin de eliminar o mitigar el riesgo que no permita que la actividad se realice.</t>
  </si>
  <si>
    <t>En algunos procedimientos no se evidencia la trazabilidad de los cambios realizados. Todas las modificaciones introducidas a un documento se deben registrar en el ítem “control de cambios”, con el propósito de garantizar la trazabilidad del mismo.</t>
  </si>
  <si>
    <t>El procedimiento órdenes de pago no cuenta con puntos de control.</t>
  </si>
  <si>
    <t>Para los módulos de SI CAPIT@L PREDIS, PAC, TERCEROS, LIMAY, OPGET, SAI-SAE, SISCO y PERNO se requiere contar con los mensajes de advertencia o informativos que arroja el sistema, vinculados con el consecutivo de la Secretaria Distrital de Hacienda.</t>
  </si>
  <si>
    <t>La opción INFORMES ORGANOS DE CONTROL aún no se encuentra en producción, para PREDIS y PAC.</t>
  </si>
  <si>
    <t>El módulo SAI no registra la totalidad de los activos. Solo comprende bienes devolutivos y de consumo y no registra bienes inmuebles.</t>
  </si>
  <si>
    <t>No se cuenta con manuales tales como causación del gasto, causación de nómina, pago de nómina, registro de los documentos por transferencia con la Secretaria Distrital de Hacienda, provisiones, depreciaciones, amortizaciones, causación de caja menor, incapacidades, reclasificación de terceros y cuentas de acuerdo con las homologaciones de PREDIS-LIMAY.</t>
  </si>
  <si>
    <t>No posee en el momento el módulo de Estado de Cambios en la situación financiera y el flujo de efectivo.</t>
  </si>
  <si>
    <t>En relación con las Normas Internacionales de Contabilidad para el Sector Público (NICSP), no se han realizado pruebas del módulo LIMAY. La dificultad para generar ambiente de pruebas consiste en que la entidad no cuenta con un DBA que garantice la estabilidad de la información al momento de desarrollar las pruebas pertinentes. Sin embargo se evidencia que el 5 de octubre se celebró una reunión con el Ingeniero Pinilla en la Subdirección Financiera y la asesora de NICSP 533-15, en la cual se planteó nuevamente la necesidad de crear un ambiente de pruebas y se determinaron los temas que se desarrollan por fuera de SI-CAPIT@L.</t>
  </si>
  <si>
    <t>No se encuentra en funcionamiento del Estado Diario de Tesorería.</t>
  </si>
  <si>
    <t>No se lleva el control y número de los cheques en el sistema.</t>
  </si>
  <si>
    <t>Para el módulo SAI-SAE no se han impartido capacitaciones integrales a los componentes del sistema con el fin de obtener resultados eficaces, confiables y reales de la información.</t>
  </si>
  <si>
    <t>Se establece que ha sido designado un contratista (prestador de servicios) bajo el contrato 262 de 2016, para el manejo y custodia de la Caja Menor. Para Control Interno tal situación es no solo inconveniente sino ilegal, puesto que desde la propia Constitución Política (artículo 123) se establece quiénes son servidores públicos, precepto desarrollado por la Ley 909 de 2004, normas que excluyen el que los contratistas puedan ser considerados como servidores públicos con funciones de naturaleza administrativa.</t>
  </si>
  <si>
    <t>El contrato 262 de 2016, en el numeral 6 de su cláusula segunda, Obligaciones específicas del contratista, establece la de “Realizar el seguimiento a la ejecución de la caja menor asignada a la Subdirección Administrativa”, actividad que en ningún momento implica asumir la responsabilidad por el manejo de la caja menor.</t>
  </si>
  <si>
    <t xml:space="preserve">De otra parte, el parágrafo 1 del artículo tercero de la Resolución 0037 de 2016 establece que tanto el ordenador del gasto como el responsable del manejo de la caja menor deben estar incluidos en la póliza de manejo que contrate la entidad. El responsable actual, por su carácter de contratista no se encuentra amparado por la póliza global de manejo, circunstancia que representa un riesgo mayor para la entidad en la concurrencia de un hecho de inseguridad e integridad a la persona.
</t>
  </si>
  <si>
    <t>Actualizar los procedimientos incorporando en ellos los formatos que utiliza actualmente el proceso.</t>
  </si>
  <si>
    <t>Revisar permanente la informacion para mantener actualizadas las versiones del proceso de administracion y control de recursos.</t>
  </si>
  <si>
    <t>Se creo cuadro de control de planillas de ordenes de pago(Magnetico), se realizo cuadro de radicados de OP (Magnetico)  y se tiene un cuadro fisico de control de las planillas de OP.</t>
  </si>
  <si>
    <t>Diego Alexander Romero Porras - Contratista</t>
  </si>
  <si>
    <t xml:space="preserve">Ingresar el nuevo plan maestro y los planes alternos de acuerdo con los ajustes realizados </t>
  </si>
  <si>
    <t>Elizabeth Salina Bustos y Rafael Osorio Carrillo</t>
  </si>
  <si>
    <t xml:space="preserve">Ambiente pruebas lista para ejecutar los nuevos datos normativos </t>
  </si>
  <si>
    <t>Dora Alicia León - Funcionaria</t>
  </si>
  <si>
    <t xml:space="preserve">Alimentar la informacion a medida que se van realizando movimientos de tesoreria </t>
  </si>
  <si>
    <t>Una vez se realice el cierre contable  del mes anterior, ingresar los saldos iniciales de bancos  y revisar  los ajustes y desarrollos en el sistema Opget, para que funcione el modulo</t>
  </si>
  <si>
    <t>Una vez se realice el cierre  contable del mes anterior, ingresar los saldos de las cuentas corrientes y los números de los cheques en el sistema y revisar los ajustes y desarrollos que se deban realizar en el sistema Opget</t>
  </si>
  <si>
    <t>Oscar Suárez Ariza</t>
  </si>
  <si>
    <t>Capacitar a las personas que lo requieran.</t>
  </si>
  <si>
    <t>Se solicitara a las personas que manejan estos modulos quienes requieren capacitacion intengrandolo al modulo Financiero a Limay que es el que monitorea los modulos SAI-SAE.</t>
  </si>
  <si>
    <t>El normograma del proceso se encuentra desactualizado, como es el caso del Decreto Distrital 533 de 2015 y las resoluciones internas, entre otros ejemplos.</t>
  </si>
  <si>
    <t>Reporte y control del Diseño y desarrollo</t>
  </si>
  <si>
    <t xml:space="preserve"> Actualización del normograma</t>
  </si>
  <si>
    <t>Ajustar  el normograma de conformidad con la normativa vigente y los lineamientos del SIG.</t>
  </si>
  <si>
    <t>Mensualmente se revisará el cronograma para veririfcar la pertinencia con las normas vigentes.</t>
  </si>
  <si>
    <t xml:space="preserve">Subdirector Administrativo , grupo de gestión documental y funcionario de la caja menor </t>
  </si>
  <si>
    <t>Solicitar al grupo de gestión documental una capacitación sobre la utiilización de la TRD dirigida a los responsables de la caja menor(ordenador de gasto y funcionario designado) y organizar los documentos  conforme a la TRD.</t>
  </si>
  <si>
    <t xml:space="preserve">Subdirector Administrativo </t>
  </si>
  <si>
    <t>En el formato de seguimiento de plan de mejoramiento no se registró la  revisión de la eficacia de las acciones para el item 201</t>
  </si>
  <si>
    <t>El Plan de acción de gestión no se encuentra actualizado, el último plan se encuentra a corte de Abril - 2016</t>
  </si>
  <si>
    <t xml:space="preserve">Reunión para socializar el correcto diligenciamiento del documento de trabajo  plan de mejoramiento por hallazgos </t>
  </si>
  <si>
    <t>Se actualizo el Plan de acción de Gestión, con corte a 30 de septiembre de 2016, fue remitido por correo a la Oficina Asesora de Planeación y fue publicado el 22 de noviembre de 2016</t>
  </si>
  <si>
    <t xml:space="preserve"> </t>
  </si>
  <si>
    <t>Se cierra el hallazgo, se cumplio adecuadamente la acción.</t>
  </si>
  <si>
    <t>La acción se cumplio, Se ajusto formulación de los mapas de riesgos vigencia 2015</t>
  </si>
  <si>
    <t>Se revisan las acciones formuladas en el plan de mejoramiento del decreto 371 (vigencia 2013). 
Se evidencia que para cada vigencia se tiene formulado un plan de acción de gestión, donde se establecen acciones a realizar con responsables y fechas, las cuales apuntan al cumplimiento de los objetivos institucionales. Así mismo, en el procedimiento “Formulación y seguimiento de indicadores” 208-PLA-Pr-16, se tiene establecida la responsabilidad de los líderes de proceso en la formulación de los planes de acción de gestión.
En cuanto a Responsabilidad social, se tiene una política de responsabilidad social en versión 2, vigente desde el 29 de agosto de 2014, en la cual se visualiza una completa articulación con la política de transparencia, probidad y lucha contra la corrupción, así mismo con el Sistema Integrado de Gestión. A la fecha esta política se encuentra en proceso de actualización, de acuerdo al plan de desarrollo de la actual administración.
Se cuenta con un documento diagnóstico para la implementación del subsistema de responsabilidad social en articulación con el Sistema Integrado de Gestión en el cual se consolidan las actividades realizadas por la entidad respecto a responsabilidad social, estas acciones evidencian el fortalecimiento de esta política (\\serv-cv11\calidad\1. PROCESO DE GESTIÓN ESTRATÉGICA\DOCUMENTOS REFERENCIA\Responsabilidad Social\LINEAMIENTO 15).
Por último con relación a los proyectos de inversión, mensualmente se realiza seguimiento al avance de ejecución de las metas y actividades de cada uno de los proyectos de inversión de la entidad mediante el Formato Único de Seguimiento Sectorial (PG01-FO382 FUSS, versión 1).  
Teniendo en cuenta que se evidencia cumplimiento de las acciones formuladas en el plan de mejoramiento, se procede a cerrar el hallazgo.</t>
  </si>
  <si>
    <t xml:space="preserve">La acción se cumplio eficazmente </t>
  </si>
  <si>
    <t>El formato se actualizo adecuadamente, la acción fue eficaz</t>
  </si>
  <si>
    <t xml:space="preserve">Se verifico la efectividad de la acción realizada </t>
  </si>
  <si>
    <r>
      <rPr>
        <b/>
        <sz val="9"/>
        <color theme="1"/>
        <rFont val="Arial"/>
        <family val="2"/>
      </rPr>
      <t>20 de junio de 2016.</t>
    </r>
    <r>
      <rPr>
        <sz val="9"/>
        <color theme="1"/>
        <rFont val="Arial"/>
        <family val="2"/>
      </rPr>
      <t xml:space="preserve"> En la actualidad se usan logos correspondientes a la nueva administración distrital. Sin embargo el hallazgo se enmarca en asegurar que sea utilizado el logo en los procedimientos y documentos que indique: "Caja de la Vivienda Popular", presentado en la guía 208-COM-G-01 V1 del 29 de septiembre de 2014. A pesar de que deba actualizarse la guía, el logo de la entidad se mantiene como se ha indicado. 
En los procedimientos del último semestre del 2015 continua la utilización del logo que no corresponde al nombre oficial de la entidad.
Se modifica la fecha de cierre del 31 de diciembre de 2015 al 31 de diciembre de 2016, con el fin de aplicar y utilizar el logo dentro de los procedimiento y documentos de la entidad.12-08-2015
Se solicitó a la Oficina Asesora de Comunicaciones la actualización de la  Guía de Manejo de imagen CVP. (en esta revisión se incluyó todos los logos institucionales que actualmente esta manejando la entidad). 
Esta guía esta en proceso de ajuste por parte de la oficina asesora de comunicaciones.</t>
    </r>
  </si>
  <si>
    <t xml:space="preserve">La acción se ejecuto adecuadamente </t>
  </si>
  <si>
    <t xml:space="preserve">Se modifico el formato, se ejecuto la acción planteada </t>
  </si>
  <si>
    <t>Se actualizo la página SECOP. Eficazmente</t>
  </si>
  <si>
    <t xml:space="preserve">Se ejecuto la acción, con pertinencia </t>
  </si>
  <si>
    <t xml:space="preserve">Se cerró el hallazgo por la argumentación presentada </t>
  </si>
  <si>
    <t xml:space="preserve">* Once (11) acciones no presentan plan de mejoramiento </t>
  </si>
  <si>
    <t>Se evidencia el plan estrategico consolidado</t>
  </si>
  <si>
    <r>
      <t>16 de junio de 2016. Se da cierre, puesto que</t>
    </r>
    <r>
      <rPr>
        <sz val="10"/>
        <color rgb="FF000000"/>
        <rFont val="Arial"/>
        <family val="2"/>
      </rPr>
      <t xml:space="preserve"> la Dirección Jurídica presenta los soportes de trasferencia al archivo de gestión central de la entidad. Soportes firmados por la persona encargada de la época.</t>
    </r>
    <r>
      <rPr>
        <b/>
        <sz val="10"/>
        <color rgb="FF000000"/>
        <rFont val="Arial"/>
        <family val="2"/>
      </rPr>
      <t xml:space="preserve"> </t>
    </r>
  </si>
  <si>
    <r>
      <rPr>
        <b/>
        <sz val="9"/>
        <color theme="1"/>
        <rFont val="Arial"/>
        <family val="2"/>
      </rPr>
      <t>20 de junio de 2016.</t>
    </r>
    <r>
      <rPr>
        <sz val="9"/>
        <color theme="1"/>
        <rFont val="Arial"/>
        <family val="2"/>
      </rPr>
      <t xml:space="preserve"> No se efectuó seguimiento.
27 de noviembre de 2015
La Subdirección Administrativa remitió las últimas TRD aprobada en comité de gestión documental. Estas ya fueron ingresadas a la carpeta de calidad.
Validar  \\serv-cv2\calidad\10. PROCESO ADMINISTRACIÓN DE LA INFORMACIÓN\TABLAS RETENCIÓN DOCUMENTAL\VIGENCIA 2014.
Las tablas de retención documental ya fueron convalidadas por el Archivo Distrital, de lo cual ya se ha dado amplia difusión y socialización por parte de la OAC a todos los funcionarios.
Por lo anterior, se solicita a Control Interno dar cierre a la no conformidad.
</t>
    </r>
    <r>
      <rPr>
        <b/>
        <sz val="9"/>
        <color theme="1"/>
        <rFont val="Arial"/>
        <family val="2"/>
      </rPr>
      <t>Control Interno: A pesar que se cumplieron las acciones el hallazgo sigue igual, se debe dar línea para que las TRD estén de acuerdo con los procedimientos.</t>
    </r>
  </si>
  <si>
    <r>
      <rPr>
        <b/>
        <sz val="9"/>
        <color theme="1"/>
        <rFont val="Arial"/>
        <family val="2"/>
      </rPr>
      <t>14 de octubre de 2016</t>
    </r>
    <r>
      <rPr>
        <sz val="9"/>
        <color theme="1"/>
        <rFont val="Arial"/>
        <family val="2"/>
      </rPr>
      <t xml:space="preserve">. La Dirección Jurídica remite el informe semestral  de gestión y el informe bimensual de indicadores con sus respectivos soportes. Sobre estos informes es necesario aclarar que si bien es cierto se cumple con los establecido en la Circular 024 de la Secretaría General, en el Manual de las Políticas del Daño Antijurídico y la Representación Judicial establecen otras fechas. Así mismo en el Decreto Reglamentario 1167 de 2016 modifica y suprime algunas disposiciones del Decreto Reglamentario 1069 de 2015, soporte legal del manual en mención. (se replanteo la acción y la fecha de cumplimiento)  Se cierra                                                                             </t>
    </r>
    <r>
      <rPr>
        <b/>
        <sz val="9"/>
        <color theme="1"/>
        <rFont val="Arial"/>
        <family val="2"/>
      </rPr>
      <t xml:space="preserve">  16 de junio de 2016. </t>
    </r>
    <r>
      <rPr>
        <sz val="9"/>
        <color theme="1"/>
        <rFont val="Arial"/>
        <family val="2"/>
      </rPr>
      <t>Revisado el PROCEDIMIENTO AUDIENCIAS DE CONCILIACIÓN Y DE PACTO DE CUMPLIMIENTO 208-DJ-Pr-05; se evidencia que no se  ha incluido el mencionado punto de control. Continúa abierta
12-01-2016
Se expidió constancia por parte del Secretario del Comité de Conciliación, de la no generación de reporte de indicadores.  Se anexa soporte. Esta acción estableció incluir en el procedimiento de la conciliación el punto de control vinculado a la expedición de la constancia bimestral de no generación del reporte de indicadores. Revisado el PROCEDIMIENTO AUDIENCIAS DE CONCILIACIÓN Y DE PACTO DE CUMPLIMIENTO 208-DJ-Pr-05; se evidencia que no se  ha incluido el mencionado punto de control. Continúa Abierta.</t>
    </r>
  </si>
  <si>
    <t xml:space="preserve">Se cierra la actividad por cumplir con lo descrito en la acción </t>
  </si>
  <si>
    <t>Inoportuno</t>
  </si>
  <si>
    <t>Oportuno</t>
  </si>
  <si>
    <r>
      <t xml:space="preserve">14-01-2016: Se elaboraron y comunicaron siete (7) actos administrativos correspondientes a dos funcionarios en encargo y cinco en provisionalidad. Solicitan cierre.
</t>
    </r>
    <r>
      <rPr>
        <sz val="8"/>
        <rFont val="Arial"/>
        <family val="2"/>
      </rPr>
      <t xml:space="preserve">SE DEBE VERIFICAR LOS SOPORTES PARA PODER DAR CIERRE </t>
    </r>
  </si>
  <si>
    <t xml:space="preserve">Se cierra por cumplir con la actividad descrita </t>
  </si>
  <si>
    <t xml:space="preserve">Administracion y Control de recursos </t>
  </si>
  <si>
    <t>Capacitar a los encargados de las Direcciones y Subdirecciones en los procedimientos y competencias para la contratación de la entidad.
Enviar solicitud para el traslado de este hallazgo al responsable de la implementación del Hallazgo ( Subdirección Financiera)
DEJAR LA ACCIÓN A SEGUIR</t>
  </si>
  <si>
    <r>
      <t xml:space="preserve">El artículo 106 del Decreto 1227 de 2005 en concocrdancia con lo dispuesto en el articulo 2,2,13,1,9 del Decreto Unico Reglamentario del Sector de  Función Pública numero 1083 de 2015 señala al tenor literal </t>
    </r>
    <r>
      <rPr>
        <b/>
        <sz val="10"/>
        <color theme="1"/>
        <rFont val="Arial"/>
        <family val="2"/>
      </rPr>
      <t xml:space="preserve">Terminos de concertación y formalización del Acuerdo de Gestión. </t>
    </r>
    <r>
      <rPr>
        <b/>
        <u/>
        <sz val="10"/>
        <color theme="1"/>
        <rFont val="Arial"/>
        <family val="2"/>
      </rPr>
      <t xml:space="preserve">En un plazo no mayor de cuatro (4) meses, contados a partir de la fecha de la poseción en su cargo, </t>
    </r>
    <r>
      <rPr>
        <sz val="10"/>
        <color theme="1"/>
        <rFont val="Arial"/>
        <family val="2"/>
      </rPr>
      <t xml:space="preserve">Fecha de posesión de la doctora Audrey Alvarez Bustos: 5 julio de 2016 y fecha de posesión de Adriana Alavarez Forero: 26 de septiembre de 2016, En atención del marco normativo descrito anteriormente; la doctora Audrey Alvarez Bustos y la Dra, Adriana Alvarez Forero, a la fecha de realizada la auditoria Interna (28 de julio de 2016), se encontraba dentro de los plazos establecidos para suscribir el referido acuerdo. </t>
    </r>
  </si>
  <si>
    <t xml:space="preserve">Se cierra en auditoria  del 23 de marzo de 2017, por cumplir con la actividad programada </t>
  </si>
  <si>
    <t>23 de marzo de 2017: Se revisa el listado maestro de documentos y las carpetas con los formatos y los procedimientos, se encontraron algunas diferencias</t>
  </si>
  <si>
    <t>23 de marzo de 2017:  Llos procesos de la entidad en la actualidad se encuentran en fase de revisión y actualización de esta herramienta</t>
  </si>
  <si>
    <t>23 de marzo de 2017</t>
  </si>
  <si>
    <t>Se verifica el cumplimiento de la actividad descrita</t>
  </si>
  <si>
    <t xml:space="preserve">23 de marzo de 2017:  Con el acompañamiento del funcionario enlace, Nubia Ariza Guiza se revisa la carpeta  \\serv-cv11\comunicaciones\2017. Se encontraron 17 carpetas con sus subcarpetas a través de las cuales se archiva toda la documentación que se produce en el proceso. La funcionaria señala que se está implementando este sistema con los servidores y contratistas con el fin de preservar la información de la oficina.   </t>
  </si>
  <si>
    <t>23 de marzo de 2017:   Se verificó en la página web de la entidad la publicación de la documentación relacionada en los artículos 9° y 11° de la Ley 1712 de 2014.</t>
  </si>
  <si>
    <t>23 de marzo de 2017:   Se verificó en la página web de la entidad la publicación de esta herramienta con los requisitos del ordena el artículo 9°  de la Ley 1712 de 2014 comprobando su cumplimiento</t>
  </si>
  <si>
    <t>23 de marzo de 2017: Se verificó en la página web del vínculo que lleva al SECOP y se comprueba su funcionalidad</t>
  </si>
  <si>
    <t>23 de Marzo de 2017: Se revisa la página web para verificar el cumplimiento del Decreto Reglamentario 103 de 2015, en cuanto a la información requerida en los numerales 1, 2, 3, 4 del artículo 35 Instrumentos de Gestión de la Información Pública. Pueden encontrarse en el siguiente enlace http://www.cajaviviendapopular.gov.co/?q=content/transparencia. También se observa cumplimiento de los componentes descritos en el artículo 42 del mismo Decreto.</t>
  </si>
  <si>
    <t xml:space="preserve">Se actualizo el vinculo,  dando cumplimiento a la actividad </t>
  </si>
  <si>
    <t xml:space="preserve">23 de Marzo de 2017: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Se verificó la publicación de este informe en la página web en el siguiente enlace 
http://www.cajaviviendapopula.
gov.co/?q=Servicio-al-ciudadano/solicitudes-de-acceso-la-informacion 
Se encontraron los vínculos que dirigen al usuario a los informes de solicitud de acceso a la información publicados mes a mes durante las vigencias 2016 y 2017 y cuarto trimestre de 2015.
</t>
  </si>
  <si>
    <t>Marzo 23 de 2017:  Revisado el Normograma del proceso se encontró en la hoja número dos (2) del documento  la Resolución 3564 de 2015 de Min TIC’S. 
En el informe de auditoría de del 15 de noviembre de 2016, se verificó la actualización de estos  procedimientos de conformidad con la norma mencionada, aunque no había  sido publicada en la carpeta de calidad. 
Una vez se revisa la carpeta de calidad se verifica la publicación de estos documentos.</t>
  </si>
  <si>
    <t>Se verificó la implementación del aplicativo y se evidencia que existe control sobre los pagos de arrendamiento en cuanto al valor y el tiempo en que se efectúan. Se cierra la no conformidad por cuanto atiende la causa raíz.</t>
  </si>
  <si>
    <t>2. Diseño e implementación de un aplicativo de relocalización transitoria que controle la trazabilidad de la información entre, resoluciones memorandos, contratos, CDP, RP, y los giros realizados.</t>
  </si>
  <si>
    <t>3. El Diseño e implementación de un formato y un instructivo para el seguimiento de los convenios interadministrativos.</t>
  </si>
  <si>
    <t xml:space="preserve">4. El Diseño e Implementación del procedimiento 208 - REAS Pr - 07 Reparto Notarial. 5. Actualización de los siguientes formatos: 208 - REAS - Ft-33 </t>
  </si>
  <si>
    <t>28 de diciembre de 2016. Se verificaron algunas acciones de mejora formuladas dentro del proceso, tales como: 1. Actualización del procedimiento 208 - REAS - Pr-06 RELOCALIZACIÓN TRANSITORIA.
2. Diseño e implementación de un aplicativo de relocalización transitoria que controle la trazabilidad de la información entre, resoluciones memorandos, contratos, CDP, RP, y los giros realizados.
3. El Diseño e implementación de un formato y un instructivo para el seguimiento de los convenios interadministrativos.
4. El Diseño e Implementación del procedimiento 208 - REAS Pr - 07 Reparto Notarial. 5. Actualización de los siguientes formatos: 208 - REAS - Ft-33 RELOCALIZACIÓN TRANSITORIA.   LISTA DE CHEQUEO REASENTAMIENTO; Formato 208 - REAS - Ft - 42 Notificacion Resoluciones  VUR. Estas acciones de mejora nacen del producto de la autoevaluación y el mejoramiento continuo que ha implementado el proceso. De acuerdo con lo anterior se cierra la no conformidad</t>
  </si>
  <si>
    <t>28 de diciembre de 2016. En el link \\ serv-cv11 \ calidad \ 17. CONSOLIDADO SERVICIO NO CONFORME \ 2016 \ FECHA DE CORTE 30 SEPTIEMBRE se observa la medición del producto no conforme, junto con su debido tratamiento. De acuerdo con lo anterior se cierra la no conformidad.</t>
  </si>
  <si>
    <t xml:space="preserve">01-12-2015
El proceso de Relocalización Transitoria quedo debidamente registrado en carpeta de calidad, el procedimiento de Cuenta de Ahorro programado se ajuste en la parte de fiducia, a pesar, de ser una acción que no es controlable por la Dirección de Reasentamientos por ser un negocio entre terceros, para el procedimiento de Reubicación definitiva se ajusto en la parte de victimas del conflicto e indígenas, estos dos últimos están pendientes de aprobación.                                                           28 de diciembre de 2016: Se verifican los procedimientos y la fecha de la última actualización en el procedimiento Cuenta de Ahorro programado, 27 de febrero de 2014. De acuerdo con lo anterior la no conformidad sigue abierta. </t>
  </si>
  <si>
    <t xml:space="preserve">De acuerdo con los registros reportados del producto no conforme se evidencia un seguimiento con los respectivos controles, según lo establecido en el procedimiento y en la norma NTCGP 1000-2009 numeral 8.3 Control de producto y/o servicio no conforme. Se cierra la no conformidad por cuanto atiende la causa raíz. </t>
  </si>
  <si>
    <r>
      <t xml:space="preserve">28 de diciembre de 2016. Se evidencia la formulación de los planes de mejoramiento del proceso y la contratación de </t>
    </r>
    <r>
      <rPr>
        <sz val="9"/>
        <color rgb="FF222222"/>
        <rFont val="Arial"/>
        <family val="2"/>
      </rPr>
      <t xml:space="preserve">Lady Andrea Córdoba Navarro (contrato No. 115 de 2016); el objeto del contrato comprende </t>
    </r>
    <r>
      <rPr>
        <sz val="9"/>
        <color theme="1"/>
        <rFont val="Arial"/>
        <family val="2"/>
      </rPr>
      <t>elaborar o actualizar y realizar el seguimiento a la herramienta plan de mejoramiento de proceso y de la contraloría y demás entes de control acorde a los lineamientos establecidos por Control Interno. De acuerdo con lo anterior se cierra  la no conformidad.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</si>
</sst>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mm/yyyy;@"/>
    <numFmt numFmtId="166" formatCode="dd/mmm/yyyy"/>
    <numFmt numFmtId="167" formatCode="0.0%"/>
    <numFmt numFmtId="168" formatCode="_(* #,##0_);_(* \(#,##0\);_(* &quot;-&quot;??_);_(@_)"/>
    <numFmt numFmtId="169" formatCode="[$-C0A]dd\-mmm\-yy;@"/>
  </numFmts>
  <fonts count="44"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0"/>
      <color theme="1"/>
      <name val="Calibri"/>
      <family val="2"/>
      <scheme val="minor"/>
    </font>
    <font>
      <sz val="10"/>
      <color theme="1"/>
      <name val="Arial"/>
      <family val="2"/>
    </font>
    <font>
      <sz val="11"/>
      <color theme="1"/>
      <name val="Calibri"/>
      <family val="2"/>
      <scheme val="minor"/>
    </font>
    <font>
      <sz val="10"/>
      <name val="Calibri"/>
      <family val="2"/>
      <scheme val="minor"/>
    </font>
    <font>
      <b/>
      <sz val="10"/>
      <name val="Calibri"/>
      <family val="2"/>
      <scheme val="minor"/>
    </font>
    <font>
      <sz val="10"/>
      <color rgb="FF000000"/>
      <name val="Arial"/>
      <family val="2"/>
    </font>
    <font>
      <b/>
      <sz val="10"/>
      <color rgb="FF000000"/>
      <name val="Arial"/>
      <family val="2"/>
    </font>
    <font>
      <b/>
      <sz val="11"/>
      <color theme="1"/>
      <name val="Calibri"/>
      <family val="2"/>
      <scheme val="minor"/>
    </font>
    <font>
      <b/>
      <sz val="9"/>
      <color indexed="81"/>
      <name val="Tahoma"/>
      <family val="2"/>
    </font>
    <font>
      <sz val="9"/>
      <color indexed="81"/>
      <name val="Tahoma"/>
      <family val="2"/>
    </font>
    <font>
      <b/>
      <sz val="10"/>
      <color theme="1"/>
      <name val="Arial"/>
      <family val="2"/>
    </font>
    <font>
      <b/>
      <sz val="12"/>
      <color theme="1"/>
      <name val="Arial"/>
      <family val="2"/>
    </font>
    <font>
      <b/>
      <sz val="9"/>
      <color theme="1"/>
      <name val="Arial"/>
      <family val="2"/>
    </font>
    <font>
      <sz val="8"/>
      <color theme="1"/>
      <name val="Arial"/>
      <family val="2"/>
    </font>
    <font>
      <b/>
      <sz val="8"/>
      <color theme="1"/>
      <name val="Arial"/>
      <family val="2"/>
    </font>
    <font>
      <sz val="9"/>
      <color theme="1"/>
      <name val="Arial"/>
      <family val="2"/>
    </font>
    <font>
      <sz val="11"/>
      <color rgb="FF000000"/>
      <name val="Arial"/>
      <family val="2"/>
    </font>
    <font>
      <b/>
      <sz val="11"/>
      <color theme="1"/>
      <name val="Arial"/>
      <family val="2"/>
    </font>
    <font>
      <b/>
      <sz val="12"/>
      <color rgb="FF000000"/>
      <name val="Arial"/>
      <family val="2"/>
    </font>
    <font>
      <sz val="10"/>
      <name val="Arial"/>
      <family val="2"/>
    </font>
    <font>
      <b/>
      <sz val="20"/>
      <color theme="1"/>
      <name val="Calibri"/>
      <family val="2"/>
      <scheme val="minor"/>
    </font>
    <font>
      <sz val="8"/>
      <name val="Arial"/>
      <family val="2"/>
    </font>
    <font>
      <b/>
      <sz val="18"/>
      <color theme="1"/>
      <name val="Arial"/>
      <family val="2"/>
    </font>
    <font>
      <b/>
      <sz val="9"/>
      <color rgb="FFFFCCCC"/>
      <name val="Arial"/>
      <family val="2"/>
    </font>
    <font>
      <sz val="10"/>
      <color rgb="FFFF0000"/>
      <name val="Arial"/>
      <family val="2"/>
    </font>
    <font>
      <sz val="11"/>
      <color rgb="FF000000"/>
      <name val="Calibri"/>
      <family val="2"/>
      <scheme val="minor"/>
    </font>
    <font>
      <sz val="8"/>
      <color rgb="FFFF0000"/>
      <name val="Arial"/>
      <family val="2"/>
    </font>
    <font>
      <sz val="9"/>
      <name val="Arial"/>
      <family val="2"/>
    </font>
    <font>
      <b/>
      <sz val="14"/>
      <color theme="1"/>
      <name val="Arial"/>
      <family val="2"/>
    </font>
    <font>
      <sz val="11"/>
      <name val="Arial"/>
      <family val="2"/>
    </font>
    <font>
      <b/>
      <sz val="8"/>
      <name val="Arial"/>
      <family val="2"/>
    </font>
    <font>
      <b/>
      <sz val="11"/>
      <color rgb="FF000000"/>
      <name val="Arial"/>
      <family val="2"/>
    </font>
    <font>
      <b/>
      <sz val="16"/>
      <color theme="1"/>
      <name val="Arial"/>
      <family val="2"/>
    </font>
    <font>
      <b/>
      <sz val="11"/>
      <color rgb="FFFFCCCC"/>
      <name val="Arial"/>
      <family val="2"/>
    </font>
    <font>
      <b/>
      <sz val="10"/>
      <name val="Arial"/>
      <family val="2"/>
    </font>
    <font>
      <u/>
      <sz val="11"/>
      <color theme="10"/>
      <name val="Calibri"/>
      <family val="2"/>
      <scheme val="minor"/>
    </font>
    <font>
      <sz val="11"/>
      <name val="Calibri"/>
      <family val="2"/>
      <scheme val="minor"/>
    </font>
    <font>
      <b/>
      <sz val="10"/>
      <color rgb="FFFFCCCC"/>
      <name val="Arial"/>
      <family val="2"/>
    </font>
    <font>
      <b/>
      <u/>
      <sz val="10"/>
      <color theme="1"/>
      <name val="Arial"/>
      <family val="2"/>
    </font>
    <font>
      <sz val="9"/>
      <color rgb="FF222222"/>
      <name val="Arial"/>
      <family val="2"/>
    </font>
  </fonts>
  <fills count="33">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gradientFill degree="90">
        <stop position="0">
          <color theme="0"/>
        </stop>
        <stop position="0.5">
          <color theme="6" tint="0.80001220740379042"/>
        </stop>
        <stop position="1">
          <color theme="0"/>
        </stop>
      </gradientFill>
    </fill>
    <fill>
      <patternFill patternType="solid">
        <fgColor theme="4" tint="0.79998168889431442"/>
        <bgColor indexed="64"/>
      </patternFill>
    </fill>
    <fill>
      <gradientFill degree="90">
        <stop position="0">
          <color theme="0"/>
        </stop>
        <stop position="0.5">
          <color theme="9" tint="0.80001220740379042"/>
        </stop>
        <stop position="1">
          <color theme="0"/>
        </stop>
      </gradientFill>
    </fill>
    <fill>
      <patternFill patternType="solid">
        <fgColor rgb="FFFFC0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8D8D8"/>
        <bgColor rgb="FF000000"/>
      </patternFill>
    </fill>
    <fill>
      <patternFill patternType="solid">
        <fgColor theme="0" tint="-4.9989318521683403E-2"/>
        <bgColor indexed="64"/>
      </patternFill>
    </fill>
    <fill>
      <gradientFill degree="90">
        <stop position="0">
          <color theme="0"/>
        </stop>
        <stop position="0.5">
          <color theme="5" tint="0.80001220740379042"/>
        </stop>
        <stop position="1">
          <color theme="0"/>
        </stop>
      </gradientFill>
    </fill>
    <fill>
      <gradientFill degree="90">
        <stop position="0">
          <color theme="0"/>
        </stop>
        <stop position="0.5">
          <color theme="4" tint="0.80001220740379042"/>
        </stop>
        <stop position="1">
          <color theme="0"/>
        </stop>
      </gradientFill>
    </fill>
    <fill>
      <patternFill patternType="solid">
        <fgColor theme="6" tint="0.39997558519241921"/>
        <bgColor indexed="64"/>
      </patternFill>
    </fill>
    <fill>
      <patternFill patternType="solid">
        <fgColor theme="9"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CD5B4"/>
        <bgColor rgb="FF000000"/>
      </patternFill>
    </fill>
    <fill>
      <patternFill patternType="solid">
        <fgColor rgb="FFFFFF00"/>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39997558519241921"/>
        <bgColor indexed="64"/>
      </patternFill>
    </fill>
    <fill>
      <gradientFill degree="45">
        <stop position="0">
          <color theme="0"/>
        </stop>
        <stop position="1">
          <color theme="4"/>
        </stop>
      </gradientFill>
    </fill>
    <fill>
      <gradientFill degree="135">
        <stop position="0">
          <color theme="0"/>
        </stop>
        <stop position="1">
          <color theme="5" tint="0.40000610370189521"/>
        </stop>
      </gradient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rgb="FF000000"/>
      </bottom>
      <diagonal/>
    </border>
    <border>
      <left style="thin">
        <color indexed="64"/>
      </left>
      <right/>
      <top style="double">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indexed="64"/>
      </right>
      <top style="double">
        <color indexed="64"/>
      </top>
      <bottom/>
      <diagonal/>
    </border>
  </borders>
  <cellStyleXfs count="6">
    <xf numFmtId="0" fontId="0" fillId="0" borderId="0"/>
    <xf numFmtId="164" fontId="6" fillId="0" borderId="0" applyFont="0" applyFill="0" applyBorder="0" applyAlignment="0" applyProtection="0"/>
    <xf numFmtId="9" fontId="6" fillId="0" borderId="0" applyFont="0" applyFill="0" applyBorder="0" applyAlignment="0" applyProtection="0"/>
    <xf numFmtId="0" fontId="23" fillId="0" borderId="0"/>
    <xf numFmtId="0" fontId="6" fillId="0" borderId="0"/>
    <xf numFmtId="0" fontId="39" fillId="0" borderId="0" applyNumberFormat="0" applyFill="0" applyBorder="0" applyAlignment="0" applyProtection="0"/>
  </cellStyleXfs>
  <cellXfs count="758">
    <xf numFmtId="0" fontId="0" fillId="0" borderId="0" xfId="0"/>
    <xf numFmtId="0" fontId="0" fillId="0" borderId="0" xfId="0"/>
    <xf numFmtId="0" fontId="4" fillId="0" borderId="0" xfId="0" applyFont="1"/>
    <xf numFmtId="0" fontId="7" fillId="0" borderId="1" xfId="0" applyFont="1" applyFill="1" applyBorder="1" applyAlignment="1">
      <alignment vertical="center" wrapText="1"/>
    </xf>
    <xf numFmtId="0" fontId="7" fillId="0" borderId="1" xfId="0" applyFont="1" applyFill="1" applyBorder="1" applyAlignment="1">
      <alignment vertical="center"/>
    </xf>
    <xf numFmtId="0" fontId="8" fillId="0" borderId="1" xfId="0" applyFont="1" applyFill="1" applyBorder="1" applyAlignment="1">
      <alignment horizontal="center" vertical="center"/>
    </xf>
    <xf numFmtId="165" fontId="8" fillId="0" borderId="1" xfId="0" applyNumberFormat="1" applyFont="1" applyFill="1" applyBorder="1" applyAlignment="1">
      <alignment horizontal="center" vertical="center" wrapText="1"/>
    </xf>
    <xf numFmtId="165" fontId="7" fillId="0" borderId="1" xfId="0" applyNumberFormat="1" applyFont="1" applyFill="1" applyBorder="1" applyAlignment="1">
      <alignment vertical="center"/>
    </xf>
    <xf numFmtId="0" fontId="7" fillId="0" borderId="1" xfId="0" applyFont="1" applyFill="1" applyBorder="1" applyAlignment="1"/>
    <xf numFmtId="165" fontId="7" fillId="0" borderId="1" xfId="0" applyNumberFormat="1" applyFont="1" applyFill="1" applyBorder="1"/>
    <xf numFmtId="165" fontId="7" fillId="0" borderId="1" xfId="0" applyNumberFormat="1" applyFont="1" applyFill="1" applyBorder="1" applyAlignment="1">
      <alignment vertical="center" wrapText="1"/>
    </xf>
    <xf numFmtId="0" fontId="7" fillId="0" borderId="1" xfId="0" applyFont="1" applyFill="1" applyBorder="1" applyAlignment="1">
      <alignment wrapText="1"/>
    </xf>
    <xf numFmtId="165" fontId="7" fillId="0" borderId="1" xfId="1" applyNumberFormat="1" applyFont="1" applyFill="1" applyBorder="1" applyAlignment="1">
      <alignment vertical="center"/>
    </xf>
    <xf numFmtId="0" fontId="0" fillId="0" borderId="0" xfId="0" applyAlignment="1"/>
    <xf numFmtId="165" fontId="7"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Fill="1" applyBorder="1"/>
    <xf numFmtId="0" fontId="5" fillId="0" borderId="1" xfId="0" applyFont="1" applyFill="1" applyBorder="1" applyAlignment="1">
      <alignment horizontal="center" vertical="center" wrapText="1"/>
    </xf>
    <xf numFmtId="0" fontId="11" fillId="8" borderId="0" xfId="0" applyFont="1" applyFill="1"/>
    <xf numFmtId="0" fontId="11" fillId="8" borderId="0" xfId="0" applyFont="1" applyFill="1" applyAlignment="1">
      <alignment horizontal="center" vertical="center"/>
    </xf>
    <xf numFmtId="0" fontId="0" fillId="4" borderId="0" xfId="0" applyFill="1"/>
    <xf numFmtId="0" fontId="0" fillId="0" borderId="0" xfId="0" applyAlignment="1">
      <alignment wrapText="1"/>
    </xf>
    <xf numFmtId="0" fontId="0" fillId="9" borderId="0" xfId="0" applyFill="1"/>
    <xf numFmtId="0" fontId="14" fillId="0" borderId="0" xfId="0" applyFont="1" applyAlignment="1">
      <alignment horizontal="left" vertical="center"/>
    </xf>
    <xf numFmtId="0" fontId="14" fillId="0" borderId="0" xfId="0" applyFont="1" applyBorder="1" applyAlignment="1">
      <alignment horizontal="right"/>
    </xf>
    <xf numFmtId="0" fontId="15" fillId="10" borderId="6" xfId="0" applyFont="1" applyFill="1" applyBorder="1" applyAlignment="1">
      <alignment vertical="center"/>
    </xf>
    <xf numFmtId="0" fontId="14" fillId="0" borderId="0" xfId="0" applyFont="1" applyFill="1" applyBorder="1" applyAlignment="1"/>
    <xf numFmtId="165" fontId="14" fillId="0" borderId="0" xfId="0" applyNumberFormat="1" applyFont="1" applyBorder="1" applyAlignment="1"/>
    <xf numFmtId="0" fontId="14" fillId="0" borderId="0" xfId="0" applyFont="1" applyBorder="1" applyAlignment="1">
      <alignment horizontal="center"/>
    </xf>
    <xf numFmtId="0" fontId="14" fillId="0" borderId="0" xfId="0" applyFont="1" applyBorder="1" applyAlignment="1">
      <alignment horizontal="center" vertical="center"/>
    </xf>
    <xf numFmtId="0" fontId="5" fillId="0" borderId="0" xfId="0" applyFont="1"/>
    <xf numFmtId="0" fontId="5" fillId="0" borderId="0" xfId="0" applyFont="1" applyAlignment="1">
      <alignment horizontal="center" vertical="center"/>
    </xf>
    <xf numFmtId="0" fontId="14" fillId="0" borderId="0" xfId="0" applyFont="1" applyBorder="1" applyAlignment="1"/>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16" fillId="3" borderId="8" xfId="0" applyFont="1" applyFill="1" applyBorder="1" applyAlignment="1">
      <alignment horizontal="center" vertical="center" wrapText="1"/>
    </xf>
    <xf numFmtId="165" fontId="14" fillId="3" borderId="8" xfId="0" applyNumberFormat="1" applyFont="1" applyFill="1" applyBorder="1" applyAlignment="1">
      <alignment horizontal="center" vertical="center" wrapText="1"/>
    </xf>
    <xf numFmtId="0" fontId="10" fillId="11" borderId="8"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justify" vertical="center" wrapText="1"/>
    </xf>
    <xf numFmtId="0" fontId="5" fillId="0" borderId="3" xfId="0" applyFont="1" applyBorder="1" applyAlignment="1">
      <alignment wrapText="1"/>
    </xf>
    <xf numFmtId="0" fontId="19"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20" fillId="0" borderId="3" xfId="0" applyFont="1" applyBorder="1"/>
    <xf numFmtId="0" fontId="17" fillId="0" borderId="3" xfId="0" applyFont="1" applyBorder="1" applyAlignment="1">
      <alignment horizontal="center" vertical="center"/>
    </xf>
    <xf numFmtId="0" fontId="5" fillId="0" borderId="1" xfId="0" applyFont="1" applyBorder="1" applyAlignment="1">
      <alignment horizontal="center" vertical="center"/>
    </xf>
    <xf numFmtId="2" fontId="5" fillId="3" borderId="3" xfId="0" applyNumberFormat="1" applyFont="1" applyFill="1" applyBorder="1"/>
    <xf numFmtId="0" fontId="5" fillId="2" borderId="3" xfId="0" applyFont="1" applyFill="1" applyBorder="1" applyAlignment="1">
      <alignment horizontal="justify" vertical="center" wrapText="1"/>
    </xf>
    <xf numFmtId="0" fontId="5" fillId="2" borderId="3" xfId="0" applyFont="1" applyFill="1" applyBorder="1" applyAlignment="1">
      <alignment wrapText="1"/>
    </xf>
    <xf numFmtId="0" fontId="5" fillId="2" borderId="3" xfId="0" applyFont="1" applyFill="1" applyBorder="1" applyAlignment="1">
      <alignment horizontal="center" vertical="center" wrapText="1"/>
    </xf>
    <xf numFmtId="0" fontId="14" fillId="2" borderId="0" xfId="0" applyFont="1" applyFill="1" applyAlignment="1">
      <alignment horizontal="left" vertical="center"/>
    </xf>
    <xf numFmtId="0" fontId="5" fillId="0" borderId="0" xfId="0" applyFont="1" applyAlignment="1"/>
    <xf numFmtId="165" fontId="5" fillId="0" borderId="0" xfId="0" applyNumberFormat="1" applyFont="1" applyAlignment="1"/>
    <xf numFmtId="0" fontId="5" fillId="0" borderId="0" xfId="0" applyFont="1" applyAlignment="1">
      <alignment horizontal="center"/>
    </xf>
    <xf numFmtId="0" fontId="5" fillId="0" borderId="0" xfId="0" applyFont="1" applyFill="1" applyAlignment="1">
      <alignment horizontal="left" vertical="center"/>
    </xf>
    <xf numFmtId="0" fontId="16" fillId="0" borderId="11" xfId="0" applyFont="1" applyBorder="1" applyAlignment="1">
      <alignment horizontal="center" vertical="center"/>
    </xf>
    <xf numFmtId="0" fontId="14" fillId="5" borderId="12" xfId="0" applyFont="1" applyFill="1" applyBorder="1" applyAlignment="1">
      <alignment horizontal="center" vertical="center" wrapText="1"/>
    </xf>
    <xf numFmtId="0" fontId="10" fillId="7" borderId="13" xfId="0" applyFont="1" applyFill="1" applyBorder="1" applyAlignment="1">
      <alignment horizontal="center" vertical="center"/>
    </xf>
    <xf numFmtId="0" fontId="14" fillId="0" borderId="7" xfId="0" applyFont="1" applyBorder="1" applyAlignment="1"/>
    <xf numFmtId="0" fontId="14" fillId="0" borderId="8" xfId="0" applyFont="1" applyBorder="1" applyAlignment="1">
      <alignment horizontal="center" vertical="center"/>
    </xf>
    <xf numFmtId="0" fontId="14" fillId="0" borderId="8" xfId="0" applyFont="1" applyBorder="1" applyAlignment="1">
      <alignment horizontal="center" vertical="center" wrapText="1"/>
    </xf>
    <xf numFmtId="0" fontId="14" fillId="5" borderId="8" xfId="0" applyFont="1" applyFill="1" applyBorder="1" applyAlignment="1">
      <alignment horizontal="center" vertical="center" wrapText="1"/>
    </xf>
    <xf numFmtId="0" fontId="10" fillId="7" borderId="9" xfId="0" applyFont="1" applyFill="1" applyBorder="1" applyAlignment="1">
      <alignment horizontal="center" vertical="center"/>
    </xf>
    <xf numFmtId="0" fontId="14" fillId="12" borderId="14" xfId="0" applyFont="1" applyFill="1" applyBorder="1" applyAlignment="1">
      <alignment horizontal="center" vertical="center"/>
    </xf>
    <xf numFmtId="0" fontId="15" fillId="0" borderId="0" xfId="0" applyFont="1" applyAlignment="1"/>
    <xf numFmtId="0" fontId="5" fillId="13" borderId="15" xfId="0" applyFont="1" applyFill="1" applyBorder="1" applyAlignment="1"/>
    <xf numFmtId="0" fontId="14" fillId="3" borderId="1" xfId="0" applyFont="1" applyFill="1" applyBorder="1" applyAlignment="1">
      <alignment horizontal="center" vertical="center"/>
    </xf>
    <xf numFmtId="0" fontId="5" fillId="0" borderId="16" xfId="0" applyFont="1" applyBorder="1" applyAlignment="1">
      <alignment horizontal="center" vertical="center"/>
    </xf>
    <xf numFmtId="0" fontId="5" fillId="13" borderId="17" xfId="0" applyFont="1" applyFill="1" applyBorder="1" applyAlignment="1"/>
    <xf numFmtId="0" fontId="14" fillId="0" borderId="18" xfId="0" applyFont="1" applyBorder="1" applyAlignment="1">
      <alignment horizontal="center" vertical="center"/>
    </xf>
    <xf numFmtId="0" fontId="5" fillId="0" borderId="3" xfId="0" applyFont="1" applyBorder="1" applyAlignment="1">
      <alignment horizontal="center"/>
    </xf>
    <xf numFmtId="0" fontId="5" fillId="0" borderId="19" xfId="0" applyFont="1" applyBorder="1" applyAlignment="1">
      <alignment horizontal="center" vertical="center"/>
    </xf>
    <xf numFmtId="0" fontId="5" fillId="12" borderId="20" xfId="0" applyFont="1" applyFill="1" applyBorder="1" applyAlignment="1">
      <alignment horizontal="center" vertical="center"/>
    </xf>
    <xf numFmtId="0" fontId="5" fillId="5" borderId="21" xfId="0" applyFont="1" applyFill="1" applyBorder="1" applyAlignment="1"/>
    <xf numFmtId="0" fontId="5" fillId="0" borderId="4" xfId="0" applyFont="1" applyBorder="1" applyAlignment="1">
      <alignment horizontal="center" vertical="center"/>
    </xf>
    <xf numFmtId="0" fontId="14" fillId="3" borderId="22" xfId="0" applyFont="1" applyFill="1" applyBorder="1" applyAlignment="1">
      <alignment horizontal="center" vertical="center"/>
    </xf>
    <xf numFmtId="0" fontId="5" fillId="0" borderId="23" xfId="0" applyFont="1" applyBorder="1" applyAlignment="1">
      <alignment horizontal="center" vertical="center"/>
    </xf>
    <xf numFmtId="0" fontId="5" fillId="5" borderId="24" xfId="0" applyFont="1" applyFill="1" applyBorder="1" applyAlignment="1"/>
    <xf numFmtId="0" fontId="14" fillId="0" borderId="25" xfId="0" applyFont="1" applyBorder="1" applyAlignment="1">
      <alignment horizontal="center" vertical="center"/>
    </xf>
    <xf numFmtId="0" fontId="5" fillId="0" borderId="26" xfId="0" applyFont="1" applyBorder="1" applyAlignment="1">
      <alignment horizont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12" borderId="28" xfId="0" applyFont="1" applyFill="1" applyBorder="1" applyAlignment="1">
      <alignment horizontal="center" vertical="center"/>
    </xf>
    <xf numFmtId="0" fontId="14" fillId="0" borderId="25" xfId="0" applyFont="1" applyBorder="1" applyAlignment="1">
      <alignment horizontal="right"/>
    </xf>
    <xf numFmtId="0" fontId="14" fillId="0" borderId="29" xfId="0" applyFont="1" applyBorder="1" applyAlignment="1">
      <alignment horizont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0" xfId="0" applyFont="1" applyFill="1" applyBorder="1" applyAlignment="1">
      <alignment horizontal="right" vertical="center" wrapText="1"/>
    </xf>
    <xf numFmtId="0" fontId="5" fillId="3" borderId="25"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14" fillId="3" borderId="33" xfId="0" applyFont="1" applyFill="1" applyBorder="1" applyAlignment="1">
      <alignment horizontal="center" vertical="center"/>
    </xf>
    <xf numFmtId="0" fontId="14" fillId="0" borderId="34" xfId="0" applyFont="1" applyFill="1" applyBorder="1" applyAlignment="1">
      <alignment horizontal="right" vertical="center" wrapText="1"/>
    </xf>
    <xf numFmtId="0" fontId="14" fillId="3" borderId="6" xfId="0" applyFont="1" applyFill="1" applyBorder="1" applyAlignment="1">
      <alignment horizontal="center" vertical="center"/>
    </xf>
    <xf numFmtId="0" fontId="5" fillId="0" borderId="0" xfId="0" applyFont="1" applyFill="1" applyBorder="1" applyAlignment="1">
      <alignment horizontal="center" vertical="center"/>
    </xf>
    <xf numFmtId="0" fontId="14" fillId="14" borderId="35" xfId="0" applyFont="1" applyFill="1" applyBorder="1" applyAlignment="1">
      <alignment horizontal="center" vertical="center"/>
    </xf>
    <xf numFmtId="165" fontId="5" fillId="0" borderId="0" xfId="0" applyNumberFormat="1" applyFont="1" applyFill="1" applyBorder="1" applyAlignment="1"/>
    <xf numFmtId="0" fontId="9" fillId="0" borderId="0" xfId="0" applyFont="1" applyFill="1" applyBorder="1"/>
    <xf numFmtId="0" fontId="5" fillId="0" borderId="0" xfId="0" applyFont="1" applyFill="1" applyBorder="1"/>
    <xf numFmtId="0" fontId="16" fillId="14" borderId="36" xfId="0" applyFont="1" applyFill="1" applyBorder="1" applyAlignment="1">
      <alignment horizontal="center" vertical="center"/>
    </xf>
    <xf numFmtId="0" fontId="14" fillId="5" borderId="37" xfId="0" applyFont="1" applyFill="1" applyBorder="1" applyAlignment="1">
      <alignment horizontal="center" vertical="center" wrapText="1"/>
    </xf>
    <xf numFmtId="0" fontId="14" fillId="0" borderId="0" xfId="0" applyFont="1" applyAlignment="1">
      <alignment horizontal="right"/>
    </xf>
    <xf numFmtId="0" fontId="21" fillId="15" borderId="0" xfId="0" applyFont="1" applyFill="1" applyAlignment="1"/>
    <xf numFmtId="0" fontId="5" fillId="14" borderId="20" xfId="0" applyFont="1" applyFill="1" applyBorder="1"/>
    <xf numFmtId="0" fontId="5" fillId="0" borderId="38" xfId="0" applyFont="1" applyBorder="1" applyAlignment="1">
      <alignment horizontal="center" vertical="center"/>
    </xf>
    <xf numFmtId="0" fontId="5" fillId="14" borderId="40" xfId="0" applyFont="1" applyFill="1" applyBorder="1"/>
    <xf numFmtId="0" fontId="5" fillId="0" borderId="22" xfId="0" applyFont="1" applyBorder="1" applyAlignment="1">
      <alignment horizontal="center" vertical="center"/>
    </xf>
    <xf numFmtId="0" fontId="5" fillId="0" borderId="4" xfId="0" applyFont="1" applyBorder="1" applyAlignment="1">
      <alignment horizontal="center" vertical="center" wrapText="1"/>
    </xf>
    <xf numFmtId="0" fontId="17" fillId="13" borderId="21" xfId="0" applyFont="1" applyFill="1" applyBorder="1" applyAlignment="1">
      <alignment horizontal="center"/>
    </xf>
    <xf numFmtId="0" fontId="17" fillId="5" borderId="4" xfId="0" applyFont="1" applyFill="1" applyBorder="1" applyAlignment="1">
      <alignment horizontal="center"/>
    </xf>
    <xf numFmtId="0" fontId="14" fillId="3" borderId="4" xfId="0" applyFont="1" applyFill="1" applyBorder="1" applyAlignment="1">
      <alignment horizontal="center" vertical="center"/>
    </xf>
    <xf numFmtId="0" fontId="14" fillId="3" borderId="23" xfId="0" applyFont="1" applyFill="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0" fillId="0" borderId="18" xfId="0" applyBorder="1"/>
    <xf numFmtId="0" fontId="5" fillId="0" borderId="18" xfId="0" applyFont="1" applyBorder="1" applyAlignment="1">
      <alignment horizontal="center" vertical="center"/>
    </xf>
    <xf numFmtId="0" fontId="5" fillId="6" borderId="6" xfId="0" applyFont="1" applyFill="1" applyBorder="1" applyAlignment="1">
      <alignment horizontal="center" vertical="center"/>
    </xf>
    <xf numFmtId="0" fontId="0" fillId="0" borderId="15" xfId="0" applyBorder="1" applyAlignment="1">
      <alignment wrapText="1"/>
    </xf>
    <xf numFmtId="0" fontId="5" fillId="0" borderId="15" xfId="0" applyFont="1" applyBorder="1" applyAlignment="1">
      <alignment horizontal="center" vertical="center"/>
    </xf>
    <xf numFmtId="0" fontId="0" fillId="0" borderId="15" xfId="0" applyBorder="1"/>
    <xf numFmtId="0" fontId="14" fillId="7" borderId="35" xfId="0" applyFont="1" applyFill="1" applyBorder="1" applyAlignment="1">
      <alignment horizontal="center" vertical="center"/>
    </xf>
    <xf numFmtId="0" fontId="16" fillId="14" borderId="41" xfId="0" applyFont="1" applyFill="1" applyBorder="1" applyAlignment="1">
      <alignment horizontal="center" vertical="center"/>
    </xf>
    <xf numFmtId="0" fontId="14" fillId="5" borderId="7" xfId="0" applyFont="1" applyFill="1" applyBorder="1" applyAlignment="1">
      <alignment horizontal="center" vertical="center" wrapText="1"/>
    </xf>
    <xf numFmtId="0" fontId="5" fillId="14" borderId="42" xfId="0" applyFont="1" applyFill="1" applyBorder="1"/>
    <xf numFmtId="0" fontId="5" fillId="14" borderId="43" xfId="0" applyFont="1" applyFill="1" applyBorder="1"/>
    <xf numFmtId="0" fontId="5" fillId="0" borderId="21" xfId="0" applyFont="1" applyBorder="1" applyAlignment="1">
      <alignment horizontal="center" vertical="center"/>
    </xf>
    <xf numFmtId="0" fontId="5" fillId="0" borderId="44" xfId="0" applyFont="1" applyBorder="1" applyAlignment="1">
      <alignment horizontal="center" vertical="center"/>
    </xf>
    <xf numFmtId="0" fontId="5" fillId="6" borderId="33" xfId="0" applyFont="1" applyFill="1" applyBorder="1" applyAlignment="1">
      <alignment horizontal="center" vertical="center"/>
    </xf>
    <xf numFmtId="0" fontId="0" fillId="0" borderId="21" xfId="0" applyBorder="1"/>
    <xf numFmtId="0" fontId="15" fillId="0" borderId="0" xfId="0" applyFont="1" applyAlignment="1">
      <alignment horizontal="right"/>
    </xf>
    <xf numFmtId="0" fontId="5" fillId="3" borderId="31"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22" fillId="0" borderId="21" xfId="0" applyFont="1" applyBorder="1" applyAlignment="1">
      <alignment horizontal="center" vertical="center"/>
    </xf>
    <xf numFmtId="0" fontId="17" fillId="13" borderId="4" xfId="0" applyFont="1" applyFill="1" applyBorder="1" applyAlignment="1"/>
    <xf numFmtId="0" fontId="17" fillId="5" borderId="4" xfId="0" applyFont="1" applyFill="1" applyBorder="1" applyAlignment="1"/>
    <xf numFmtId="165" fontId="14" fillId="0" borderId="23" xfId="0" applyNumberFormat="1" applyFont="1" applyBorder="1" applyAlignment="1">
      <alignment horizontal="center" vertical="center"/>
    </xf>
    <xf numFmtId="167" fontId="5" fillId="0" borderId="19" xfId="2" applyNumberFormat="1" applyFont="1" applyBorder="1" applyAlignment="1">
      <alignment horizontal="center" vertical="center"/>
    </xf>
    <xf numFmtId="167" fontId="5" fillId="0" borderId="19" xfId="2" applyNumberFormat="1" applyFont="1" applyFill="1" applyBorder="1" applyAlignment="1">
      <alignment horizontal="center" vertical="center"/>
    </xf>
    <xf numFmtId="167" fontId="5" fillId="0" borderId="23" xfId="2" applyNumberFormat="1" applyFont="1" applyBorder="1" applyAlignment="1">
      <alignment horizontal="center" vertical="center"/>
    </xf>
    <xf numFmtId="0" fontId="5" fillId="0" borderId="45" xfId="0" applyFont="1" applyBorder="1" applyAlignment="1">
      <alignment horizontal="center" vertical="center"/>
    </xf>
    <xf numFmtId="0" fontId="5" fillId="0" borderId="46" xfId="2" applyNumberFormat="1" applyFont="1" applyBorder="1" applyAlignment="1">
      <alignment horizontal="center" vertical="center"/>
    </xf>
    <xf numFmtId="167" fontId="5" fillId="0" borderId="47" xfId="2" applyNumberFormat="1" applyFont="1" applyBorder="1" applyAlignment="1">
      <alignment horizontal="center" vertical="center"/>
    </xf>
    <xf numFmtId="0" fontId="5" fillId="0" borderId="45" xfId="0" applyFont="1" applyFill="1" applyBorder="1" applyAlignment="1">
      <alignment horizontal="center" vertical="center"/>
    </xf>
    <xf numFmtId="167" fontId="5" fillId="0" borderId="45" xfId="2" applyNumberFormat="1"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Alignment="1">
      <alignment horizontal="center" vertical="center"/>
    </xf>
    <xf numFmtId="0" fontId="0" fillId="0" borderId="1" xfId="0" applyFill="1" applyBorder="1"/>
    <xf numFmtId="14" fontId="0" fillId="0" borderId="1" xfId="0" applyNumberFormat="1" applyFill="1" applyBorder="1"/>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2" borderId="31" xfId="0" applyNumberFormat="1" applyFont="1" applyFill="1" applyBorder="1" applyAlignment="1">
      <alignment horizontal="center" vertical="center"/>
    </xf>
    <xf numFmtId="0" fontId="5" fillId="3" borderId="48" xfId="0" applyFont="1" applyFill="1" applyBorder="1" applyAlignment="1">
      <alignment horizontal="center" vertical="center"/>
    </xf>
    <xf numFmtId="0" fontId="5" fillId="0" borderId="17" xfId="0" applyFont="1" applyBorder="1" applyAlignment="1">
      <alignment horizontal="center" vertical="center"/>
    </xf>
    <xf numFmtId="0" fontId="14" fillId="2" borderId="8" xfId="0" applyFont="1" applyFill="1" applyBorder="1" applyAlignment="1">
      <alignment horizontal="center" vertical="center" wrapText="1"/>
    </xf>
    <xf numFmtId="0" fontId="14" fillId="3" borderId="32" xfId="0" applyFont="1" applyFill="1" applyBorder="1" applyAlignment="1">
      <alignment horizontal="center" vertical="center"/>
    </xf>
    <xf numFmtId="0" fontId="14" fillId="2" borderId="33" xfId="0" applyFont="1" applyFill="1" applyBorder="1" applyAlignment="1">
      <alignment horizontal="center" vertical="center"/>
    </xf>
    <xf numFmtId="0" fontId="5" fillId="0" borderId="20" xfId="0" applyFont="1" applyBorder="1" applyAlignment="1">
      <alignment horizontal="center" vertical="center"/>
    </xf>
    <xf numFmtId="0" fontId="5" fillId="0" borderId="1" xfId="0" applyFont="1" applyBorder="1" applyAlignment="1">
      <alignment vertical="top"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4" fillId="0" borderId="0" xfId="0" applyFont="1"/>
    <xf numFmtId="0" fontId="0" fillId="0" borderId="1" xfId="0" applyBorder="1"/>
    <xf numFmtId="0" fontId="0" fillId="0" borderId="1" xfId="0" applyBorder="1" applyAlignment="1">
      <alignment wrapText="1"/>
    </xf>
    <xf numFmtId="0" fontId="0" fillId="0" borderId="1" xfId="0" applyBorder="1" applyAlignment="1">
      <alignment horizontal="justify" vertical="top"/>
    </xf>
    <xf numFmtId="0" fontId="11" fillId="3" borderId="1" xfId="0" applyFont="1" applyFill="1" applyBorder="1" applyAlignment="1">
      <alignment horizontal="center"/>
    </xf>
    <xf numFmtId="0" fontId="11" fillId="3" borderId="3" xfId="0" applyFont="1" applyFill="1" applyBorder="1" applyAlignment="1">
      <alignment horizontal="center"/>
    </xf>
    <xf numFmtId="14" fontId="0" fillId="0" borderId="1" xfId="0" applyNumberFormat="1" applyBorder="1" applyAlignment="1">
      <alignment horizontal="justify" vertical="top" wrapText="1"/>
    </xf>
    <xf numFmtId="14" fontId="0" fillId="0" borderId="1" xfId="0" applyNumberFormat="1" applyBorder="1"/>
    <xf numFmtId="0" fontId="25" fillId="17"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xf>
    <xf numFmtId="0" fontId="5" fillId="17" borderId="1" xfId="0" applyFont="1" applyFill="1" applyBorder="1" applyAlignment="1">
      <alignment vertical="center" wrapText="1"/>
    </xf>
    <xf numFmtId="0" fontId="19" fillId="0" borderId="1" xfId="0" applyFont="1" applyBorder="1" applyAlignment="1">
      <alignment horizontal="center" vertical="center" wrapText="1"/>
    </xf>
    <xf numFmtId="166" fontId="19" fillId="0" borderId="1" xfId="0" applyNumberFormat="1" applyFont="1" applyBorder="1" applyAlignment="1">
      <alignment horizontal="center" vertical="center"/>
    </xf>
    <xf numFmtId="0" fontId="5" fillId="0" borderId="3" xfId="0" applyFont="1" applyBorder="1" applyAlignment="1">
      <alignment horizontal="left" vertical="center" wrapText="1"/>
    </xf>
    <xf numFmtId="0" fontId="16" fillId="4" borderId="55" xfId="0" applyFont="1" applyFill="1" applyBorder="1" applyAlignment="1">
      <alignment horizontal="center" vertical="center" wrapText="1"/>
    </xf>
    <xf numFmtId="0" fontId="17" fillId="13" borderId="22" xfId="0" applyFont="1" applyFill="1" applyBorder="1" applyAlignment="1">
      <alignment horizontal="center" vertical="center"/>
    </xf>
    <xf numFmtId="0" fontId="5" fillId="0" borderId="8" xfId="0" applyFont="1" applyBorder="1" applyAlignment="1">
      <alignment horizontal="center" vertical="center" wrapText="1"/>
    </xf>
    <xf numFmtId="0" fontId="16" fillId="3" borderId="59" xfId="0" applyFont="1" applyFill="1" applyBorder="1" applyAlignment="1">
      <alignment horizontal="center" vertical="center" wrapText="1"/>
    </xf>
    <xf numFmtId="0" fontId="5" fillId="19" borderId="3" xfId="0" applyFont="1" applyFill="1" applyBorder="1" applyAlignment="1">
      <alignment horizontal="center" vertical="center"/>
    </xf>
    <xf numFmtId="14" fontId="0" fillId="0" borderId="1" xfId="0" applyNumberFormat="1" applyFill="1" applyBorder="1" applyAlignment="1">
      <alignment horizontal="justify" vertical="top" wrapText="1"/>
    </xf>
    <xf numFmtId="0" fontId="0" fillId="0" borderId="1" xfId="0" applyFill="1" applyBorder="1" applyAlignment="1">
      <alignment horizontal="justify" vertical="top"/>
    </xf>
    <xf numFmtId="169" fontId="25" fillId="0" borderId="1" xfId="0" applyNumberFormat="1" applyFont="1" applyFill="1" applyBorder="1" applyAlignment="1">
      <alignment horizontal="center" vertical="center" wrapText="1"/>
    </xf>
    <xf numFmtId="0" fontId="16" fillId="0" borderId="60" xfId="0" applyFont="1" applyBorder="1" applyAlignment="1">
      <alignment horizontal="center" vertical="center"/>
    </xf>
    <xf numFmtId="14" fontId="0" fillId="0" borderId="61" xfId="0" applyNumberFormat="1" applyBorder="1"/>
    <xf numFmtId="0" fontId="0" fillId="0" borderId="1" xfId="0" applyFill="1" applyBorder="1" applyAlignment="1">
      <alignment wrapText="1"/>
    </xf>
    <xf numFmtId="0" fontId="25" fillId="0" borderId="1" xfId="0" applyFont="1" applyFill="1" applyBorder="1" applyAlignment="1">
      <alignment horizontal="center" vertical="center" wrapText="1"/>
    </xf>
    <xf numFmtId="14" fontId="0" fillId="0" borderId="51" xfId="0" applyNumberFormat="1" applyFill="1" applyBorder="1" applyAlignment="1">
      <alignment horizontal="justify" vertical="top" wrapText="1"/>
    </xf>
    <xf numFmtId="0" fontId="0" fillId="0" borderId="2" xfId="0" applyFill="1" applyBorder="1" applyAlignment="1">
      <alignment wrapText="1"/>
    </xf>
    <xf numFmtId="0" fontId="5" fillId="0" borderId="1" xfId="0" applyFont="1" applyBorder="1" applyAlignment="1">
      <alignment horizontal="justify" vertical="top" wrapText="1"/>
    </xf>
    <xf numFmtId="0" fontId="17" fillId="0" borderId="1" xfId="0" applyFont="1" applyFill="1" applyBorder="1" applyAlignment="1">
      <alignment horizontal="center" vertical="center" wrapText="1"/>
    </xf>
    <xf numFmtId="0" fontId="0" fillId="0" borderId="1" xfId="0" applyFill="1" applyBorder="1" applyAlignment="1">
      <alignment horizontal="justify" vertical="top" wrapText="1"/>
    </xf>
    <xf numFmtId="14" fontId="0" fillId="0" borderId="1" xfId="0" applyNumberFormat="1" applyBorder="1" applyAlignment="1">
      <alignment vertical="center"/>
    </xf>
    <xf numFmtId="0" fontId="0" fillId="0" borderId="1" xfId="0" applyBorder="1" applyAlignment="1">
      <alignment horizontal="center" vertical="center"/>
    </xf>
    <xf numFmtId="0" fontId="10" fillId="11" borderId="59" xfId="0" applyFont="1" applyFill="1" applyBorder="1" applyAlignment="1">
      <alignment horizontal="center" vertical="center" wrapText="1"/>
    </xf>
    <xf numFmtId="0" fontId="5" fillId="0" borderId="62" xfId="0" applyFont="1" applyBorder="1" applyAlignment="1">
      <alignment vertical="top" wrapText="1"/>
    </xf>
    <xf numFmtId="0" fontId="5" fillId="0" borderId="62" xfId="0" applyFont="1" applyBorder="1" applyAlignment="1">
      <alignment horizontal="justify" vertical="top" wrapText="1"/>
    </xf>
    <xf numFmtId="0" fontId="17" fillId="0" borderId="62" xfId="0" applyFont="1" applyBorder="1" applyAlignment="1">
      <alignment vertical="top"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xf>
    <xf numFmtId="0" fontId="14" fillId="3" borderId="66" xfId="0" applyFont="1" applyFill="1" applyBorder="1" applyAlignment="1">
      <alignment horizontal="center" vertical="center" wrapText="1"/>
    </xf>
    <xf numFmtId="0" fontId="10" fillId="11" borderId="66" xfId="0" applyFont="1" applyFill="1" applyBorder="1" applyAlignment="1">
      <alignment horizontal="center" vertical="center" wrapText="1"/>
    </xf>
    <xf numFmtId="0" fontId="16" fillId="3" borderId="66" xfId="0" applyFont="1" applyFill="1" applyBorder="1" applyAlignment="1">
      <alignment horizontal="center" vertical="center" wrapText="1"/>
    </xf>
    <xf numFmtId="20" fontId="0" fillId="0" borderId="1" xfId="0" applyNumberFormat="1" applyBorder="1" applyAlignment="1">
      <alignment horizontal="justify" vertical="top" wrapText="1"/>
    </xf>
    <xf numFmtId="166" fontId="19" fillId="17" borderId="3" xfId="0" applyNumberFormat="1" applyFont="1" applyFill="1" applyBorder="1" applyAlignment="1">
      <alignment horizontal="center" vertical="center"/>
    </xf>
    <xf numFmtId="0" fontId="5" fillId="17" borderId="3" xfId="0" applyFont="1" applyFill="1" applyBorder="1" applyAlignment="1">
      <alignment horizontal="center" vertical="center"/>
    </xf>
    <xf numFmtId="169" fontId="25" fillId="17" borderId="1" xfId="0" applyNumberFormat="1" applyFont="1" applyFill="1" applyBorder="1" applyAlignment="1">
      <alignment horizontal="center" vertical="center" wrapText="1"/>
    </xf>
    <xf numFmtId="0" fontId="5" fillId="17" borderId="3"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27" fillId="20" borderId="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xf>
    <xf numFmtId="0" fontId="5" fillId="0" borderId="1" xfId="0" applyFont="1" applyBorder="1" applyAlignment="1">
      <alignment horizontal="center" vertical="center" wrapText="1"/>
    </xf>
    <xf numFmtId="0" fontId="19" fillId="0" borderId="1" xfId="0" applyFont="1" applyFill="1" applyBorder="1" applyAlignment="1">
      <alignment horizontal="center" vertical="center" wrapText="1"/>
    </xf>
    <xf numFmtId="18" fontId="0" fillId="0" borderId="1" xfId="0" applyNumberFormat="1" applyBorder="1" applyAlignment="1">
      <alignment horizontal="justify" vertical="top" wrapText="1"/>
    </xf>
    <xf numFmtId="169" fontId="23" fillId="0" borderId="1" xfId="0" applyNumberFormat="1" applyFont="1" applyFill="1" applyBorder="1" applyAlignment="1">
      <alignment horizontal="center" vertical="center" wrapText="1"/>
    </xf>
    <xf numFmtId="166" fontId="19" fillId="0" borderId="3" xfId="0" applyNumberFormat="1" applyFont="1" applyFill="1" applyBorder="1" applyAlignment="1">
      <alignment horizontal="center" vertical="center"/>
    </xf>
    <xf numFmtId="18" fontId="0" fillId="0" borderId="1" xfId="0" applyNumberFormat="1" applyFill="1" applyBorder="1" applyAlignment="1">
      <alignment horizontal="justify" vertical="top" wrapText="1"/>
    </xf>
    <xf numFmtId="0" fontId="29" fillId="0" borderId="0" xfId="0" applyFont="1"/>
    <xf numFmtId="0" fontId="29" fillId="0" borderId="0" xfId="0" applyFont="1" applyAlignment="1">
      <alignment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62" xfId="0" applyFont="1" applyFill="1" applyBorder="1" applyAlignment="1">
      <alignment horizontal="justify" vertical="top" wrapText="1"/>
    </xf>
    <xf numFmtId="14"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xf>
    <xf numFmtId="0" fontId="5" fillId="0" borderId="1" xfId="0" applyFont="1" applyBorder="1" applyAlignment="1">
      <alignment horizontal="center" vertical="center" wrapText="1"/>
    </xf>
    <xf numFmtId="0" fontId="17" fillId="0" borderId="1" xfId="0" applyFont="1" applyBorder="1" applyAlignment="1">
      <alignment horizontal="center" vertical="center"/>
    </xf>
    <xf numFmtId="0" fontId="5" fillId="0" borderId="3" xfId="0" applyFont="1" applyFill="1" applyBorder="1" applyAlignment="1">
      <alignment horizontal="center" vertical="center"/>
    </xf>
    <xf numFmtId="0" fontId="17" fillId="0" borderId="2" xfId="0" applyFont="1" applyFill="1" applyBorder="1" applyAlignment="1">
      <alignment horizontal="center" vertical="center" wrapText="1"/>
    </xf>
    <xf numFmtId="0" fontId="5" fillId="0" borderId="17" xfId="0" applyFont="1" applyFill="1" applyBorder="1" applyAlignment="1">
      <alignment horizontal="center" vertical="center"/>
    </xf>
    <xf numFmtId="2" fontId="5" fillId="0" borderId="3" xfId="0" applyNumberFormat="1" applyFont="1" applyFill="1" applyBorder="1" applyAlignment="1">
      <alignment horizontal="center" vertical="center" wrapText="1"/>
    </xf>
    <xf numFmtId="0" fontId="5" fillId="0" borderId="0" xfId="0" applyFont="1" applyFill="1"/>
    <xf numFmtId="0" fontId="5" fillId="3" borderId="25"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14" fillId="3" borderId="25" xfId="0" applyFont="1" applyFill="1" applyBorder="1" applyAlignment="1">
      <alignment horizontal="center" vertical="center" wrapText="1"/>
    </xf>
    <xf numFmtId="0" fontId="14" fillId="0" borderId="14" xfId="0" applyFont="1" applyBorder="1" applyAlignment="1">
      <alignment horizontal="center" vertical="center" wrapText="1"/>
    </xf>
    <xf numFmtId="0" fontId="14" fillId="2" borderId="33" xfId="0" applyFont="1" applyFill="1" applyBorder="1" applyAlignment="1">
      <alignment horizontal="center" vertical="center" wrapText="1"/>
    </xf>
    <xf numFmtId="0" fontId="10" fillId="7" borderId="54" xfId="0" applyFont="1" applyFill="1" applyBorder="1" applyAlignment="1">
      <alignment horizontal="center" vertical="center"/>
    </xf>
    <xf numFmtId="0" fontId="5" fillId="0" borderId="63" xfId="0" applyFont="1" applyBorder="1" applyAlignment="1">
      <alignment horizontal="center" vertical="center"/>
    </xf>
    <xf numFmtId="0" fontId="5" fillId="0" borderId="67" xfId="0" applyFont="1" applyBorder="1" applyAlignment="1">
      <alignment horizontal="center" vertical="center"/>
    </xf>
    <xf numFmtId="0" fontId="5" fillId="3" borderId="6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3" borderId="32" xfId="0" applyFont="1" applyFill="1" applyBorder="1" applyAlignment="1">
      <alignment horizontal="center" vertical="center" wrapText="1"/>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69" fontId="25"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wrapText="1"/>
    </xf>
    <xf numFmtId="0" fontId="5" fillId="22" borderId="0" xfId="0" applyFont="1" applyFill="1" applyAlignment="1">
      <alignment horizontal="center" vertical="center"/>
    </xf>
    <xf numFmtId="0" fontId="5" fillId="22" borderId="16" xfId="0" applyFont="1" applyFill="1" applyBorder="1" applyAlignment="1">
      <alignment horizontal="center" vertical="center"/>
    </xf>
    <xf numFmtId="0" fontId="3" fillId="0" borderId="0" xfId="0" applyFont="1"/>
    <xf numFmtId="15" fontId="3" fillId="0" borderId="0" xfId="0" applyNumberFormat="1" applyFont="1"/>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3"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 fillId="0" borderId="1" xfId="0" applyFont="1" applyBorder="1" applyAlignment="1">
      <alignment wrapText="1"/>
    </xf>
    <xf numFmtId="0" fontId="3" fillId="0" borderId="3" xfId="0" applyFont="1" applyBorder="1" applyAlignment="1">
      <alignment horizontal="justify" vertical="justify"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15" fontId="3" fillId="0" borderId="3" xfId="0" applyNumberFormat="1" applyFont="1" applyBorder="1" applyAlignment="1">
      <alignment horizontal="center" vertical="center"/>
    </xf>
    <xf numFmtId="15" fontId="3" fillId="0" borderId="1" xfId="0" applyNumberFormat="1"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4" fontId="23" fillId="0" borderId="3" xfId="0" applyNumberFormat="1" applyFont="1" applyFill="1" applyBorder="1" applyAlignment="1">
      <alignment horizontal="center" vertical="center" wrapText="1"/>
    </xf>
    <xf numFmtId="0" fontId="5" fillId="0" borderId="64" xfId="0" applyFont="1" applyFill="1" applyBorder="1" applyAlignment="1">
      <alignment horizontal="center" vertical="center"/>
    </xf>
    <xf numFmtId="2" fontId="5" fillId="3" borderId="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14" fontId="0" fillId="0" borderId="1" xfId="0" applyNumberFormat="1" applyBorder="1" applyAlignment="1">
      <alignment wrapText="1"/>
    </xf>
    <xf numFmtId="20" fontId="0" fillId="0" borderId="1" xfId="0" applyNumberFormat="1" applyFill="1" applyBorder="1" applyAlignment="1">
      <alignment horizontal="justify" vertical="top" wrapText="1"/>
    </xf>
    <xf numFmtId="0" fontId="0" fillId="0" borderId="1" xfId="0" applyFill="1" applyBorder="1" applyAlignment="1">
      <alignment horizontal="center" vertical="top"/>
    </xf>
    <xf numFmtId="0" fontId="26" fillId="23" borderId="6" xfId="0" applyFont="1" applyFill="1" applyBorder="1" applyAlignment="1">
      <alignment horizontal="center" vertical="center"/>
    </xf>
    <xf numFmtId="0" fontId="19" fillId="0" borderId="21" xfId="0" applyFont="1" applyBorder="1" applyAlignment="1">
      <alignment horizontal="center" vertical="center" wrapText="1"/>
    </xf>
    <xf numFmtId="0" fontId="19" fillId="0" borderId="23" xfId="0" applyFont="1" applyBorder="1" applyAlignment="1">
      <alignment horizontal="center" vertical="center" wrapText="1"/>
    </xf>
    <xf numFmtId="0" fontId="5" fillId="21" borderId="4"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0" borderId="0" xfId="0" applyFont="1" applyBorder="1"/>
    <xf numFmtId="0" fontId="5" fillId="0" borderId="0" xfId="0" applyFont="1" applyBorder="1" applyAlignment="1">
      <alignment vertical="center"/>
    </xf>
    <xf numFmtId="0" fontId="5" fillId="0" borderId="20" xfId="0" applyFont="1" applyBorder="1" applyAlignment="1">
      <alignment horizontal="center" vertical="center" wrapText="1"/>
    </xf>
    <xf numFmtId="0" fontId="5" fillId="0" borderId="20" xfId="0" applyFont="1" applyFill="1" applyBorder="1" applyAlignment="1">
      <alignment horizontal="center" vertical="center" wrapText="1"/>
    </xf>
    <xf numFmtId="0" fontId="5" fillId="0" borderId="36" xfId="0" applyFont="1" applyBorder="1" applyAlignment="1">
      <alignment horizontal="center" vertical="center"/>
    </xf>
    <xf numFmtId="0" fontId="5" fillId="0" borderId="36" xfId="0" applyFont="1" applyBorder="1" applyAlignment="1">
      <alignment horizontal="center" vertical="center" wrapText="1"/>
    </xf>
    <xf numFmtId="0" fontId="5" fillId="0" borderId="58" xfId="0" applyFont="1" applyBorder="1" applyAlignment="1">
      <alignment horizontal="center" vertical="center"/>
    </xf>
    <xf numFmtId="0" fontId="32" fillId="0" borderId="0" xfId="0" applyFont="1" applyAlignment="1">
      <alignment horizontal="right"/>
    </xf>
    <xf numFmtId="0" fontId="19" fillId="0" borderId="79" xfId="0" applyFont="1" applyBorder="1" applyAlignment="1">
      <alignment horizontal="center" vertical="center" wrapText="1"/>
    </xf>
    <xf numFmtId="14" fontId="0" fillId="0" borderId="0" xfId="0" applyNumberFormat="1" applyAlignment="1">
      <alignment horizontal="center"/>
    </xf>
    <xf numFmtId="0" fontId="5" fillId="18" borderId="3" xfId="0" applyFont="1" applyFill="1" applyBorder="1" applyAlignment="1">
      <alignment horizontal="center" vertical="center" wrapText="1"/>
    </xf>
    <xf numFmtId="0" fontId="19" fillId="13" borderId="75" xfId="0" applyFont="1" applyFill="1" applyBorder="1" applyAlignment="1">
      <alignment horizontal="center" vertical="center" wrapText="1"/>
    </xf>
    <xf numFmtId="0" fontId="19" fillId="5" borderId="67" xfId="0" applyFont="1" applyFill="1" applyBorder="1" applyAlignment="1">
      <alignment horizontal="center" vertical="center"/>
    </xf>
    <xf numFmtId="0" fontId="21" fillId="30" borderId="29" xfId="0" applyFont="1" applyFill="1" applyBorder="1" applyAlignment="1">
      <alignment horizontal="center" vertical="center"/>
    </xf>
    <xf numFmtId="0" fontId="19" fillId="0" borderId="75" xfId="0" applyFont="1" applyBorder="1" applyAlignment="1">
      <alignment horizontal="center" vertical="center" wrapText="1"/>
    </xf>
    <xf numFmtId="0" fontId="19" fillId="0" borderId="67" xfId="0" applyFont="1" applyBorder="1" applyAlignment="1">
      <alignment horizontal="center" vertical="center" wrapText="1"/>
    </xf>
    <xf numFmtId="0" fontId="14" fillId="31" borderId="75" xfId="0" applyFont="1" applyFill="1" applyBorder="1" applyAlignment="1">
      <alignment horizontal="center" vertical="center"/>
    </xf>
    <xf numFmtId="0" fontId="14" fillId="32" borderId="79" xfId="0" applyFont="1" applyFill="1" applyBorder="1" applyAlignment="1">
      <alignment horizontal="center" vertical="center"/>
    </xf>
    <xf numFmtId="0" fontId="21" fillId="29" borderId="86" xfId="0" applyFont="1" applyFill="1" applyBorder="1" applyAlignment="1">
      <alignment horizontal="center" vertical="center"/>
    </xf>
    <xf numFmtId="0" fontId="21" fillId="30" borderId="87" xfId="0" applyFont="1" applyFill="1" applyBorder="1" applyAlignment="1">
      <alignment horizontal="center" vertical="center"/>
    </xf>
    <xf numFmtId="0" fontId="21" fillId="29" borderId="87"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5" fillId="3" borderId="8" xfId="0" applyFont="1" applyFill="1" applyBorder="1" applyAlignment="1">
      <alignment horizontal="center" vertical="center" wrapText="1"/>
    </xf>
    <xf numFmtId="0" fontId="21" fillId="29" borderId="48" xfId="0" applyFont="1" applyFill="1" applyBorder="1" applyAlignment="1">
      <alignment horizontal="center" vertical="center"/>
    </xf>
    <xf numFmtId="0" fontId="21" fillId="29" borderId="32" xfId="0" applyFont="1" applyFill="1" applyBorder="1" applyAlignment="1">
      <alignment horizontal="center" vertical="center"/>
    </xf>
    <xf numFmtId="0" fontId="5" fillId="9" borderId="75" xfId="0" applyFont="1" applyFill="1" applyBorder="1" applyAlignment="1">
      <alignment horizontal="center" vertical="center" wrapText="1"/>
    </xf>
    <xf numFmtId="0" fontId="2" fillId="0" borderId="0" xfId="0" applyFont="1"/>
    <xf numFmtId="0" fontId="2" fillId="6" borderId="72" xfId="0" applyFont="1" applyFill="1" applyBorder="1" applyAlignment="1">
      <alignment vertical="center" wrapText="1"/>
    </xf>
    <xf numFmtId="0" fontId="2" fillId="6" borderId="15" xfId="0" applyFont="1" applyFill="1" applyBorder="1" applyAlignment="1">
      <alignment vertical="center" wrapText="1"/>
    </xf>
    <xf numFmtId="0" fontId="2" fillId="9" borderId="15" xfId="0" applyFont="1" applyFill="1" applyBorder="1" applyAlignment="1">
      <alignment vertical="center" wrapText="1"/>
    </xf>
    <xf numFmtId="0" fontId="2" fillId="27" borderId="15" xfId="0" applyFont="1" applyFill="1" applyBorder="1" applyAlignment="1">
      <alignment vertical="center" wrapText="1"/>
    </xf>
    <xf numFmtId="0" fontId="2" fillId="28" borderId="44" xfId="0" applyFont="1" applyFill="1" applyBorder="1" applyAlignment="1">
      <alignment vertical="center" wrapText="1"/>
    </xf>
    <xf numFmtId="15" fontId="2" fillId="0" borderId="6" xfId="0" applyNumberFormat="1" applyFont="1" applyBorder="1"/>
    <xf numFmtId="9" fontId="2" fillId="0" borderId="1" xfId="2" applyFont="1" applyBorder="1" applyAlignment="1">
      <alignment horizontal="center" vertical="center"/>
    </xf>
    <xf numFmtId="0" fontId="16" fillId="22" borderId="4" xfId="0" applyFont="1" applyFill="1" applyBorder="1" applyAlignment="1">
      <alignment horizontal="center" vertical="center" wrapText="1"/>
    </xf>
    <xf numFmtId="9" fontId="21" fillId="4" borderId="3" xfId="2" applyFont="1" applyFill="1" applyBorder="1" applyAlignment="1">
      <alignment horizontal="center" vertical="center"/>
    </xf>
    <xf numFmtId="9" fontId="2" fillId="0" borderId="73" xfId="2" applyFont="1" applyBorder="1" applyAlignment="1">
      <alignment horizontal="center" vertical="center"/>
    </xf>
    <xf numFmtId="9" fontId="2" fillId="0" borderId="4" xfId="2" applyFont="1" applyBorder="1" applyAlignment="1">
      <alignment horizontal="center" vertical="center"/>
    </xf>
    <xf numFmtId="0" fontId="33" fillId="0" borderId="67" xfId="0" applyFont="1" applyBorder="1" applyAlignment="1">
      <alignment horizontal="center" vertical="center"/>
    </xf>
    <xf numFmtId="0" fontId="19" fillId="0" borderId="0" xfId="0" applyFont="1" applyBorder="1" applyAlignment="1">
      <alignment horizontal="center" vertical="center" wrapText="1"/>
    </xf>
    <xf numFmtId="0" fontId="19" fillId="0" borderId="36" xfId="0" applyFont="1" applyBorder="1" applyAlignment="1">
      <alignment horizontal="center" vertical="center" wrapText="1"/>
    </xf>
    <xf numFmtId="0" fontId="37" fillId="20" borderId="0"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wrapText="1"/>
    </xf>
    <xf numFmtId="0" fontId="1" fillId="0" borderId="3" xfId="0" applyFont="1" applyBorder="1" applyAlignment="1">
      <alignment horizontal="center" vertical="center"/>
    </xf>
    <xf numFmtId="0" fontId="1" fillId="0" borderId="47" xfId="0" applyFont="1" applyBorder="1" applyAlignment="1">
      <alignment horizontal="center" vertical="center"/>
    </xf>
    <xf numFmtId="0" fontId="1" fillId="0" borderId="22" xfId="0" applyFont="1" applyBorder="1" applyAlignment="1">
      <alignment horizontal="center" vertical="center" wrapText="1"/>
    </xf>
    <xf numFmtId="0" fontId="1" fillId="0" borderId="18" xfId="0" applyFont="1" applyBorder="1" applyAlignment="1">
      <alignment horizontal="center" vertical="center"/>
    </xf>
    <xf numFmtId="0" fontId="21" fillId="0" borderId="69" xfId="0" applyFont="1" applyBorder="1" applyAlignment="1">
      <alignment horizontal="center" vertical="center"/>
    </xf>
    <xf numFmtId="0" fontId="21" fillId="0" borderId="0" xfId="0" applyFont="1" applyBorder="1" applyAlignment="1">
      <alignment horizontal="center" vertical="center"/>
    </xf>
    <xf numFmtId="0" fontId="1" fillId="0" borderId="0" xfId="0" applyFont="1" applyAlignment="1">
      <alignment horizontal="center" vertical="center"/>
    </xf>
    <xf numFmtId="0" fontId="21" fillId="15" borderId="6" xfId="0" applyFont="1" applyFill="1" applyBorder="1" applyAlignment="1">
      <alignment horizontal="center" vertical="center"/>
    </xf>
    <xf numFmtId="0" fontId="1" fillId="0" borderId="71" xfId="0" applyFont="1" applyBorder="1" applyAlignment="1">
      <alignment horizontal="center" vertical="center"/>
    </xf>
    <xf numFmtId="0" fontId="5" fillId="0" borderId="71" xfId="0" applyFont="1" applyBorder="1" applyAlignment="1">
      <alignment horizontal="center" vertical="center"/>
    </xf>
    <xf numFmtId="0" fontId="35" fillId="26" borderId="33" xfId="0" applyFont="1" applyFill="1" applyBorder="1" applyAlignment="1">
      <alignment horizontal="center" vertical="center"/>
    </xf>
    <xf numFmtId="0" fontId="21" fillId="29" borderId="29" xfId="0" applyFont="1" applyFill="1" applyBorder="1" applyAlignment="1">
      <alignment horizontal="center" vertical="center"/>
    </xf>
    <xf numFmtId="0" fontId="21" fillId="29" borderId="69" xfId="0" applyFont="1" applyFill="1" applyBorder="1" applyAlignment="1">
      <alignment horizontal="center" vertical="center"/>
    </xf>
    <xf numFmtId="166" fontId="19" fillId="0" borderId="3" xfId="4" applyNumberFormat="1" applyFont="1" applyFill="1" applyBorder="1" applyAlignment="1">
      <alignment horizontal="center" vertical="center"/>
    </xf>
    <xf numFmtId="0" fontId="5" fillId="0" borderId="3" xfId="4" applyFont="1" applyBorder="1" applyAlignment="1">
      <alignment horizontal="center" vertical="center"/>
    </xf>
    <xf numFmtId="166" fontId="19" fillId="0" borderId="3" xfId="4" applyNumberFormat="1" applyFont="1" applyBorder="1" applyAlignment="1">
      <alignment horizontal="center" vertical="center"/>
    </xf>
    <xf numFmtId="0" fontId="5" fillId="0" borderId="3" xfId="4"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51" xfId="0" applyFont="1" applyBorder="1" applyAlignment="1">
      <alignment horizontal="center" vertical="center" wrapText="1"/>
    </xf>
    <xf numFmtId="0" fontId="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8"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xf>
    <xf numFmtId="0" fontId="19" fillId="0" borderId="51" xfId="0" applyFont="1" applyBorder="1" applyAlignment="1">
      <alignment horizontal="center" vertical="center" wrapText="1"/>
    </xf>
    <xf numFmtId="2" fontId="5" fillId="3" borderId="2" xfId="0" applyNumberFormat="1" applyFont="1" applyFill="1" applyBorder="1" applyAlignment="1">
      <alignment horizontal="center" vertical="center"/>
    </xf>
    <xf numFmtId="2" fontId="5" fillId="3" borderId="3"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23" fillId="0" borderId="62" xfId="0" applyFont="1" applyBorder="1" applyAlignment="1">
      <alignment horizontal="center" vertical="center"/>
    </xf>
    <xf numFmtId="0" fontId="33" fillId="0" borderId="76" xfId="0" applyFont="1" applyBorder="1" applyAlignment="1">
      <alignment horizontal="center" vertical="center"/>
    </xf>
    <xf numFmtId="0" fontId="33" fillId="0" borderId="73" xfId="0" applyFont="1" applyBorder="1" applyAlignment="1">
      <alignment horizontal="center" vertical="center"/>
    </xf>
    <xf numFmtId="0" fontId="33" fillId="0" borderId="82" xfId="0" applyFont="1" applyBorder="1" applyAlignment="1">
      <alignment horizontal="center" vertical="center"/>
    </xf>
    <xf numFmtId="0" fontId="33" fillId="0" borderId="83" xfId="0" applyFont="1" applyBorder="1" applyAlignment="1">
      <alignment horizontal="center" vertical="center"/>
    </xf>
    <xf numFmtId="0" fontId="33" fillId="0" borderId="84" xfId="0" applyFont="1" applyBorder="1" applyAlignment="1">
      <alignment horizontal="center" vertical="center"/>
    </xf>
    <xf numFmtId="0" fontId="33" fillId="0" borderId="62" xfId="0" applyFont="1" applyBorder="1" applyAlignment="1">
      <alignment horizontal="center" vertical="center"/>
    </xf>
    <xf numFmtId="0" fontId="33" fillId="0" borderId="3" xfId="0" applyFont="1" applyBorder="1" applyAlignment="1">
      <alignment horizontal="center" vertical="center"/>
    </xf>
    <xf numFmtId="0" fontId="33" fillId="0" borderId="1" xfId="0" applyFont="1" applyBorder="1" applyAlignment="1">
      <alignment horizontal="center" vertical="center"/>
    </xf>
    <xf numFmtId="0" fontId="33" fillId="0" borderId="16" xfId="0" applyFont="1" applyBorder="1" applyAlignment="1">
      <alignment horizontal="center" vertical="center"/>
    </xf>
    <xf numFmtId="0" fontId="33" fillId="0" borderId="77" xfId="0" applyFont="1" applyBorder="1" applyAlignment="1">
      <alignment horizontal="center" vertical="center"/>
    </xf>
    <xf numFmtId="0" fontId="33" fillId="0" borderId="63" xfId="0" applyFont="1" applyBorder="1" applyAlignment="1">
      <alignment horizontal="center" vertical="center"/>
    </xf>
    <xf numFmtId="0" fontId="23" fillId="0" borderId="67" xfId="0" applyFont="1" applyBorder="1" applyAlignment="1">
      <alignment horizontal="center" vertical="center"/>
    </xf>
    <xf numFmtId="0" fontId="33" fillId="0" borderId="75" xfId="0" applyFont="1" applyBorder="1" applyAlignment="1">
      <alignment horizontal="center" vertical="center"/>
    </xf>
    <xf numFmtId="0" fontId="33" fillId="0" borderId="4" xfId="0" applyFont="1" applyBorder="1" applyAlignment="1">
      <alignment horizontal="center" vertical="center"/>
    </xf>
    <xf numFmtId="0" fontId="33" fillId="0" borderId="85" xfId="0" applyFont="1" applyBorder="1" applyAlignment="1">
      <alignment horizontal="center" vertical="center"/>
    </xf>
    <xf numFmtId="0" fontId="33" fillId="0" borderId="23" xfId="0" applyFont="1" applyBorder="1" applyAlignment="1">
      <alignment horizontal="center" vertical="center"/>
    </xf>
    <xf numFmtId="0" fontId="14" fillId="0" borderId="0" xfId="0" applyFont="1" applyAlignment="1">
      <alignment horizontal="center" vertical="center"/>
    </xf>
    <xf numFmtId="165" fontId="5" fillId="0" borderId="1" xfId="0" applyNumberFormat="1" applyFont="1" applyBorder="1" applyAlignment="1">
      <alignment horizontal="center" vertical="center"/>
    </xf>
    <xf numFmtId="0" fontId="17" fillId="2" borderId="1" xfId="0" applyFont="1" applyFill="1" applyBorder="1" applyAlignment="1">
      <alignment horizontal="center" vertical="center" wrapText="1"/>
    </xf>
    <xf numFmtId="2" fontId="5" fillId="0" borderId="3" xfId="0" applyNumberFormat="1" applyFont="1" applyFill="1" applyBorder="1" applyAlignment="1">
      <alignment horizontal="center" vertical="center"/>
    </xf>
    <xf numFmtId="0" fontId="14" fillId="2" borderId="0" xfId="0" applyFont="1" applyFill="1" applyAlignment="1">
      <alignment horizontal="center" vertical="center"/>
    </xf>
    <xf numFmtId="0" fontId="5" fillId="16" borderId="0" xfId="0" applyFont="1" applyFill="1" applyAlignment="1">
      <alignment horizontal="center" vertical="center"/>
    </xf>
    <xf numFmtId="0" fontId="19" fillId="0" borderId="33" xfId="0" applyFont="1" applyBorder="1" applyAlignment="1">
      <alignment horizontal="center" vertical="center" wrapText="1"/>
    </xf>
    <xf numFmtId="0" fontId="14" fillId="0" borderId="34" xfId="0" applyFont="1" applyFill="1" applyBorder="1" applyAlignment="1">
      <alignment horizontal="center" vertical="center" wrapText="1"/>
    </xf>
    <xf numFmtId="0" fontId="1" fillId="0" borderId="18" xfId="0" applyFont="1" applyBorder="1" applyAlignment="1">
      <alignment horizontal="center" vertical="center" wrapText="1"/>
    </xf>
    <xf numFmtId="0" fontId="20" fillId="0" borderId="15" xfId="0" applyFont="1" applyBorder="1" applyAlignment="1">
      <alignment horizontal="center" vertical="center" wrapText="1"/>
    </xf>
    <xf numFmtId="0" fontId="1"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0" xfId="0" applyFont="1" applyBorder="1" applyAlignment="1">
      <alignment horizontal="center" vertical="center" wrapText="1"/>
    </xf>
    <xf numFmtId="165" fontId="14" fillId="0" borderId="0" xfId="0" applyNumberFormat="1" applyFont="1" applyBorder="1" applyAlignment="1">
      <alignment horizontal="center" vertical="center"/>
    </xf>
    <xf numFmtId="0" fontId="21" fillId="0" borderId="0" xfId="0" applyFont="1" applyFill="1" applyBorder="1" applyAlignment="1">
      <alignment horizontal="center" vertical="center"/>
    </xf>
    <xf numFmtId="15" fontId="15" fillId="10" borderId="6" xfId="0" applyNumberFormat="1" applyFont="1" applyFill="1" applyBorder="1" applyAlignment="1">
      <alignment horizontal="center" vertical="center"/>
    </xf>
    <xf numFmtId="0" fontId="5" fillId="0" borderId="0" xfId="0" applyFont="1" applyAlignment="1">
      <alignment vertical="center"/>
    </xf>
    <xf numFmtId="0" fontId="14" fillId="0" borderId="30" xfId="0" applyFont="1" applyBorder="1" applyAlignment="1">
      <alignment horizontal="center" vertical="center" wrapText="1"/>
    </xf>
    <xf numFmtId="0" fontId="5" fillId="0" borderId="62" xfId="0" applyFont="1" applyBorder="1" applyAlignment="1">
      <alignment horizontal="center" vertical="center" wrapText="1"/>
    </xf>
    <xf numFmtId="0" fontId="23" fillId="0" borderId="3" xfId="4" applyFont="1" applyBorder="1" applyAlignment="1">
      <alignment horizontal="center" vertical="center" wrapText="1"/>
    </xf>
    <xf numFmtId="0" fontId="23" fillId="0" borderId="3" xfId="4"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0" xfId="0" applyFont="1" applyFill="1" applyAlignment="1">
      <alignment vertical="center"/>
    </xf>
    <xf numFmtId="0" fontId="31" fillId="0" borderId="3" xfId="0" applyFont="1" applyFill="1" applyBorder="1" applyAlignment="1">
      <alignment horizontal="center" vertical="center" wrapText="1"/>
    </xf>
    <xf numFmtId="0" fontId="23" fillId="17" borderId="3" xfId="0" applyFont="1" applyFill="1" applyBorder="1" applyAlignment="1">
      <alignment horizontal="center" vertical="center" wrapText="1"/>
    </xf>
    <xf numFmtId="165" fontId="5" fillId="0" borderId="0" xfId="0" applyNumberFormat="1" applyFont="1" applyAlignment="1">
      <alignment horizontal="center" vertical="center"/>
    </xf>
    <xf numFmtId="0" fontId="5" fillId="0" borderId="0" xfId="0" applyFont="1" applyAlignment="1">
      <alignment horizontal="center" vertical="center" wrapText="1"/>
    </xf>
    <xf numFmtId="0" fontId="15" fillId="0" borderId="0" xfId="0" applyFont="1" applyAlignment="1">
      <alignment horizontal="center" vertical="center"/>
    </xf>
    <xf numFmtId="0" fontId="5" fillId="13" borderId="15" xfId="0" applyFont="1" applyFill="1" applyBorder="1" applyAlignment="1">
      <alignment horizontal="center" vertical="center"/>
    </xf>
    <xf numFmtId="0" fontId="5" fillId="5" borderId="15" xfId="0" applyFont="1" applyFill="1" applyBorder="1" applyAlignment="1">
      <alignment horizontal="center" vertical="center"/>
    </xf>
    <xf numFmtId="165" fontId="5"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5" fillId="0" borderId="0" xfId="0" applyFont="1" applyFill="1" applyBorder="1" applyAlignment="1">
      <alignment vertical="center"/>
    </xf>
    <xf numFmtId="0" fontId="1" fillId="0" borderId="15" xfId="0" applyFont="1" applyBorder="1" applyAlignment="1">
      <alignment horizontal="center" vertical="center" wrapText="1"/>
    </xf>
    <xf numFmtId="0" fontId="20" fillId="0" borderId="15" xfId="0" applyFont="1" applyBorder="1" applyAlignment="1">
      <alignment horizontal="center" vertical="center"/>
    </xf>
    <xf numFmtId="0" fontId="1" fillId="0" borderId="21" xfId="0" applyFont="1" applyBorder="1" applyAlignment="1">
      <alignment horizontal="center" vertical="center" wrapText="1"/>
    </xf>
    <xf numFmtId="0" fontId="5" fillId="0" borderId="70" xfId="0" applyFont="1" applyBorder="1" applyAlignment="1">
      <alignment horizontal="center" vertical="center"/>
    </xf>
    <xf numFmtId="0" fontId="20" fillId="0" borderId="0" xfId="0" applyFont="1" applyFill="1" applyBorder="1" applyAlignment="1">
      <alignment horizontal="center" vertical="center"/>
    </xf>
    <xf numFmtId="0" fontId="15" fillId="0" borderId="3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2" fontId="5" fillId="3" borderId="3" xfId="0" applyNumberFormat="1" applyFont="1" applyFill="1" applyBorder="1" applyAlignment="1">
      <alignment horizontal="center" vertical="center"/>
    </xf>
    <xf numFmtId="2" fontId="5" fillId="3" borderId="3" xfId="0" applyNumberFormat="1" applyFont="1" applyFill="1" applyBorder="1" applyAlignment="1">
      <alignment horizontal="center" vertical="center" wrapText="1"/>
    </xf>
    <xf numFmtId="0" fontId="17" fillId="0" borderId="3" xfId="0" applyFont="1" applyBorder="1" applyAlignment="1">
      <alignment horizontal="center" vertical="center"/>
    </xf>
    <xf numFmtId="0" fontId="5"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5" fillId="0" borderId="3"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xf>
    <xf numFmtId="0" fontId="5" fillId="0" borderId="51"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horizontal="center" vertical="center"/>
    </xf>
    <xf numFmtId="2" fontId="5" fillId="3" borderId="3" xfId="0" applyNumberFormat="1" applyFont="1" applyFill="1" applyBorder="1" applyAlignment="1">
      <alignment horizontal="center" vertical="center"/>
    </xf>
    <xf numFmtId="0" fontId="17"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0" xfId="0" applyFont="1" applyAlignment="1">
      <alignment horizontal="center" vertical="center"/>
    </xf>
    <xf numFmtId="166" fontId="19"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1"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2" xfId="0" applyFont="1" applyBorder="1" applyAlignment="1">
      <alignment horizontal="center" vertical="center" wrapText="1"/>
    </xf>
    <xf numFmtId="166" fontId="19" fillId="0" borderId="3" xfId="0" applyNumberFormat="1" applyFont="1" applyBorder="1" applyAlignment="1">
      <alignment horizontal="center" vertical="center"/>
    </xf>
    <xf numFmtId="2" fontId="5" fillId="3" borderId="3" xfId="0" applyNumberFormat="1" applyFont="1" applyFill="1" applyBorder="1" applyAlignment="1">
      <alignment horizontal="center" vertical="center" wrapText="1"/>
    </xf>
    <xf numFmtId="2" fontId="5" fillId="3" borderId="3" xfId="0" applyNumberFormat="1" applyFont="1" applyFill="1" applyBorder="1" applyAlignment="1">
      <alignment horizontal="center" vertical="center"/>
    </xf>
    <xf numFmtId="0" fontId="17"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wrapText="1"/>
    </xf>
    <xf numFmtId="2" fontId="5" fillId="3" borderId="3" xfId="0" applyNumberFormat="1" applyFont="1" applyFill="1" applyBorder="1" applyAlignment="1">
      <alignment horizontal="center" vertical="center"/>
    </xf>
    <xf numFmtId="0" fontId="25" fillId="0" borderId="1" xfId="0"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vertical="center"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9"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xf>
    <xf numFmtId="2" fontId="5" fillId="3" borderId="3" xfId="0" applyNumberFormat="1" applyFont="1" applyFill="1" applyBorder="1" applyAlignment="1">
      <alignment horizontal="center" vertical="center"/>
    </xf>
    <xf numFmtId="166" fontId="19" fillId="0" borderId="1" xfId="0" applyNumberFormat="1" applyFont="1" applyBorder="1" applyAlignment="1">
      <alignment horizontal="center" vertical="center"/>
    </xf>
    <xf numFmtId="0" fontId="5"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9" fillId="0" borderId="3" xfId="0" applyFont="1" applyBorder="1" applyAlignment="1">
      <alignment horizontal="center" vertical="center" wrapText="1"/>
    </xf>
    <xf numFmtId="166" fontId="19"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5" fillId="0" borderId="2" xfId="0" applyFont="1" applyBorder="1" applyAlignment="1">
      <alignment vertical="center" wrapText="1"/>
    </xf>
    <xf numFmtId="0" fontId="19" fillId="0" borderId="2" xfId="0" applyFont="1" applyBorder="1" applyAlignment="1">
      <alignment vertical="center" wrapText="1"/>
    </xf>
    <xf numFmtId="0" fontId="17" fillId="0" borderId="2" xfId="0" applyFont="1" applyBorder="1" applyAlignment="1">
      <alignment vertical="center" wrapText="1"/>
    </xf>
    <xf numFmtId="0" fontId="1" fillId="0" borderId="1" xfId="0" applyFont="1" applyBorder="1" applyAlignment="1">
      <alignment vertical="center" wrapText="1"/>
    </xf>
    <xf numFmtId="0" fontId="17" fillId="0" borderId="1" xfId="0" applyFont="1" applyBorder="1" applyAlignment="1">
      <alignment vertical="center" wrapText="1"/>
    </xf>
    <xf numFmtId="166" fontId="19" fillId="0" borderId="2" xfId="0" applyNumberFormat="1" applyFont="1" applyBorder="1" applyAlignment="1">
      <alignment vertical="center"/>
    </xf>
    <xf numFmtId="166" fontId="19" fillId="0" borderId="62" xfId="0" applyNumberFormat="1" applyFont="1" applyBorder="1" applyAlignment="1">
      <alignment horizontal="center" vertical="center"/>
    </xf>
    <xf numFmtId="0" fontId="19" fillId="0" borderId="38" xfId="0" applyFont="1" applyBorder="1" applyAlignment="1">
      <alignment horizontal="center" vertical="center" wrapText="1"/>
    </xf>
    <xf numFmtId="0" fontId="31" fillId="0" borderId="1" xfId="0" applyFont="1" applyFill="1" applyBorder="1" applyAlignment="1">
      <alignment horizontal="left" vertical="center" wrapText="1"/>
    </xf>
    <xf numFmtId="0" fontId="19" fillId="0" borderId="0" xfId="0" applyFont="1" applyAlignment="1">
      <alignment horizontal="center" vertical="center"/>
    </xf>
    <xf numFmtId="0" fontId="16" fillId="0" borderId="0" xfId="0" applyFont="1" applyBorder="1" applyAlignment="1">
      <alignment horizontal="center" vertical="center"/>
    </xf>
    <xf numFmtId="0" fontId="19" fillId="0" borderId="1" xfId="0" applyFont="1" applyBorder="1" applyAlignment="1">
      <alignment horizontal="left" vertical="center" wrapText="1"/>
    </xf>
    <xf numFmtId="0" fontId="31" fillId="0" borderId="1" xfId="0" applyFont="1" applyFill="1" applyBorder="1" applyAlignment="1">
      <alignment vertical="center" wrapText="1"/>
    </xf>
    <xf numFmtId="0" fontId="19" fillId="5" borderId="4" xfId="0" applyFont="1" applyFill="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3" borderId="29" xfId="0" applyFont="1" applyFill="1" applyBorder="1" applyAlignment="1">
      <alignment horizontal="center" vertical="center"/>
    </xf>
    <xf numFmtId="166" fontId="19" fillId="0" borderId="1" xfId="0" applyNumberFormat="1" applyFont="1" applyBorder="1" applyAlignment="1">
      <alignment vertical="center"/>
    </xf>
    <xf numFmtId="0" fontId="31" fillId="0" borderId="1" xfId="0" applyFont="1" applyFill="1" applyBorder="1" applyAlignment="1">
      <alignment horizontal="left" vertical="top" wrapText="1"/>
    </xf>
    <xf numFmtId="0" fontId="19" fillId="0" borderId="1" xfId="0" applyFont="1" applyBorder="1" applyAlignment="1">
      <alignment horizontal="justify" vertical="center" wrapText="1"/>
    </xf>
    <xf numFmtId="0" fontId="16" fillId="0" borderId="0" xfId="0" applyFont="1" applyAlignment="1">
      <alignment horizontal="center" vertical="center"/>
    </xf>
    <xf numFmtId="0" fontId="19" fillId="13" borderId="28" xfId="0" applyFont="1" applyFill="1" applyBorder="1" applyAlignment="1">
      <alignment horizontal="center" vertical="center"/>
    </xf>
    <xf numFmtId="0" fontId="19" fillId="5" borderId="28" xfId="0" applyFont="1" applyFill="1" applyBorder="1" applyAlignment="1">
      <alignment horizontal="center" vertical="center"/>
    </xf>
    <xf numFmtId="0" fontId="16" fillId="0" borderId="0" xfId="0" applyFont="1" applyFill="1" applyBorder="1" applyAlignment="1">
      <alignment horizontal="center" vertical="center" wrapText="1"/>
    </xf>
    <xf numFmtId="165" fontId="19" fillId="0" borderId="0" xfId="0" applyNumberFormat="1" applyFont="1" applyAlignment="1">
      <alignment horizontal="center" vertical="center"/>
    </xf>
    <xf numFmtId="0" fontId="19" fillId="3" borderId="4"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0" xfId="0" applyNumberFormat="1" applyFont="1" applyFill="1" applyBorder="1" applyAlignment="1">
      <alignment horizontal="center" vertical="center"/>
    </xf>
    <xf numFmtId="165" fontId="19" fillId="0" borderId="70" xfId="0" applyNumberFormat="1" applyFont="1" applyBorder="1" applyAlignment="1">
      <alignment horizontal="center" vertical="center"/>
    </xf>
    <xf numFmtId="165" fontId="19" fillId="0" borderId="0" xfId="0" applyNumberFormat="1" applyFont="1" applyBorder="1" applyAlignment="1">
      <alignment horizontal="center" vertical="center"/>
    </xf>
    <xf numFmtId="168" fontId="19" fillId="0" borderId="0" xfId="1" applyNumberFormat="1" applyFont="1" applyAlignment="1">
      <alignment horizontal="center" vertical="center"/>
    </xf>
    <xf numFmtId="2" fontId="5" fillId="3" borderId="1" xfId="0" applyNumberFormat="1" applyFont="1" applyFill="1" applyBorder="1" applyAlignment="1">
      <alignment horizontal="center" vertical="center"/>
    </xf>
    <xf numFmtId="0" fontId="31" fillId="0" borderId="3" xfId="0" applyFont="1" applyFill="1" applyBorder="1" applyAlignment="1">
      <alignment vertical="center" wrapText="1"/>
    </xf>
    <xf numFmtId="0" fontId="19" fillId="0" borderId="1" xfId="0" applyFont="1" applyBorder="1" applyAlignment="1">
      <alignment vertical="center" wrapText="1"/>
    </xf>
    <xf numFmtId="0" fontId="5" fillId="0" borderId="2" xfId="0" applyFont="1" applyFill="1" applyBorder="1" applyAlignment="1">
      <alignment vertical="center"/>
    </xf>
    <xf numFmtId="0" fontId="40" fillId="0" borderId="3" xfId="5" applyFont="1" applyBorder="1" applyAlignment="1">
      <alignment horizontal="center" vertical="center" wrapText="1"/>
    </xf>
    <xf numFmtId="0" fontId="19" fillId="0" borderId="3" xfId="0" applyFont="1" applyBorder="1" applyAlignment="1">
      <alignment horizontal="center" vertical="center" wrapText="1"/>
    </xf>
    <xf numFmtId="0" fontId="31" fillId="0"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4" fillId="0" borderId="0" xfId="0" applyFont="1" applyAlignment="1">
      <alignment horizontal="center" vertical="center"/>
    </xf>
    <xf numFmtId="0" fontId="5" fillId="0" borderId="64" xfId="0" applyFont="1" applyBorder="1" applyAlignment="1">
      <alignment horizontal="center" vertical="center"/>
    </xf>
    <xf numFmtId="0" fontId="23" fillId="0" borderId="2" xfId="0" applyFont="1" applyFill="1" applyBorder="1" applyAlignment="1">
      <alignment horizontal="center" vertical="center" wrapText="1"/>
    </xf>
    <xf numFmtId="0" fontId="41" fillId="20" borderId="0"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5" fillId="0" borderId="31" xfId="0" applyNumberFormat="1" applyFont="1" applyBorder="1" applyAlignment="1">
      <alignment horizontal="center" vertical="center"/>
    </xf>
    <xf numFmtId="0" fontId="5" fillId="0" borderId="88" xfId="0" applyFont="1" applyBorder="1" applyAlignment="1">
      <alignment horizontal="center" vertical="center"/>
    </xf>
    <xf numFmtId="0" fontId="9" fillId="0" borderId="63" xfId="0" applyFont="1" applyFill="1" applyBorder="1" applyAlignment="1">
      <alignment horizontal="center" vertical="center" wrapText="1"/>
    </xf>
    <xf numFmtId="0" fontId="5" fillId="0" borderId="3" xfId="0" applyFont="1" applyBorder="1" applyAlignment="1">
      <alignment horizontal="center" vertical="center" wrapText="1"/>
    </xf>
    <xf numFmtId="166" fontId="19" fillId="0" borderId="3" xfId="0" applyNumberFormat="1" applyFont="1" applyBorder="1" applyAlignment="1">
      <alignment horizontal="center" vertical="center"/>
    </xf>
    <xf numFmtId="0" fontId="19" fillId="0" borderId="3" xfId="0" applyFont="1" applyBorder="1" applyAlignment="1">
      <alignment horizontal="center" vertical="center" wrapText="1"/>
    </xf>
    <xf numFmtId="0" fontId="5" fillId="0" borderId="1" xfId="0" applyFont="1" applyBorder="1" applyAlignment="1">
      <alignment horizontal="center" vertical="center" wrapText="1"/>
    </xf>
    <xf numFmtId="2" fontId="5" fillId="3" borderId="3" xfId="0" applyNumberFormat="1" applyFont="1" applyFill="1" applyBorder="1" applyAlignment="1">
      <alignment horizontal="center" vertical="center"/>
    </xf>
    <xf numFmtId="2" fontId="5" fillId="3"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23" fillId="0" borderId="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5" fillId="17" borderId="62" xfId="0" applyFont="1" applyFill="1" applyBorder="1" applyAlignment="1">
      <alignment horizontal="center" vertical="center" wrapText="1"/>
    </xf>
    <xf numFmtId="0" fontId="9" fillId="0" borderId="63" xfId="0" applyFont="1" applyBorder="1" applyAlignment="1">
      <alignment horizontal="center" vertical="center" wrapText="1"/>
    </xf>
    <xf numFmtId="0" fontId="5" fillId="0" borderId="6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3" xfId="0" applyFont="1" applyBorder="1" applyAlignment="1">
      <alignment horizontal="center" vertical="center" wrapText="1"/>
    </xf>
    <xf numFmtId="0" fontId="23" fillId="0" borderId="62" xfId="0" applyFont="1" applyBorder="1" applyAlignment="1">
      <alignment horizontal="center" vertical="center" wrapText="1"/>
    </xf>
    <xf numFmtId="0" fontId="23" fillId="0" borderId="62" xfId="0" applyFont="1" applyFill="1" applyBorder="1" applyAlignment="1">
      <alignment horizontal="center" vertical="center" wrapText="1"/>
    </xf>
    <xf numFmtId="0" fontId="5" fillId="0" borderId="1" xfId="0" applyFont="1" applyBorder="1" applyAlignment="1">
      <alignment horizontal="justify" vertical="center" wrapText="1"/>
    </xf>
    <xf numFmtId="0" fontId="23" fillId="0" borderId="2" xfId="0" applyFont="1" applyFill="1" applyBorder="1" applyAlignment="1">
      <alignment vertical="center" wrapText="1"/>
    </xf>
    <xf numFmtId="0" fontId="23" fillId="0" borderId="1" xfId="0" applyFont="1" applyFill="1" applyBorder="1" applyAlignment="1">
      <alignment horizontal="left" vertical="center" wrapText="1"/>
    </xf>
    <xf numFmtId="2" fontId="5" fillId="3" borderId="3" xfId="0" applyNumberFormat="1" applyFont="1" applyFill="1" applyBorder="1" applyAlignment="1">
      <alignment vertical="center" wrapText="1"/>
    </xf>
    <xf numFmtId="2" fontId="5" fillId="3" borderId="1" xfId="0" applyNumberFormat="1" applyFont="1" applyFill="1" applyBorder="1" applyAlignment="1">
      <alignment vertical="center" wrapText="1"/>
    </xf>
    <xf numFmtId="0" fontId="5" fillId="0" borderId="2" xfId="0" applyFont="1" applyFill="1" applyBorder="1" applyAlignment="1">
      <alignment vertical="center" wrapText="1"/>
    </xf>
    <xf numFmtId="0" fontId="5" fillId="0" borderId="1" xfId="0" applyFont="1" applyFill="1" applyBorder="1" applyAlignment="1">
      <alignment vertical="center" wrapText="1"/>
    </xf>
    <xf numFmtId="166" fontId="19" fillId="0" borderId="3" xfId="0" applyNumberFormat="1" applyFont="1" applyBorder="1" applyAlignment="1">
      <alignment vertical="center"/>
    </xf>
    <xf numFmtId="166" fontId="19" fillId="0" borderId="1" xfId="0" applyNumberFormat="1" applyFont="1" applyBorder="1" applyAlignment="1">
      <alignment vertical="center" wrapText="1"/>
    </xf>
    <xf numFmtId="0" fontId="5" fillId="0" borderId="3"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 xfId="0" applyFont="1" applyFill="1" applyBorder="1" applyAlignment="1">
      <alignment horizontal="left" vertical="top" wrapText="1"/>
    </xf>
    <xf numFmtId="0" fontId="5" fillId="0" borderId="3" xfId="0" applyFont="1" applyBorder="1" applyAlignment="1">
      <alignment horizontal="center" vertical="center" wrapText="1"/>
    </xf>
    <xf numFmtId="0" fontId="23" fillId="2" borderId="3" xfId="0" applyFont="1" applyFill="1" applyBorder="1" applyAlignment="1">
      <alignment horizontal="center" vertical="center" wrapText="1"/>
    </xf>
    <xf numFmtId="166" fontId="19" fillId="0" borderId="3" xfId="0" applyNumberFormat="1" applyFont="1" applyBorder="1" applyAlignment="1">
      <alignment horizontal="center" vertical="center" wrapText="1"/>
    </xf>
    <xf numFmtId="0" fontId="9" fillId="0" borderId="1" xfId="0" applyFont="1" applyBorder="1" applyAlignment="1">
      <alignment horizontal="justify" vertical="center"/>
    </xf>
    <xf numFmtId="0" fontId="9" fillId="0" borderId="1" xfId="0" applyFont="1" applyBorder="1" applyAlignment="1">
      <alignment vertical="center" wrapText="1"/>
    </xf>
    <xf numFmtId="0" fontId="17" fillId="0" borderId="0" xfId="0" applyFont="1" applyAlignment="1">
      <alignment horizontal="justify" vertical="center"/>
    </xf>
    <xf numFmtId="0" fontId="17" fillId="0" borderId="0" xfId="0" applyFont="1"/>
    <xf numFmtId="0" fontId="17" fillId="0" borderId="0" xfId="0" applyFont="1" applyAlignment="1">
      <alignment horizontal="justify" vertical="center" wrapText="1"/>
    </xf>
    <xf numFmtId="0" fontId="5" fillId="0" borderId="0" xfId="0" applyFont="1" applyAlignment="1">
      <alignment wrapText="1"/>
    </xf>
    <xf numFmtId="0" fontId="19" fillId="0" borderId="1" xfId="0" applyFont="1" applyBorder="1" applyAlignment="1">
      <alignment vertical="top" wrapText="1"/>
    </xf>
    <xf numFmtId="0" fontId="15" fillId="0" borderId="39" xfId="0" applyFont="1" applyBorder="1" applyAlignment="1">
      <alignment horizontal="center" vertical="center"/>
    </xf>
    <xf numFmtId="0" fontId="15" fillId="0" borderId="21" xfId="0" applyFont="1" applyBorder="1" applyAlignment="1">
      <alignment horizontal="center" vertical="center"/>
    </xf>
    <xf numFmtId="0" fontId="21" fillId="0" borderId="3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15" fillId="0" borderId="0" xfId="0" applyFont="1" applyAlignment="1">
      <alignment horizont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5" fillId="0" borderId="12" xfId="0" applyFont="1" applyBorder="1" applyAlignment="1">
      <alignment horizontal="center" vertical="center"/>
    </xf>
    <xf numFmtId="165" fontId="14" fillId="0" borderId="13" xfId="0" applyNumberFormat="1" applyFont="1" applyBorder="1" applyAlignment="1">
      <alignment horizontal="center" vertical="center" wrapText="1"/>
    </xf>
    <xf numFmtId="165" fontId="14" fillId="0" borderId="23" xfId="0" applyNumberFormat="1" applyFont="1" applyBorder="1" applyAlignment="1">
      <alignment horizontal="center" vertical="center" wrapText="1"/>
    </xf>
    <xf numFmtId="0" fontId="10" fillId="0" borderId="39" xfId="0" applyFont="1" applyBorder="1" applyAlignment="1">
      <alignment horizontal="center" vertical="center"/>
    </xf>
    <xf numFmtId="0" fontId="10" fillId="0" borderId="12" xfId="0" applyFont="1" applyBorder="1" applyAlignment="1">
      <alignment horizontal="center" vertical="center"/>
    </xf>
    <xf numFmtId="0" fontId="18" fillId="3" borderId="12" xfId="0" applyFont="1" applyFill="1" applyBorder="1" applyAlignment="1">
      <alignment horizontal="center" wrapText="1"/>
    </xf>
    <xf numFmtId="0" fontId="18" fillId="3" borderId="13" xfId="0" applyFont="1" applyFill="1" applyBorder="1" applyAlignment="1">
      <alignment horizont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1" xfId="0" applyFont="1" applyBorder="1" applyAlignment="1">
      <alignment horizontal="center" vertical="center" wrapText="1"/>
    </xf>
    <xf numFmtId="166" fontId="19" fillId="0" borderId="2" xfId="0" applyNumberFormat="1" applyFont="1" applyBorder="1" applyAlignment="1">
      <alignment horizontal="center" vertical="center"/>
    </xf>
    <xf numFmtId="166" fontId="19" fillId="0" borderId="51" xfId="0" applyNumberFormat="1" applyFont="1" applyBorder="1" applyAlignment="1">
      <alignment horizontal="center" vertical="center"/>
    </xf>
    <xf numFmtId="166" fontId="19" fillId="0" borderId="3" xfId="0" applyNumberFormat="1" applyFont="1" applyBorder="1" applyAlignment="1">
      <alignment horizontal="center" vertical="center"/>
    </xf>
    <xf numFmtId="0" fontId="5" fillId="0" borderId="51" xfId="0" applyFont="1" applyBorder="1" applyAlignment="1">
      <alignment horizontal="center" vertical="center"/>
    </xf>
    <xf numFmtId="0" fontId="1" fillId="0" borderId="2"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3" xfId="0" applyFont="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5" fillId="0" borderId="64" xfId="0" applyFont="1" applyBorder="1" applyAlignment="1">
      <alignment horizontal="center" vertical="center"/>
    </xf>
    <xf numFmtId="0" fontId="5" fillId="0" borderId="38"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1" xfId="0" applyFont="1" applyBorder="1" applyAlignment="1">
      <alignment horizontal="center" vertical="center" wrapText="1"/>
    </xf>
    <xf numFmtId="0" fontId="5" fillId="17" borderId="2" xfId="0" applyFont="1" applyFill="1" applyBorder="1" applyAlignment="1">
      <alignment horizontal="center" vertical="center" wrapText="1"/>
    </xf>
    <xf numFmtId="0" fontId="5" fillId="17" borderId="51" xfId="0" applyFont="1" applyFill="1" applyBorder="1" applyAlignment="1">
      <alignment horizontal="center" vertical="center" wrapText="1"/>
    </xf>
    <xf numFmtId="0" fontId="5" fillId="17"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3" fillId="0" borderId="51" xfId="0"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5" xfId="0" applyFont="1" applyBorder="1" applyAlignment="1">
      <alignment horizontal="center" vertical="center"/>
    </xf>
    <xf numFmtId="0" fontId="5" fillId="0" borderId="2" xfId="0" applyFont="1" applyBorder="1" applyAlignment="1">
      <alignment horizontal="center" vertical="top" wrapText="1"/>
    </xf>
    <xf numFmtId="0" fontId="5" fillId="0" borderId="51" xfId="0" applyFont="1" applyBorder="1" applyAlignment="1">
      <alignment horizontal="center" vertical="top" wrapText="1"/>
    </xf>
    <xf numFmtId="0" fontId="5" fillId="0" borderId="3" xfId="0" applyFont="1" applyBorder="1" applyAlignment="1">
      <alignment horizontal="center" vertical="top" wrapText="1"/>
    </xf>
    <xf numFmtId="0" fontId="14" fillId="15" borderId="10" xfId="0" applyFont="1" applyFill="1" applyBorder="1" applyAlignment="1">
      <alignment horizontal="center" vertical="center"/>
    </xf>
    <xf numFmtId="0" fontId="14" fillId="15" borderId="49" xfId="0" applyFont="1" applyFill="1" applyBorder="1" applyAlignment="1">
      <alignment horizontal="center" vertical="center"/>
    </xf>
    <xf numFmtId="0" fontId="14" fillId="15" borderId="50" xfId="0" applyFont="1" applyFill="1" applyBorder="1" applyAlignment="1">
      <alignment horizontal="center" vertical="center"/>
    </xf>
    <xf numFmtId="0" fontId="15" fillId="0" borderId="0" xfId="0" applyFont="1" applyFill="1" applyBorder="1" applyAlignment="1">
      <alignment horizontal="center" vertical="center"/>
    </xf>
    <xf numFmtId="0" fontId="23" fillId="17" borderId="1" xfId="0" applyFont="1" applyFill="1" applyBorder="1" applyAlignment="1" applyProtection="1">
      <alignment horizontal="center" vertical="center" wrapText="1"/>
      <protection locked="0"/>
    </xf>
    <xf numFmtId="0" fontId="23" fillId="17" borderId="51" xfId="0" applyFont="1" applyFill="1" applyBorder="1" applyAlignment="1" applyProtection="1">
      <alignment horizontal="center" vertical="center" wrapText="1"/>
      <protection locked="0"/>
    </xf>
    <xf numFmtId="0" fontId="23" fillId="17" borderId="3" xfId="0" applyFont="1" applyFill="1" applyBorder="1" applyAlignment="1" applyProtection="1">
      <alignment horizontal="center" vertical="center" wrapText="1"/>
      <protection locked="0"/>
    </xf>
    <xf numFmtId="0" fontId="23" fillId="0" borderId="1"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3" xfId="0" applyFont="1" applyBorder="1" applyAlignment="1">
      <alignment horizontal="center" vertical="center" wrapText="1"/>
    </xf>
    <xf numFmtId="165" fontId="14" fillId="21" borderId="57" xfId="0" applyNumberFormat="1" applyFont="1" applyFill="1" applyBorder="1" applyAlignment="1">
      <alignment horizontal="center" vertical="center" wrapText="1"/>
    </xf>
    <xf numFmtId="165" fontId="14" fillId="21" borderId="58" xfId="0" applyNumberFormat="1" applyFont="1" applyFill="1" applyBorder="1" applyAlignment="1">
      <alignment horizontal="center" vertical="center" wrapText="1"/>
    </xf>
    <xf numFmtId="0" fontId="16" fillId="4" borderId="52"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15" fillId="24" borderId="35" xfId="0" applyFont="1" applyFill="1" applyBorder="1" applyAlignment="1">
      <alignment horizontal="center" vertical="center"/>
    </xf>
    <xf numFmtId="0" fontId="15" fillId="24" borderId="36" xfId="0" applyFont="1" applyFill="1" applyBorder="1" applyAlignment="1">
      <alignment horizontal="center" vertical="center"/>
    </xf>
    <xf numFmtId="166" fontId="19"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2" borderId="10" xfId="0" applyFont="1" applyFill="1" applyBorder="1" applyAlignment="1">
      <alignment horizontal="center" vertical="center"/>
    </xf>
    <xf numFmtId="0" fontId="14" fillId="2" borderId="50" xfId="0" applyFont="1" applyFill="1" applyBorder="1" applyAlignment="1">
      <alignment horizontal="center" vertical="center"/>
    </xf>
    <xf numFmtId="0" fontId="14" fillId="0" borderId="54" xfId="0" applyFont="1" applyBorder="1" applyAlignment="1">
      <alignment horizontal="center" vertical="center"/>
    </xf>
    <xf numFmtId="0" fontId="14" fillId="0" borderId="50" xfId="0" applyFont="1" applyBorder="1" applyAlignment="1">
      <alignment horizontal="center" vertical="center"/>
    </xf>
    <xf numFmtId="0" fontId="10" fillId="0" borderId="10" xfId="0" applyFont="1" applyBorder="1" applyAlignment="1">
      <alignment horizontal="center" vertical="center"/>
    </xf>
    <xf numFmtId="0" fontId="10" fillId="0" borderId="49" xfId="0" applyFont="1" applyBorder="1" applyAlignment="1">
      <alignment horizontal="center" vertical="center"/>
    </xf>
    <xf numFmtId="0" fontId="10" fillId="0" borderId="11" xfId="0" applyFont="1" applyBorder="1" applyAlignment="1">
      <alignment horizontal="center" vertical="center"/>
    </xf>
    <xf numFmtId="0" fontId="15" fillId="0" borderId="0" xfId="0" applyFont="1" applyAlignment="1">
      <alignment horizontal="center" vertical="center"/>
    </xf>
    <xf numFmtId="0" fontId="18" fillId="3" borderId="54" xfId="0" applyFont="1" applyFill="1" applyBorder="1" applyAlignment="1">
      <alignment horizontal="center" vertical="center" wrapText="1"/>
    </xf>
    <xf numFmtId="0" fontId="18" fillId="3" borderId="50"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3" xfId="0" applyFont="1" applyFill="1" applyBorder="1" applyAlignment="1">
      <alignment horizontal="center" vertical="center"/>
    </xf>
    <xf numFmtId="0" fontId="5" fillId="0" borderId="65" xfId="0" applyFont="1" applyBorder="1" applyAlignment="1">
      <alignment horizontal="center" vertical="center"/>
    </xf>
    <xf numFmtId="166" fontId="19" fillId="0" borderId="2" xfId="0" applyNumberFormat="1" applyFont="1" applyFill="1" applyBorder="1" applyAlignment="1">
      <alignment horizontal="center" vertical="center"/>
    </xf>
    <xf numFmtId="166" fontId="19" fillId="0" borderId="51" xfId="0" applyNumberFormat="1" applyFont="1" applyFill="1" applyBorder="1" applyAlignment="1">
      <alignment horizontal="center" vertical="center"/>
    </xf>
    <xf numFmtId="166" fontId="19" fillId="0" borderId="3" xfId="0" applyNumberFormat="1" applyFont="1" applyFill="1" applyBorder="1" applyAlignment="1">
      <alignment horizontal="center" vertical="center"/>
    </xf>
    <xf numFmtId="0" fontId="17" fillId="0" borderId="51" xfId="0" applyFont="1" applyBorder="1" applyAlignment="1">
      <alignment horizontal="center" vertical="center"/>
    </xf>
    <xf numFmtId="0" fontId="17" fillId="0" borderId="3" xfId="0" applyFont="1" applyBorder="1" applyAlignment="1">
      <alignment horizontal="center" vertical="center"/>
    </xf>
    <xf numFmtId="2" fontId="5" fillId="3" borderId="51" xfId="0" applyNumberFormat="1" applyFont="1" applyFill="1" applyBorder="1" applyAlignment="1">
      <alignment horizontal="center" vertical="center" wrapText="1"/>
    </xf>
    <xf numFmtId="2" fontId="5" fillId="3" borderId="3" xfId="0" applyNumberFormat="1" applyFont="1" applyFill="1" applyBorder="1" applyAlignment="1">
      <alignment horizontal="center" vertical="center" wrapText="1"/>
    </xf>
    <xf numFmtId="2" fontId="5" fillId="3"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165" fontId="5" fillId="0" borderId="2" xfId="0" applyNumberFormat="1" applyFont="1" applyBorder="1" applyAlignment="1">
      <alignment horizontal="center" vertical="center"/>
    </xf>
    <xf numFmtId="165" fontId="5" fillId="0" borderId="51" xfId="0" applyNumberFormat="1" applyFont="1" applyBorder="1" applyAlignment="1">
      <alignment horizontal="center" vertical="center"/>
    </xf>
    <xf numFmtId="165" fontId="5" fillId="0" borderId="3" xfId="0" applyNumberFormat="1" applyFont="1" applyBorder="1" applyAlignment="1">
      <alignment horizontal="center" vertical="center"/>
    </xf>
    <xf numFmtId="0" fontId="14" fillId="0" borderId="0" xfId="0" applyFont="1" applyAlignment="1">
      <alignment horizontal="center" vertical="center"/>
    </xf>
    <xf numFmtId="0" fontId="15" fillId="0" borderId="10" xfId="0" applyFont="1" applyBorder="1" applyAlignment="1">
      <alignment horizontal="center" vertical="center"/>
    </xf>
    <xf numFmtId="0" fontId="15" fillId="0" borderId="49" xfId="0" applyFont="1" applyBorder="1" applyAlignment="1">
      <alignment horizontal="center" vertical="center"/>
    </xf>
    <xf numFmtId="0" fontId="15" fillId="0" borderId="11"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166" fontId="19" fillId="0" borderId="5" xfId="0" applyNumberFormat="1" applyFont="1" applyBorder="1" applyAlignment="1">
      <alignment horizontal="center" vertical="center"/>
    </xf>
    <xf numFmtId="14" fontId="19" fillId="0" borderId="2" xfId="0" applyNumberFormat="1" applyFont="1" applyBorder="1" applyAlignment="1">
      <alignment horizontal="center" vertical="center" wrapText="1"/>
    </xf>
    <xf numFmtId="14" fontId="19" fillId="0" borderId="51" xfId="0" applyNumberFormat="1" applyFont="1" applyBorder="1" applyAlignment="1">
      <alignment horizontal="center" vertical="center" wrapText="1"/>
    </xf>
    <xf numFmtId="14" fontId="19" fillId="0" borderId="3" xfId="0" applyNumberFormat="1" applyFont="1" applyBorder="1" applyAlignment="1">
      <alignment horizontal="center" vertical="center" wrapText="1"/>
    </xf>
    <xf numFmtId="0" fontId="23" fillId="17" borderId="2" xfId="0" applyFont="1" applyFill="1" applyBorder="1" applyAlignment="1" applyProtection="1">
      <alignment horizontal="center" vertical="center" wrapText="1"/>
      <protection locked="0"/>
    </xf>
    <xf numFmtId="0" fontId="5" fillId="19" borderId="2"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18" borderId="52" xfId="0" applyFont="1" applyFill="1" applyBorder="1" applyAlignment="1">
      <alignment horizontal="center" vertical="center" wrapText="1"/>
    </xf>
    <xf numFmtId="0" fontId="5" fillId="18" borderId="56" xfId="0" applyFont="1" applyFill="1" applyBorder="1" applyAlignment="1">
      <alignment horizontal="center" vertical="center" wrapText="1"/>
    </xf>
    <xf numFmtId="0" fontId="5" fillId="18" borderId="53" xfId="0" applyFont="1" applyFill="1" applyBorder="1" applyAlignment="1">
      <alignment horizontal="center" vertical="center" wrapText="1"/>
    </xf>
    <xf numFmtId="0" fontId="5" fillId="0" borderId="0" xfId="0" applyFont="1" applyAlignment="1">
      <alignment horizontal="left" vertical="center" wrapText="1"/>
    </xf>
    <xf numFmtId="0" fontId="11" fillId="3" borderId="52" xfId="0" applyFont="1" applyFill="1" applyBorder="1" applyAlignment="1">
      <alignment horizontal="center"/>
    </xf>
    <xf numFmtId="0" fontId="11" fillId="3" borderId="53" xfId="0" applyFont="1" applyFill="1" applyBorder="1" applyAlignment="1">
      <alignment horizontal="center"/>
    </xf>
    <xf numFmtId="0" fontId="35" fillId="27" borderId="74" xfId="0" applyFont="1" applyFill="1" applyBorder="1" applyAlignment="1">
      <alignment horizontal="center" vertical="center"/>
    </xf>
    <xf numFmtId="0" fontId="35" fillId="27" borderId="78" xfId="0" applyFont="1" applyFill="1" applyBorder="1" applyAlignment="1">
      <alignment horizontal="center" vertical="center"/>
    </xf>
    <xf numFmtId="0" fontId="35" fillId="27" borderId="74" xfId="0" applyFont="1" applyFill="1" applyBorder="1" applyAlignment="1">
      <alignment horizontal="center" vertical="center" wrapText="1"/>
    </xf>
    <xf numFmtId="0" fontId="35" fillId="27" borderId="78" xfId="0" applyFont="1" applyFill="1" applyBorder="1" applyAlignment="1">
      <alignment horizontal="center" vertical="center" wrapText="1"/>
    </xf>
    <xf numFmtId="0" fontId="36" fillId="0" borderId="52" xfId="0" applyFont="1" applyBorder="1" applyAlignment="1">
      <alignment horizontal="center"/>
    </xf>
    <xf numFmtId="0" fontId="36" fillId="0" borderId="56" xfId="0" applyFont="1" applyBorder="1" applyAlignment="1">
      <alignment horizontal="center"/>
    </xf>
    <xf numFmtId="0" fontId="36" fillId="0" borderId="53" xfId="0" applyFont="1" applyBorder="1" applyAlignment="1">
      <alignment horizontal="center"/>
    </xf>
    <xf numFmtId="0" fontId="21" fillId="10" borderId="49" xfId="0" applyFont="1" applyFill="1" applyBorder="1" applyAlignment="1">
      <alignment horizontal="center" vertical="center" wrapText="1"/>
    </xf>
    <xf numFmtId="0" fontId="21" fillId="10" borderId="50" xfId="0" applyFont="1" applyFill="1" applyBorder="1" applyAlignment="1">
      <alignment horizontal="center" vertical="center" wrapText="1"/>
    </xf>
    <xf numFmtId="165" fontId="10" fillId="25" borderId="80" xfId="0" applyNumberFormat="1" applyFont="1" applyFill="1" applyBorder="1" applyAlignment="1">
      <alignment horizontal="center" vertical="center" wrapText="1"/>
    </xf>
    <xf numFmtId="165" fontId="10" fillId="25" borderId="81" xfId="0" applyNumberFormat="1" applyFont="1" applyFill="1" applyBorder="1" applyAlignment="1">
      <alignment horizontal="center" vertical="center" wrapText="1"/>
    </xf>
    <xf numFmtId="0" fontId="32" fillId="3" borderId="10" xfId="0" applyFont="1" applyFill="1" applyBorder="1" applyAlignment="1">
      <alignment horizontal="center" vertical="center"/>
    </xf>
    <xf numFmtId="0" fontId="32" fillId="3" borderId="21" xfId="0" applyFont="1" applyFill="1" applyBorder="1" applyAlignment="1">
      <alignment horizontal="center" vertical="center"/>
    </xf>
    <xf numFmtId="0" fontId="35" fillId="27" borderId="49" xfId="0" applyFont="1" applyFill="1" applyBorder="1" applyAlignment="1">
      <alignment horizontal="center" vertical="center"/>
    </xf>
  </cellXfs>
  <cellStyles count="6">
    <cellStyle name="Hipervínculo" xfId="5" builtinId="8"/>
    <cellStyle name="Millares" xfId="1" builtinId="3"/>
    <cellStyle name="Normal" xfId="0" builtinId="0"/>
    <cellStyle name="Normal 2" xfId="3"/>
    <cellStyle name="Normal 3" xfId="4"/>
    <cellStyle name="Porcentaje" xfId="2" builtinId="5"/>
  </cellStyles>
  <dxfs count="998">
    <dxf>
      <fill>
        <patternFill>
          <bgColor theme="5" tint="0.79998168889431442"/>
        </patternFill>
      </fill>
    </dxf>
    <dxf>
      <fill>
        <patternFill>
          <bgColor theme="8" tint="0.79998168889431442"/>
        </pattern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s>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alidad\208-PLA-FT-01%20Listado%20maestro%20de%20docu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Maestro de documentos"/>
      <sheetName val="LISTAS SOPORTE"/>
      <sheetName val="Hoja1"/>
    </sheetNames>
    <sheetDataSet>
      <sheetData sheetId="0"/>
      <sheetData sheetId="1">
        <row r="2">
          <cell r="A2" t="str">
            <v>ACTIVO</v>
          </cell>
        </row>
        <row r="3">
          <cell r="A3" t="str">
            <v>INACTIVO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1.%20PROCESO%20DE%20GESTI&#211;N%20ESTRAT&#201;GICA/MANUALES/208-PLA-Mn-06%20PLAN%20ESTRAT&#201;GICO%20DE%20LA%20CAJA%20DE%20LA%20VIVIENDA%20POPULAR"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15"/>
  <sheetViews>
    <sheetView workbookViewId="0">
      <selection activeCell="E11" sqref="E11:E15"/>
    </sheetView>
  </sheetViews>
  <sheetFormatPr baseColWidth="10" defaultRowHeight="15" x14ac:dyDescent="0.25"/>
  <cols>
    <col min="1" max="1" width="32.85546875" style="1" customWidth="1"/>
    <col min="2" max="2" width="16.28515625" style="1" customWidth="1"/>
    <col min="3" max="3" width="16.85546875" style="1" customWidth="1"/>
    <col min="4" max="4" width="11.42578125" style="1"/>
    <col min="5" max="5" width="22.140625" style="1" customWidth="1"/>
    <col min="6" max="16384" width="11.42578125" style="1"/>
  </cols>
  <sheetData>
    <row r="1" spans="1:5" x14ac:dyDescent="0.25">
      <c r="A1" s="19" t="s">
        <v>9</v>
      </c>
      <c r="B1" s="19" t="s">
        <v>45</v>
      </c>
      <c r="C1" s="19" t="s">
        <v>47</v>
      </c>
      <c r="D1" s="19" t="s">
        <v>34</v>
      </c>
      <c r="E1" s="20" t="s">
        <v>48</v>
      </c>
    </row>
    <row r="2" spans="1:5" x14ac:dyDescent="0.25">
      <c r="A2" s="1" t="s">
        <v>49</v>
      </c>
      <c r="B2" s="21" t="s">
        <v>31</v>
      </c>
      <c r="C2" s="1" t="s">
        <v>50</v>
      </c>
      <c r="D2" s="1" t="s">
        <v>51</v>
      </c>
      <c r="E2" s="1" t="s">
        <v>336</v>
      </c>
    </row>
    <row r="3" spans="1:5" x14ac:dyDescent="0.25">
      <c r="A3" s="231" t="s">
        <v>10</v>
      </c>
      <c r="B3" s="23" t="s">
        <v>53</v>
      </c>
      <c r="C3" s="1" t="s">
        <v>54</v>
      </c>
      <c r="D3" s="1" t="s">
        <v>55</v>
      </c>
      <c r="E3" s="1" t="s">
        <v>52</v>
      </c>
    </row>
    <row r="4" spans="1:5" ht="30" x14ac:dyDescent="0.25">
      <c r="A4" s="232" t="s">
        <v>337</v>
      </c>
      <c r="B4" s="22" t="s">
        <v>3</v>
      </c>
      <c r="C4" s="1" t="s">
        <v>57</v>
      </c>
      <c r="E4" s="1" t="s">
        <v>56</v>
      </c>
    </row>
    <row r="5" spans="1:5" x14ac:dyDescent="0.25">
      <c r="A5" s="1" t="s">
        <v>2</v>
      </c>
      <c r="E5" s="1" t="s">
        <v>58</v>
      </c>
    </row>
    <row r="6" spans="1:5" x14ac:dyDescent="0.25">
      <c r="A6" s="231" t="s">
        <v>25</v>
      </c>
      <c r="E6" s="231" t="s">
        <v>527</v>
      </c>
    </row>
    <row r="7" spans="1:5" x14ac:dyDescent="0.25">
      <c r="A7" s="1" t="s">
        <v>37</v>
      </c>
      <c r="E7" s="1" t="s">
        <v>59</v>
      </c>
    </row>
    <row r="8" spans="1:5" x14ac:dyDescent="0.25">
      <c r="A8" s="231" t="s">
        <v>36</v>
      </c>
      <c r="E8" s="1" t="s">
        <v>528</v>
      </c>
    </row>
    <row r="9" spans="1:5" x14ac:dyDescent="0.25">
      <c r="A9" s="1" t="s">
        <v>267</v>
      </c>
      <c r="E9" s="1" t="s">
        <v>167</v>
      </c>
    </row>
    <row r="10" spans="1:5" ht="30" x14ac:dyDescent="0.25">
      <c r="A10" s="22" t="s">
        <v>62</v>
      </c>
      <c r="E10" s="1" t="s">
        <v>200</v>
      </c>
    </row>
    <row r="11" spans="1:5" x14ac:dyDescent="0.25">
      <c r="A11" s="1" t="s">
        <v>63</v>
      </c>
      <c r="E11" s="1" t="s">
        <v>846</v>
      </c>
    </row>
    <row r="12" spans="1:5" x14ac:dyDescent="0.25">
      <c r="A12" s="1" t="s">
        <v>335</v>
      </c>
      <c r="E12" s="1" t="s">
        <v>847</v>
      </c>
    </row>
    <row r="13" spans="1:5" x14ac:dyDescent="0.25">
      <c r="A13" s="1" t="s">
        <v>61</v>
      </c>
      <c r="E13" s="1" t="s">
        <v>848</v>
      </c>
    </row>
    <row r="14" spans="1:5" x14ac:dyDescent="0.25">
      <c r="A14" s="1" t="s">
        <v>65</v>
      </c>
      <c r="E14" s="1" t="s">
        <v>849</v>
      </c>
    </row>
    <row r="15" spans="1:5" x14ac:dyDescent="0.25">
      <c r="E15" s="1" t="s">
        <v>850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145"/>
  <sheetViews>
    <sheetView topLeftCell="A2" zoomScaleNormal="100" zoomScaleSheetLayoutView="50" workbookViewId="0">
      <pane ySplit="1575" activePane="bottomLeft"/>
      <selection activeCell="A22" sqref="A22"/>
      <selection pane="bottomLeft" activeCell="C4" sqref="C4"/>
    </sheetView>
  </sheetViews>
  <sheetFormatPr baseColWidth="10" defaultRowHeight="12.75" x14ac:dyDescent="0.2"/>
  <cols>
    <col min="1" max="1" width="6" style="32" customWidth="1"/>
    <col min="2" max="2" width="23.28515625" style="31" customWidth="1"/>
    <col min="3" max="3" width="25.140625" style="55" customWidth="1"/>
    <col min="4" max="4" width="11.28515625" style="55" customWidth="1"/>
    <col min="5" max="5" width="12.7109375" style="55" customWidth="1"/>
    <col min="6" max="6" width="11.85546875" style="56" customWidth="1"/>
    <col min="7" max="7" width="33.42578125" style="31" customWidth="1"/>
    <col min="8" max="8" width="11.42578125" style="31" customWidth="1"/>
    <col min="9" max="9" width="11.7109375" style="32" customWidth="1"/>
    <col min="10" max="10" width="12" style="32" customWidth="1"/>
    <col min="11" max="11" width="16" style="32" customWidth="1"/>
    <col min="12" max="12" width="34.7109375" style="32" customWidth="1"/>
    <col min="13" max="13" width="36.28515625" style="57" customWidth="1"/>
    <col min="14" max="14" width="10.28515625" style="32" customWidth="1"/>
    <col min="15" max="15" width="11.85546875" style="32" customWidth="1"/>
    <col min="16" max="16" width="20.42578125" style="31" customWidth="1"/>
    <col min="17" max="17" width="15.5703125" style="31" customWidth="1"/>
    <col min="18" max="18" width="17.28515625" style="31" customWidth="1"/>
    <col min="19" max="16384" width="11.42578125" style="31"/>
  </cols>
  <sheetData>
    <row r="1" spans="1:18" ht="16.5" thickBot="1" x14ac:dyDescent="0.25">
      <c r="A1" s="24"/>
      <c r="B1" s="25" t="s">
        <v>66</v>
      </c>
      <c r="C1" s="26" t="s">
        <v>67</v>
      </c>
      <c r="D1" s="27"/>
      <c r="E1" s="27"/>
      <c r="F1" s="28"/>
      <c r="G1" s="29"/>
      <c r="H1" s="29"/>
      <c r="I1" s="30"/>
      <c r="J1" s="30"/>
      <c r="K1" s="30"/>
      <c r="L1" s="31"/>
      <c r="M1" s="29"/>
      <c r="O1" s="31"/>
    </row>
    <row r="2" spans="1:18" ht="3.75" customHeight="1" thickBot="1" x14ac:dyDescent="0.25">
      <c r="B2" s="29"/>
      <c r="C2" s="33"/>
      <c r="D2" s="33"/>
      <c r="E2" s="33"/>
      <c r="F2" s="28"/>
      <c r="G2" s="29"/>
      <c r="H2" s="29"/>
      <c r="I2" s="30"/>
      <c r="J2" s="30"/>
      <c r="K2" s="30"/>
      <c r="L2" s="30"/>
      <c r="M2" s="29"/>
      <c r="O2" s="30"/>
    </row>
    <row r="3" spans="1:18" ht="60" thickBot="1" x14ac:dyDescent="0.25">
      <c r="A3" s="34" t="s">
        <v>68</v>
      </c>
      <c r="B3" s="35" t="s">
        <v>0</v>
      </c>
      <c r="C3" s="35" t="s">
        <v>1</v>
      </c>
      <c r="D3" s="36" t="s">
        <v>42</v>
      </c>
      <c r="E3" s="36" t="s">
        <v>69</v>
      </c>
      <c r="F3" s="37" t="s">
        <v>70</v>
      </c>
      <c r="G3" s="38" t="s">
        <v>71</v>
      </c>
      <c r="H3" s="39" t="s">
        <v>45</v>
      </c>
      <c r="I3" s="40" t="s">
        <v>72</v>
      </c>
      <c r="J3" s="36" t="s">
        <v>73</v>
      </c>
      <c r="K3" s="39" t="s">
        <v>47</v>
      </c>
      <c r="L3" s="39" t="s">
        <v>33</v>
      </c>
      <c r="M3" s="39" t="s">
        <v>32</v>
      </c>
      <c r="N3" s="35" t="s">
        <v>34</v>
      </c>
      <c r="O3" s="39" t="s">
        <v>74</v>
      </c>
      <c r="P3" s="39" t="s">
        <v>75</v>
      </c>
      <c r="Q3" s="36" t="s">
        <v>76</v>
      </c>
      <c r="R3" s="41" t="s">
        <v>77</v>
      </c>
    </row>
    <row r="4" spans="1:18" ht="26.25" thickTop="1" x14ac:dyDescent="0.2">
      <c r="A4" s="42">
        <v>1</v>
      </c>
      <c r="B4" s="43" t="s">
        <v>36</v>
      </c>
      <c r="C4" s="44"/>
      <c r="D4" s="16" t="s">
        <v>43</v>
      </c>
      <c r="E4" s="45"/>
      <c r="F4" s="46"/>
      <c r="G4" s="47"/>
      <c r="H4" s="48" t="s">
        <v>78</v>
      </c>
      <c r="I4" s="49" t="s">
        <v>79</v>
      </c>
      <c r="J4" s="46"/>
      <c r="K4" s="16"/>
      <c r="L4" s="16"/>
      <c r="M4" s="42"/>
      <c r="N4" s="42" t="s">
        <v>55</v>
      </c>
      <c r="O4" s="46"/>
      <c r="P4" s="42"/>
      <c r="Q4" s="50">
        <f>DAYS360(F4,J4,0)+1</f>
        <v>1</v>
      </c>
      <c r="R4" s="50">
        <f>IFERROR((DAYS360(J4,O4,0)+1),1)</f>
        <v>1</v>
      </c>
    </row>
    <row r="5" spans="1:18" ht="14.25" x14ac:dyDescent="0.2">
      <c r="A5" s="42">
        <v>2</v>
      </c>
      <c r="B5" s="43"/>
      <c r="C5" s="44"/>
      <c r="D5" s="16"/>
      <c r="E5" s="16"/>
      <c r="F5" s="46"/>
      <c r="G5" s="47"/>
      <c r="H5" s="48"/>
      <c r="I5" s="49"/>
      <c r="J5" s="46"/>
      <c r="K5" s="16"/>
      <c r="L5" s="16"/>
      <c r="M5" s="42"/>
      <c r="N5" s="42"/>
      <c r="O5" s="46"/>
      <c r="P5" s="42"/>
      <c r="Q5" s="50">
        <f t="shared" ref="Q5:Q68" si="0">DAYS360(F5,J5,0)+1</f>
        <v>1</v>
      </c>
      <c r="R5" s="50">
        <f t="shared" ref="R5:R68" si="1">IFERROR((DAYS360(J5,O5,0)+1),1)</f>
        <v>1</v>
      </c>
    </row>
    <row r="6" spans="1:18" ht="14.25" x14ac:dyDescent="0.2">
      <c r="A6" s="42">
        <v>3</v>
      </c>
      <c r="B6" s="43"/>
      <c r="C6" s="44"/>
      <c r="D6" s="16"/>
      <c r="E6" s="16"/>
      <c r="F6" s="46"/>
      <c r="G6" s="47"/>
      <c r="H6" s="48"/>
      <c r="I6" s="49"/>
      <c r="J6" s="46"/>
      <c r="K6" s="16"/>
      <c r="L6" s="16"/>
      <c r="M6" s="42"/>
      <c r="N6" s="42"/>
      <c r="O6" s="46"/>
      <c r="P6" s="42"/>
      <c r="Q6" s="50">
        <f t="shared" si="0"/>
        <v>1</v>
      </c>
      <c r="R6" s="50">
        <f t="shared" si="1"/>
        <v>1</v>
      </c>
    </row>
    <row r="7" spans="1:18" ht="14.25" x14ac:dyDescent="0.2">
      <c r="A7" s="42">
        <v>4</v>
      </c>
      <c r="B7" s="43" t="s">
        <v>49</v>
      </c>
      <c r="C7" s="44"/>
      <c r="D7" s="16" t="s">
        <v>43</v>
      </c>
      <c r="E7" s="16"/>
      <c r="F7" s="46"/>
      <c r="G7" s="47"/>
      <c r="H7" s="48" t="s">
        <v>78</v>
      </c>
      <c r="I7" s="49" t="s">
        <v>80</v>
      </c>
      <c r="J7" s="46"/>
      <c r="K7" s="16"/>
      <c r="L7" s="16"/>
      <c r="M7" s="42"/>
      <c r="N7" s="42" t="s">
        <v>51</v>
      </c>
      <c r="O7" s="46"/>
      <c r="P7" s="42"/>
      <c r="Q7" s="50">
        <f t="shared" si="0"/>
        <v>1</v>
      </c>
      <c r="R7" s="50">
        <f t="shared" si="1"/>
        <v>1</v>
      </c>
    </row>
    <row r="8" spans="1:18" ht="14.25" x14ac:dyDescent="0.2">
      <c r="A8" s="42">
        <v>5</v>
      </c>
      <c r="B8" s="43"/>
      <c r="C8" s="44"/>
      <c r="D8" s="16"/>
      <c r="E8" s="16"/>
      <c r="F8" s="46"/>
      <c r="G8" s="47"/>
      <c r="H8" s="48"/>
      <c r="I8" s="49"/>
      <c r="J8" s="46"/>
      <c r="K8" s="16"/>
      <c r="L8" s="16"/>
      <c r="M8" s="42"/>
      <c r="N8" s="42"/>
      <c r="O8" s="46"/>
      <c r="P8" s="42"/>
      <c r="Q8" s="50">
        <f t="shared" si="0"/>
        <v>1</v>
      </c>
      <c r="R8" s="50">
        <f t="shared" si="1"/>
        <v>1</v>
      </c>
    </row>
    <row r="9" spans="1:18" ht="14.25" x14ac:dyDescent="0.2">
      <c r="A9" s="42">
        <v>6</v>
      </c>
      <c r="B9" s="43"/>
      <c r="C9" s="44"/>
      <c r="D9" s="16"/>
      <c r="E9" s="16"/>
      <c r="F9" s="46"/>
      <c r="G9" s="47"/>
      <c r="H9" s="48"/>
      <c r="I9" s="49"/>
      <c r="J9" s="46"/>
      <c r="K9" s="16"/>
      <c r="L9" s="16"/>
      <c r="M9" s="42"/>
      <c r="N9" s="42"/>
      <c r="O9" s="46"/>
      <c r="P9" s="42"/>
      <c r="Q9" s="50">
        <f t="shared" si="0"/>
        <v>1</v>
      </c>
      <c r="R9" s="50">
        <f t="shared" si="1"/>
        <v>1</v>
      </c>
    </row>
    <row r="10" spans="1:18" ht="25.5" x14ac:dyDescent="0.2">
      <c r="A10" s="42">
        <v>7</v>
      </c>
      <c r="B10" s="43" t="s">
        <v>36</v>
      </c>
      <c r="C10" s="44"/>
      <c r="D10" s="16" t="s">
        <v>43</v>
      </c>
      <c r="E10" s="16"/>
      <c r="F10" s="46"/>
      <c r="G10" s="47"/>
      <c r="H10" s="48" t="s">
        <v>53</v>
      </c>
      <c r="I10" s="49" t="s">
        <v>79</v>
      </c>
      <c r="J10" s="46"/>
      <c r="K10" s="16"/>
      <c r="L10" s="16"/>
      <c r="M10" s="42"/>
      <c r="N10" s="42" t="s">
        <v>51</v>
      </c>
      <c r="O10" s="46"/>
      <c r="P10" s="42"/>
      <c r="Q10" s="50">
        <f t="shared" si="0"/>
        <v>1</v>
      </c>
      <c r="R10" s="50">
        <f t="shared" si="1"/>
        <v>1</v>
      </c>
    </row>
    <row r="11" spans="1:18" ht="14.25" x14ac:dyDescent="0.2">
      <c r="A11" s="42">
        <v>8</v>
      </c>
      <c r="B11" s="43"/>
      <c r="C11" s="44"/>
      <c r="D11" s="16"/>
      <c r="E11" s="16"/>
      <c r="F11" s="46"/>
      <c r="G11" s="47"/>
      <c r="H11" s="48"/>
      <c r="I11" s="49"/>
      <c r="J11" s="46"/>
      <c r="K11" s="16"/>
      <c r="L11" s="16"/>
      <c r="M11" s="42"/>
      <c r="N11" s="42"/>
      <c r="O11" s="46"/>
      <c r="P11" s="42"/>
      <c r="Q11" s="50">
        <f t="shared" si="0"/>
        <v>1</v>
      </c>
      <c r="R11" s="50">
        <f t="shared" si="1"/>
        <v>1</v>
      </c>
    </row>
    <row r="12" spans="1:18" ht="14.25" x14ac:dyDescent="0.2">
      <c r="A12" s="42">
        <v>9</v>
      </c>
      <c r="B12" s="43"/>
      <c r="C12" s="44"/>
      <c r="D12" s="16"/>
      <c r="E12" s="16"/>
      <c r="F12" s="46"/>
      <c r="G12" s="47"/>
      <c r="H12" s="48"/>
      <c r="I12" s="49"/>
      <c r="J12" s="46"/>
      <c r="K12" s="16"/>
      <c r="L12" s="16"/>
      <c r="M12" s="42"/>
      <c r="N12" s="42"/>
      <c r="O12" s="46"/>
      <c r="P12" s="42"/>
      <c r="Q12" s="50">
        <f t="shared" si="0"/>
        <v>1</v>
      </c>
      <c r="R12" s="50">
        <f t="shared" si="1"/>
        <v>1</v>
      </c>
    </row>
    <row r="13" spans="1:18" ht="14.25" x14ac:dyDescent="0.2">
      <c r="A13" s="42">
        <v>10</v>
      </c>
      <c r="B13" s="43" t="s">
        <v>25</v>
      </c>
      <c r="C13" s="44"/>
      <c r="D13" s="16" t="s">
        <v>43</v>
      </c>
      <c r="E13" s="16"/>
      <c r="F13" s="46"/>
      <c r="G13" s="47"/>
      <c r="H13" s="48" t="s">
        <v>78</v>
      </c>
      <c r="I13" s="49" t="s">
        <v>79</v>
      </c>
      <c r="J13" s="46"/>
      <c r="K13" s="16"/>
      <c r="L13" s="16"/>
      <c r="M13" s="42"/>
      <c r="N13" s="42" t="s">
        <v>51</v>
      </c>
      <c r="O13" s="46"/>
      <c r="P13" s="42"/>
      <c r="Q13" s="50">
        <f t="shared" si="0"/>
        <v>1</v>
      </c>
      <c r="R13" s="50">
        <f t="shared" si="1"/>
        <v>1</v>
      </c>
    </row>
    <row r="14" spans="1:18" ht="14.25" x14ac:dyDescent="0.2">
      <c r="A14" s="42">
        <v>11</v>
      </c>
      <c r="B14" s="43"/>
      <c r="C14" s="44"/>
      <c r="D14" s="16"/>
      <c r="E14" s="16"/>
      <c r="F14" s="46"/>
      <c r="G14" s="47"/>
      <c r="H14" s="48"/>
      <c r="I14" s="49"/>
      <c r="J14" s="46"/>
      <c r="K14" s="16"/>
      <c r="L14" s="16"/>
      <c r="M14" s="42"/>
      <c r="N14" s="42"/>
      <c r="O14" s="46"/>
      <c r="P14" s="42"/>
      <c r="Q14" s="50">
        <f t="shared" si="0"/>
        <v>1</v>
      </c>
      <c r="R14" s="50">
        <f t="shared" si="1"/>
        <v>1</v>
      </c>
    </row>
    <row r="15" spans="1:18" ht="14.25" x14ac:dyDescent="0.2">
      <c r="A15" s="42">
        <v>12</v>
      </c>
      <c r="B15" s="43" t="s">
        <v>37</v>
      </c>
      <c r="C15" s="44"/>
      <c r="D15" s="16" t="s">
        <v>43</v>
      </c>
      <c r="E15" s="16"/>
      <c r="F15" s="46"/>
      <c r="G15" s="47"/>
      <c r="H15" s="48" t="s">
        <v>78</v>
      </c>
      <c r="I15" s="49" t="s">
        <v>79</v>
      </c>
      <c r="J15" s="46"/>
      <c r="K15" s="16"/>
      <c r="L15" s="16"/>
      <c r="M15" s="42"/>
      <c r="N15" s="42" t="s">
        <v>55</v>
      </c>
      <c r="O15" s="46"/>
      <c r="P15" s="42"/>
      <c r="Q15" s="50">
        <f t="shared" si="0"/>
        <v>1</v>
      </c>
      <c r="R15" s="50">
        <f t="shared" si="1"/>
        <v>1</v>
      </c>
    </row>
    <row r="16" spans="1:18" ht="14.25" x14ac:dyDescent="0.2">
      <c r="A16" s="42">
        <v>13</v>
      </c>
      <c r="B16" s="43"/>
      <c r="C16" s="44"/>
      <c r="D16" s="16"/>
      <c r="E16" s="16"/>
      <c r="F16" s="46"/>
      <c r="G16" s="47"/>
      <c r="H16" s="48"/>
      <c r="I16" s="49"/>
      <c r="J16" s="46"/>
      <c r="K16" s="16"/>
      <c r="L16" s="16"/>
      <c r="M16" s="42"/>
      <c r="N16" s="42"/>
      <c r="O16" s="46"/>
      <c r="P16" s="42"/>
      <c r="Q16" s="50">
        <f t="shared" si="0"/>
        <v>1</v>
      </c>
      <c r="R16" s="50">
        <f t="shared" si="1"/>
        <v>1</v>
      </c>
    </row>
    <row r="17" spans="1:18" ht="14.25" x14ac:dyDescent="0.2">
      <c r="A17" s="42">
        <v>14</v>
      </c>
      <c r="B17" s="43"/>
      <c r="C17" s="44"/>
      <c r="D17" s="16"/>
      <c r="E17" s="16"/>
      <c r="F17" s="46"/>
      <c r="G17" s="47"/>
      <c r="H17" s="48"/>
      <c r="I17" s="49"/>
      <c r="J17" s="46"/>
      <c r="K17" s="16"/>
      <c r="L17" s="16"/>
      <c r="M17" s="42"/>
      <c r="N17" s="42"/>
      <c r="O17" s="46"/>
      <c r="P17" s="42"/>
      <c r="Q17" s="50">
        <f t="shared" si="0"/>
        <v>1</v>
      </c>
      <c r="R17" s="50">
        <f t="shared" si="1"/>
        <v>1</v>
      </c>
    </row>
    <row r="18" spans="1:18" ht="14.25" x14ac:dyDescent="0.2">
      <c r="A18" s="42">
        <v>15</v>
      </c>
      <c r="B18" s="43"/>
      <c r="C18" s="44"/>
      <c r="D18" s="16"/>
      <c r="E18" s="16"/>
      <c r="F18" s="46"/>
      <c r="G18" s="47"/>
      <c r="H18" s="48"/>
      <c r="I18" s="49"/>
      <c r="J18" s="46"/>
      <c r="K18" s="16"/>
      <c r="L18" s="16"/>
      <c r="M18" s="42"/>
      <c r="N18" s="42"/>
      <c r="O18" s="46"/>
      <c r="P18" s="42"/>
      <c r="Q18" s="50">
        <f t="shared" si="0"/>
        <v>1</v>
      </c>
      <c r="R18" s="50">
        <f t="shared" si="1"/>
        <v>1</v>
      </c>
    </row>
    <row r="19" spans="1:18" ht="14.25" x14ac:dyDescent="0.2">
      <c r="A19" s="42">
        <v>16</v>
      </c>
      <c r="B19" s="43"/>
      <c r="C19" s="44"/>
      <c r="D19" s="16"/>
      <c r="E19" s="16"/>
      <c r="F19" s="46"/>
      <c r="G19" s="47"/>
      <c r="H19" s="48"/>
      <c r="I19" s="49"/>
      <c r="J19" s="46"/>
      <c r="K19" s="16"/>
      <c r="L19" s="16"/>
      <c r="M19" s="42"/>
      <c r="N19" s="42"/>
      <c r="O19" s="46"/>
      <c r="P19" s="42"/>
      <c r="Q19" s="50">
        <f t="shared" si="0"/>
        <v>1</v>
      </c>
      <c r="R19" s="50">
        <f t="shared" si="1"/>
        <v>1</v>
      </c>
    </row>
    <row r="20" spans="1:18" ht="14.25" x14ac:dyDescent="0.2">
      <c r="A20" s="42">
        <v>17</v>
      </c>
      <c r="B20" s="43"/>
      <c r="C20" s="44"/>
      <c r="D20" s="16"/>
      <c r="E20" s="16"/>
      <c r="F20" s="46"/>
      <c r="G20" s="47"/>
      <c r="H20" s="48"/>
      <c r="I20" s="49"/>
      <c r="J20" s="46"/>
      <c r="K20" s="16"/>
      <c r="L20" s="16"/>
      <c r="M20" s="42"/>
      <c r="N20" s="42"/>
      <c r="O20" s="46"/>
      <c r="P20" s="42"/>
      <c r="Q20" s="50">
        <f t="shared" si="0"/>
        <v>1</v>
      </c>
      <c r="R20" s="50">
        <f t="shared" si="1"/>
        <v>1</v>
      </c>
    </row>
    <row r="21" spans="1:18" ht="14.25" x14ac:dyDescent="0.2">
      <c r="A21" s="42">
        <v>18</v>
      </c>
      <c r="B21" s="43"/>
      <c r="C21" s="44"/>
      <c r="D21" s="16"/>
      <c r="E21" s="16"/>
      <c r="F21" s="46"/>
      <c r="G21" s="47"/>
      <c r="H21" s="48"/>
      <c r="I21" s="49"/>
      <c r="J21" s="46"/>
      <c r="K21" s="16"/>
      <c r="L21" s="16"/>
      <c r="M21" s="42"/>
      <c r="N21" s="42"/>
      <c r="O21" s="46"/>
      <c r="P21" s="42"/>
      <c r="Q21" s="50">
        <f t="shared" si="0"/>
        <v>1</v>
      </c>
      <c r="R21" s="50">
        <f t="shared" si="1"/>
        <v>1</v>
      </c>
    </row>
    <row r="22" spans="1:18" ht="14.25" x14ac:dyDescent="0.2">
      <c r="A22" s="42">
        <v>19</v>
      </c>
      <c r="B22" s="43"/>
      <c r="C22" s="44"/>
      <c r="D22" s="16"/>
      <c r="E22" s="16"/>
      <c r="F22" s="46"/>
      <c r="G22" s="47"/>
      <c r="H22" s="48"/>
      <c r="I22" s="49"/>
      <c r="J22" s="46"/>
      <c r="K22" s="16"/>
      <c r="L22" s="16"/>
      <c r="M22" s="42"/>
      <c r="N22" s="42"/>
      <c r="O22" s="46"/>
      <c r="P22" s="42"/>
      <c r="Q22" s="50">
        <f t="shared" si="0"/>
        <v>1</v>
      </c>
      <c r="R22" s="50">
        <f t="shared" si="1"/>
        <v>1</v>
      </c>
    </row>
    <row r="23" spans="1:18" ht="14.25" x14ac:dyDescent="0.2">
      <c r="A23" s="42">
        <v>20</v>
      </c>
      <c r="B23" s="43"/>
      <c r="C23" s="44"/>
      <c r="D23" s="16"/>
      <c r="E23" s="16"/>
      <c r="F23" s="46"/>
      <c r="G23" s="47"/>
      <c r="H23" s="48"/>
      <c r="I23" s="49"/>
      <c r="J23" s="46"/>
      <c r="K23" s="16"/>
      <c r="L23" s="16"/>
      <c r="M23" s="42"/>
      <c r="N23" s="42"/>
      <c r="O23" s="46"/>
      <c r="P23" s="42"/>
      <c r="Q23" s="50">
        <f t="shared" si="0"/>
        <v>1</v>
      </c>
      <c r="R23" s="50">
        <f t="shared" si="1"/>
        <v>1</v>
      </c>
    </row>
    <row r="24" spans="1:18" ht="14.25" x14ac:dyDescent="0.2">
      <c r="A24" s="42">
        <v>21</v>
      </c>
      <c r="B24" s="43"/>
      <c r="C24" s="44"/>
      <c r="D24" s="16"/>
      <c r="E24" s="16"/>
      <c r="F24" s="46"/>
      <c r="G24" s="47"/>
      <c r="H24" s="48"/>
      <c r="I24" s="49"/>
      <c r="J24" s="46"/>
      <c r="K24" s="16"/>
      <c r="L24" s="16"/>
      <c r="M24" s="42"/>
      <c r="N24" s="42"/>
      <c r="O24" s="46"/>
      <c r="P24" s="42"/>
      <c r="Q24" s="50">
        <f t="shared" si="0"/>
        <v>1</v>
      </c>
      <c r="R24" s="50">
        <f t="shared" si="1"/>
        <v>1</v>
      </c>
    </row>
    <row r="25" spans="1:18" ht="14.25" x14ac:dyDescent="0.2">
      <c r="A25" s="42">
        <v>22</v>
      </c>
      <c r="B25" s="43"/>
      <c r="C25" s="44"/>
      <c r="D25" s="16"/>
      <c r="E25" s="16"/>
      <c r="F25" s="46"/>
      <c r="G25" s="47"/>
      <c r="H25" s="48"/>
      <c r="I25" s="49"/>
      <c r="J25" s="46"/>
      <c r="K25" s="16"/>
      <c r="L25" s="16"/>
      <c r="M25" s="42"/>
      <c r="N25" s="42"/>
      <c r="O25" s="46"/>
      <c r="P25" s="42"/>
      <c r="Q25" s="50">
        <f t="shared" si="0"/>
        <v>1</v>
      </c>
      <c r="R25" s="50">
        <f t="shared" si="1"/>
        <v>1</v>
      </c>
    </row>
    <row r="26" spans="1:18" ht="14.25" x14ac:dyDescent="0.2">
      <c r="A26" s="42">
        <v>23</v>
      </c>
      <c r="B26" s="43"/>
      <c r="C26" s="44"/>
      <c r="D26" s="16"/>
      <c r="E26" s="16"/>
      <c r="F26" s="46"/>
      <c r="G26" s="47"/>
      <c r="H26" s="48"/>
      <c r="I26" s="49"/>
      <c r="J26" s="46"/>
      <c r="K26" s="16"/>
      <c r="L26" s="16"/>
      <c r="M26" s="42"/>
      <c r="N26" s="42"/>
      <c r="O26" s="46"/>
      <c r="P26" s="42"/>
      <c r="Q26" s="50">
        <f t="shared" si="0"/>
        <v>1</v>
      </c>
      <c r="R26" s="50">
        <f t="shared" si="1"/>
        <v>1</v>
      </c>
    </row>
    <row r="27" spans="1:18" ht="14.25" x14ac:dyDescent="0.2">
      <c r="A27" s="42">
        <v>24</v>
      </c>
      <c r="B27" s="43"/>
      <c r="C27" s="44"/>
      <c r="D27" s="16"/>
      <c r="E27" s="16"/>
      <c r="F27" s="46"/>
      <c r="G27" s="47"/>
      <c r="H27" s="48"/>
      <c r="I27" s="49"/>
      <c r="J27" s="46"/>
      <c r="K27" s="16"/>
      <c r="L27" s="16"/>
      <c r="M27" s="42"/>
      <c r="N27" s="42"/>
      <c r="O27" s="46"/>
      <c r="P27" s="42"/>
      <c r="Q27" s="50">
        <f t="shared" si="0"/>
        <v>1</v>
      </c>
      <c r="R27" s="50">
        <f t="shared" si="1"/>
        <v>1</v>
      </c>
    </row>
    <row r="28" spans="1:18" ht="14.25" x14ac:dyDescent="0.2">
      <c r="A28" s="42">
        <v>25</v>
      </c>
      <c r="B28" s="43"/>
      <c r="C28" s="44"/>
      <c r="D28" s="16"/>
      <c r="E28" s="16"/>
      <c r="F28" s="46"/>
      <c r="G28" s="47"/>
      <c r="H28" s="48"/>
      <c r="I28" s="49"/>
      <c r="J28" s="46"/>
      <c r="K28" s="16"/>
      <c r="L28" s="16"/>
      <c r="M28" s="42"/>
      <c r="N28" s="42"/>
      <c r="O28" s="46"/>
      <c r="P28" s="42"/>
      <c r="Q28" s="50">
        <f t="shared" si="0"/>
        <v>1</v>
      </c>
      <c r="R28" s="50">
        <f t="shared" si="1"/>
        <v>1</v>
      </c>
    </row>
    <row r="29" spans="1:18" ht="14.25" x14ac:dyDescent="0.2">
      <c r="A29" s="42">
        <v>26</v>
      </c>
      <c r="B29" s="43"/>
      <c r="C29" s="44"/>
      <c r="D29" s="16"/>
      <c r="E29" s="16"/>
      <c r="F29" s="46"/>
      <c r="G29" s="47"/>
      <c r="H29" s="48"/>
      <c r="I29" s="49"/>
      <c r="J29" s="46"/>
      <c r="K29" s="16"/>
      <c r="L29" s="16"/>
      <c r="M29" s="42"/>
      <c r="N29" s="42"/>
      <c r="O29" s="46"/>
      <c r="P29" s="42"/>
      <c r="Q29" s="50">
        <f t="shared" si="0"/>
        <v>1</v>
      </c>
      <c r="R29" s="50">
        <f t="shared" si="1"/>
        <v>1</v>
      </c>
    </row>
    <row r="30" spans="1:18" ht="14.25" x14ac:dyDescent="0.2">
      <c r="A30" s="42">
        <v>27</v>
      </c>
      <c r="B30" s="43"/>
      <c r="C30" s="44"/>
      <c r="D30" s="16"/>
      <c r="E30" s="16"/>
      <c r="F30" s="46"/>
      <c r="G30" s="47"/>
      <c r="H30" s="48"/>
      <c r="I30" s="49"/>
      <c r="J30" s="46"/>
      <c r="K30" s="16"/>
      <c r="L30" s="16"/>
      <c r="M30" s="42"/>
      <c r="N30" s="42"/>
      <c r="O30" s="46"/>
      <c r="P30" s="42"/>
      <c r="Q30" s="50">
        <f t="shared" si="0"/>
        <v>1</v>
      </c>
      <c r="R30" s="50">
        <f t="shared" si="1"/>
        <v>1</v>
      </c>
    </row>
    <row r="31" spans="1:18" ht="14.25" x14ac:dyDescent="0.2">
      <c r="A31" s="42">
        <v>28</v>
      </c>
      <c r="B31" s="43"/>
      <c r="C31" s="44"/>
      <c r="D31" s="16"/>
      <c r="E31" s="16"/>
      <c r="F31" s="46"/>
      <c r="G31" s="47"/>
      <c r="H31" s="48"/>
      <c r="I31" s="49"/>
      <c r="J31" s="46"/>
      <c r="K31" s="16"/>
      <c r="L31" s="16"/>
      <c r="M31" s="42"/>
      <c r="N31" s="42"/>
      <c r="O31" s="46"/>
      <c r="P31" s="42"/>
      <c r="Q31" s="50">
        <f t="shared" si="0"/>
        <v>1</v>
      </c>
      <c r="R31" s="50">
        <f t="shared" si="1"/>
        <v>1</v>
      </c>
    </row>
    <row r="32" spans="1:18" ht="14.25" x14ac:dyDescent="0.2">
      <c r="A32" s="42">
        <v>29</v>
      </c>
      <c r="B32" s="43"/>
      <c r="C32" s="44"/>
      <c r="D32" s="16"/>
      <c r="E32" s="16"/>
      <c r="F32" s="46"/>
      <c r="G32" s="47"/>
      <c r="H32" s="48"/>
      <c r="I32" s="49"/>
      <c r="J32" s="46"/>
      <c r="K32" s="16"/>
      <c r="L32" s="16"/>
      <c r="M32" s="42"/>
      <c r="N32" s="42"/>
      <c r="O32" s="46"/>
      <c r="P32" s="42"/>
      <c r="Q32" s="50">
        <f t="shared" si="0"/>
        <v>1</v>
      </c>
      <c r="R32" s="50">
        <f t="shared" si="1"/>
        <v>1</v>
      </c>
    </row>
    <row r="33" spans="1:18" ht="14.25" x14ac:dyDescent="0.2">
      <c r="A33" s="42">
        <v>30</v>
      </c>
      <c r="B33" s="43"/>
      <c r="C33" s="44"/>
      <c r="D33" s="16"/>
      <c r="E33" s="16"/>
      <c r="F33" s="46"/>
      <c r="G33" s="47"/>
      <c r="H33" s="48"/>
      <c r="I33" s="49"/>
      <c r="J33" s="46"/>
      <c r="K33" s="16"/>
      <c r="L33" s="16"/>
      <c r="M33" s="42"/>
      <c r="N33" s="42"/>
      <c r="O33" s="46"/>
      <c r="P33" s="42"/>
      <c r="Q33" s="50">
        <f t="shared" si="0"/>
        <v>1</v>
      </c>
      <c r="R33" s="50">
        <f t="shared" si="1"/>
        <v>1</v>
      </c>
    </row>
    <row r="34" spans="1:18" ht="14.25" x14ac:dyDescent="0.2">
      <c r="A34" s="42">
        <v>31</v>
      </c>
      <c r="B34" s="43"/>
      <c r="C34" s="44"/>
      <c r="D34" s="16"/>
      <c r="E34" s="16"/>
      <c r="F34" s="46"/>
      <c r="G34" s="47"/>
      <c r="H34" s="48"/>
      <c r="I34" s="49"/>
      <c r="J34" s="46"/>
      <c r="K34" s="16"/>
      <c r="L34" s="16"/>
      <c r="M34" s="42"/>
      <c r="N34" s="42"/>
      <c r="O34" s="46"/>
      <c r="P34" s="42"/>
      <c r="Q34" s="50">
        <f t="shared" si="0"/>
        <v>1</v>
      </c>
      <c r="R34" s="50">
        <f t="shared" si="1"/>
        <v>1</v>
      </c>
    </row>
    <row r="35" spans="1:18" ht="14.25" x14ac:dyDescent="0.2">
      <c r="A35" s="42">
        <v>32</v>
      </c>
      <c r="B35" s="43"/>
      <c r="C35" s="44"/>
      <c r="D35" s="16"/>
      <c r="E35" s="16"/>
      <c r="F35" s="46"/>
      <c r="G35" s="47"/>
      <c r="H35" s="48"/>
      <c r="I35" s="49"/>
      <c r="J35" s="46"/>
      <c r="K35" s="16"/>
      <c r="L35" s="16"/>
      <c r="M35" s="42"/>
      <c r="N35" s="42"/>
      <c r="O35" s="46"/>
      <c r="P35" s="42"/>
      <c r="Q35" s="50">
        <f t="shared" si="0"/>
        <v>1</v>
      </c>
      <c r="R35" s="50">
        <f t="shared" si="1"/>
        <v>1</v>
      </c>
    </row>
    <row r="36" spans="1:18" ht="14.25" x14ac:dyDescent="0.2">
      <c r="A36" s="42">
        <v>33</v>
      </c>
      <c r="B36" s="43"/>
      <c r="C36" s="44"/>
      <c r="D36" s="16"/>
      <c r="E36" s="16"/>
      <c r="F36" s="46"/>
      <c r="G36" s="47"/>
      <c r="H36" s="48"/>
      <c r="I36" s="49"/>
      <c r="J36" s="46"/>
      <c r="K36" s="16"/>
      <c r="L36" s="16"/>
      <c r="M36" s="42"/>
      <c r="N36" s="42"/>
      <c r="O36" s="46"/>
      <c r="P36" s="42"/>
      <c r="Q36" s="50">
        <f t="shared" si="0"/>
        <v>1</v>
      </c>
      <c r="R36" s="50">
        <f t="shared" si="1"/>
        <v>1</v>
      </c>
    </row>
    <row r="37" spans="1:18" ht="14.25" x14ac:dyDescent="0.2">
      <c r="A37" s="42">
        <v>34</v>
      </c>
      <c r="B37" s="43"/>
      <c r="C37" s="44"/>
      <c r="D37" s="16"/>
      <c r="E37" s="16"/>
      <c r="F37" s="46"/>
      <c r="G37" s="47"/>
      <c r="H37" s="48"/>
      <c r="I37" s="49"/>
      <c r="J37" s="46"/>
      <c r="K37" s="16"/>
      <c r="L37" s="16"/>
      <c r="M37" s="42"/>
      <c r="N37" s="42"/>
      <c r="O37" s="46"/>
      <c r="P37" s="42"/>
      <c r="Q37" s="50">
        <f t="shared" si="0"/>
        <v>1</v>
      </c>
      <c r="R37" s="50">
        <f t="shared" si="1"/>
        <v>1</v>
      </c>
    </row>
    <row r="38" spans="1:18" ht="14.25" x14ac:dyDescent="0.2">
      <c r="A38" s="42">
        <v>35</v>
      </c>
      <c r="B38" s="43"/>
      <c r="C38" s="44"/>
      <c r="D38" s="16"/>
      <c r="E38" s="16"/>
      <c r="F38" s="46"/>
      <c r="G38" s="47"/>
      <c r="H38" s="48"/>
      <c r="I38" s="49"/>
      <c r="J38" s="46"/>
      <c r="K38" s="16"/>
      <c r="L38" s="16"/>
      <c r="M38" s="42"/>
      <c r="N38" s="42"/>
      <c r="O38" s="46"/>
      <c r="P38" s="42"/>
      <c r="Q38" s="50">
        <f t="shared" si="0"/>
        <v>1</v>
      </c>
      <c r="R38" s="50">
        <f t="shared" si="1"/>
        <v>1</v>
      </c>
    </row>
    <row r="39" spans="1:18" ht="14.25" x14ac:dyDescent="0.2">
      <c r="A39" s="42">
        <v>36</v>
      </c>
      <c r="B39" s="43"/>
      <c r="C39" s="44"/>
      <c r="D39" s="16"/>
      <c r="E39" s="16"/>
      <c r="F39" s="46"/>
      <c r="G39" s="47"/>
      <c r="H39" s="48"/>
      <c r="I39" s="49"/>
      <c r="J39" s="46"/>
      <c r="K39" s="16"/>
      <c r="L39" s="16"/>
      <c r="M39" s="42"/>
      <c r="N39" s="42"/>
      <c r="O39" s="46"/>
      <c r="P39" s="42"/>
      <c r="Q39" s="50">
        <f t="shared" si="0"/>
        <v>1</v>
      </c>
      <c r="R39" s="50">
        <f t="shared" si="1"/>
        <v>1</v>
      </c>
    </row>
    <row r="40" spans="1:18" ht="14.25" x14ac:dyDescent="0.2">
      <c r="A40" s="42">
        <v>37</v>
      </c>
      <c r="B40" s="43"/>
      <c r="C40" s="44"/>
      <c r="D40" s="16"/>
      <c r="E40" s="16"/>
      <c r="F40" s="46"/>
      <c r="G40" s="47"/>
      <c r="H40" s="48"/>
      <c r="I40" s="49"/>
      <c r="J40" s="46"/>
      <c r="K40" s="16"/>
      <c r="L40" s="16"/>
      <c r="M40" s="42"/>
      <c r="N40" s="42"/>
      <c r="O40" s="46"/>
      <c r="P40" s="42"/>
      <c r="Q40" s="50">
        <f t="shared" si="0"/>
        <v>1</v>
      </c>
      <c r="R40" s="50">
        <f t="shared" si="1"/>
        <v>1</v>
      </c>
    </row>
    <row r="41" spans="1:18" ht="14.25" x14ac:dyDescent="0.2">
      <c r="A41" s="42">
        <v>38</v>
      </c>
      <c r="B41" s="43"/>
      <c r="C41" s="44"/>
      <c r="D41" s="16"/>
      <c r="E41" s="16"/>
      <c r="F41" s="46"/>
      <c r="G41" s="47"/>
      <c r="H41" s="48"/>
      <c r="I41" s="49"/>
      <c r="J41" s="46"/>
      <c r="K41" s="16"/>
      <c r="L41" s="16"/>
      <c r="M41" s="42"/>
      <c r="N41" s="42"/>
      <c r="O41" s="46"/>
      <c r="P41" s="42"/>
      <c r="Q41" s="50">
        <f t="shared" si="0"/>
        <v>1</v>
      </c>
      <c r="R41" s="50">
        <f t="shared" si="1"/>
        <v>1</v>
      </c>
    </row>
    <row r="42" spans="1:18" ht="14.25" x14ac:dyDescent="0.2">
      <c r="A42" s="42">
        <v>39</v>
      </c>
      <c r="B42" s="43"/>
      <c r="C42" s="44"/>
      <c r="D42" s="16"/>
      <c r="E42" s="16"/>
      <c r="F42" s="46"/>
      <c r="G42" s="47"/>
      <c r="H42" s="48"/>
      <c r="I42" s="49"/>
      <c r="J42" s="46"/>
      <c r="K42" s="16"/>
      <c r="L42" s="16"/>
      <c r="M42" s="42"/>
      <c r="N42" s="42"/>
      <c r="O42" s="46"/>
      <c r="P42" s="42"/>
      <c r="Q42" s="50">
        <f t="shared" si="0"/>
        <v>1</v>
      </c>
      <c r="R42" s="50">
        <f t="shared" si="1"/>
        <v>1</v>
      </c>
    </row>
    <row r="43" spans="1:18" ht="14.25" x14ac:dyDescent="0.2">
      <c r="A43" s="42">
        <v>40</v>
      </c>
      <c r="B43" s="43"/>
      <c r="C43" s="44"/>
      <c r="D43" s="16"/>
      <c r="E43" s="16"/>
      <c r="F43" s="46"/>
      <c r="G43" s="47"/>
      <c r="H43" s="48"/>
      <c r="I43" s="49"/>
      <c r="J43" s="46"/>
      <c r="K43" s="16"/>
      <c r="L43" s="16"/>
      <c r="M43" s="42"/>
      <c r="N43" s="42"/>
      <c r="O43" s="46"/>
      <c r="P43" s="42"/>
      <c r="Q43" s="50">
        <f t="shared" si="0"/>
        <v>1</v>
      </c>
      <c r="R43" s="50">
        <f t="shared" si="1"/>
        <v>1</v>
      </c>
    </row>
    <row r="44" spans="1:18" ht="14.25" x14ac:dyDescent="0.2">
      <c r="A44" s="42">
        <v>41</v>
      </c>
      <c r="B44" s="43"/>
      <c r="C44" s="44"/>
      <c r="D44" s="16"/>
      <c r="E44" s="16"/>
      <c r="F44" s="46"/>
      <c r="G44" s="47"/>
      <c r="H44" s="48"/>
      <c r="I44" s="49"/>
      <c r="J44" s="46"/>
      <c r="K44" s="16"/>
      <c r="L44" s="16"/>
      <c r="M44" s="42"/>
      <c r="N44" s="42"/>
      <c r="O44" s="46"/>
      <c r="P44" s="42"/>
      <c r="Q44" s="50">
        <f t="shared" si="0"/>
        <v>1</v>
      </c>
      <c r="R44" s="50">
        <f t="shared" si="1"/>
        <v>1</v>
      </c>
    </row>
    <row r="45" spans="1:18" ht="14.25" x14ac:dyDescent="0.2">
      <c r="A45" s="42">
        <v>42</v>
      </c>
      <c r="B45" s="43"/>
      <c r="C45" s="44"/>
      <c r="D45" s="16"/>
      <c r="E45" s="16"/>
      <c r="F45" s="46"/>
      <c r="G45" s="47"/>
      <c r="H45" s="48"/>
      <c r="I45" s="49"/>
      <c r="J45" s="46"/>
      <c r="K45" s="16"/>
      <c r="L45" s="16"/>
      <c r="M45" s="42"/>
      <c r="N45" s="42"/>
      <c r="O45" s="46"/>
      <c r="P45" s="42"/>
      <c r="Q45" s="50">
        <f t="shared" si="0"/>
        <v>1</v>
      </c>
      <c r="R45" s="50">
        <f t="shared" si="1"/>
        <v>1</v>
      </c>
    </row>
    <row r="46" spans="1:18" ht="14.25" x14ac:dyDescent="0.2">
      <c r="A46" s="42">
        <v>43</v>
      </c>
      <c r="B46" s="43"/>
      <c r="C46" s="44"/>
      <c r="D46" s="16"/>
      <c r="E46" s="16"/>
      <c r="F46" s="46"/>
      <c r="G46" s="47"/>
      <c r="H46" s="48"/>
      <c r="I46" s="49"/>
      <c r="J46" s="46"/>
      <c r="K46" s="16"/>
      <c r="L46" s="16"/>
      <c r="M46" s="42"/>
      <c r="N46" s="42"/>
      <c r="O46" s="46"/>
      <c r="P46" s="42"/>
      <c r="Q46" s="50">
        <f t="shared" si="0"/>
        <v>1</v>
      </c>
      <c r="R46" s="50">
        <f t="shared" si="1"/>
        <v>1</v>
      </c>
    </row>
    <row r="47" spans="1:18" ht="14.25" x14ac:dyDescent="0.2">
      <c r="A47" s="42">
        <v>44</v>
      </c>
      <c r="B47" s="43"/>
      <c r="C47" s="44"/>
      <c r="D47" s="16"/>
      <c r="E47" s="16"/>
      <c r="F47" s="46"/>
      <c r="G47" s="47"/>
      <c r="H47" s="48"/>
      <c r="I47" s="49"/>
      <c r="J47" s="46"/>
      <c r="K47" s="16"/>
      <c r="L47" s="16"/>
      <c r="M47" s="42"/>
      <c r="N47" s="42"/>
      <c r="O47" s="46"/>
      <c r="P47" s="42"/>
      <c r="Q47" s="50">
        <f t="shared" si="0"/>
        <v>1</v>
      </c>
      <c r="R47" s="50">
        <f t="shared" si="1"/>
        <v>1</v>
      </c>
    </row>
    <row r="48" spans="1:18" ht="14.25" x14ac:dyDescent="0.2">
      <c r="A48" s="42">
        <v>45</v>
      </c>
      <c r="B48" s="43"/>
      <c r="C48" s="44"/>
      <c r="D48" s="16"/>
      <c r="E48" s="16"/>
      <c r="F48" s="46"/>
      <c r="G48" s="47"/>
      <c r="H48" s="48"/>
      <c r="I48" s="49"/>
      <c r="J48" s="46"/>
      <c r="K48" s="16"/>
      <c r="L48" s="16"/>
      <c r="M48" s="42"/>
      <c r="N48" s="42"/>
      <c r="O48" s="46"/>
      <c r="P48" s="42"/>
      <c r="Q48" s="50">
        <f t="shared" si="0"/>
        <v>1</v>
      </c>
      <c r="R48" s="50">
        <f t="shared" si="1"/>
        <v>1</v>
      </c>
    </row>
    <row r="49" spans="1:18" ht="14.25" x14ac:dyDescent="0.2">
      <c r="A49" s="42">
        <v>46</v>
      </c>
      <c r="B49" s="43"/>
      <c r="C49" s="44"/>
      <c r="D49" s="16"/>
      <c r="E49" s="16"/>
      <c r="F49" s="46"/>
      <c r="G49" s="47"/>
      <c r="H49" s="48"/>
      <c r="I49" s="49"/>
      <c r="J49" s="46"/>
      <c r="K49" s="16"/>
      <c r="L49" s="16"/>
      <c r="M49" s="42"/>
      <c r="N49" s="42"/>
      <c r="O49" s="46"/>
      <c r="P49" s="42"/>
      <c r="Q49" s="50">
        <f t="shared" si="0"/>
        <v>1</v>
      </c>
      <c r="R49" s="50">
        <f t="shared" si="1"/>
        <v>1</v>
      </c>
    </row>
    <row r="50" spans="1:18" ht="14.25" x14ac:dyDescent="0.2">
      <c r="A50" s="42">
        <v>47</v>
      </c>
      <c r="B50" s="43"/>
      <c r="C50" s="44"/>
      <c r="D50" s="16"/>
      <c r="E50" s="16"/>
      <c r="F50" s="46"/>
      <c r="G50" s="47"/>
      <c r="H50" s="48"/>
      <c r="I50" s="49"/>
      <c r="J50" s="46"/>
      <c r="K50" s="16"/>
      <c r="L50" s="16"/>
      <c r="M50" s="42"/>
      <c r="N50" s="42"/>
      <c r="O50" s="46"/>
      <c r="P50" s="42"/>
      <c r="Q50" s="50">
        <f t="shared" si="0"/>
        <v>1</v>
      </c>
      <c r="R50" s="50">
        <f t="shared" si="1"/>
        <v>1</v>
      </c>
    </row>
    <row r="51" spans="1:18" ht="14.25" x14ac:dyDescent="0.2">
      <c r="A51" s="42">
        <v>48</v>
      </c>
      <c r="B51" s="43"/>
      <c r="C51" s="44"/>
      <c r="D51" s="16"/>
      <c r="E51" s="16"/>
      <c r="F51" s="46"/>
      <c r="G51" s="47"/>
      <c r="H51" s="48"/>
      <c r="I51" s="49"/>
      <c r="J51" s="46"/>
      <c r="K51" s="16"/>
      <c r="L51" s="16"/>
      <c r="M51" s="42"/>
      <c r="N51" s="42"/>
      <c r="O51" s="46"/>
      <c r="P51" s="42"/>
      <c r="Q51" s="50">
        <f t="shared" si="0"/>
        <v>1</v>
      </c>
      <c r="R51" s="50">
        <f t="shared" si="1"/>
        <v>1</v>
      </c>
    </row>
    <row r="52" spans="1:18" ht="14.25" x14ac:dyDescent="0.2">
      <c r="A52" s="42">
        <v>49</v>
      </c>
      <c r="B52" s="43"/>
      <c r="C52" s="44"/>
      <c r="D52" s="16"/>
      <c r="E52" s="16"/>
      <c r="F52" s="46"/>
      <c r="G52" s="47"/>
      <c r="H52" s="48"/>
      <c r="I52" s="49"/>
      <c r="J52" s="46"/>
      <c r="K52" s="16"/>
      <c r="L52" s="16"/>
      <c r="M52" s="42"/>
      <c r="N52" s="42"/>
      <c r="O52" s="46"/>
      <c r="P52" s="42"/>
      <c r="Q52" s="50">
        <f t="shared" si="0"/>
        <v>1</v>
      </c>
      <c r="R52" s="50">
        <f t="shared" si="1"/>
        <v>1</v>
      </c>
    </row>
    <row r="53" spans="1:18" ht="14.25" x14ac:dyDescent="0.2">
      <c r="A53" s="42">
        <v>50</v>
      </c>
      <c r="B53" s="43"/>
      <c r="C53" s="44"/>
      <c r="D53" s="16"/>
      <c r="E53" s="16"/>
      <c r="F53" s="46"/>
      <c r="G53" s="47"/>
      <c r="H53" s="48"/>
      <c r="I53" s="49"/>
      <c r="J53" s="46"/>
      <c r="K53" s="16"/>
      <c r="L53" s="16"/>
      <c r="M53" s="42"/>
      <c r="N53" s="42"/>
      <c r="O53" s="46"/>
      <c r="P53" s="42"/>
      <c r="Q53" s="50">
        <f t="shared" si="0"/>
        <v>1</v>
      </c>
      <c r="R53" s="50">
        <f t="shared" si="1"/>
        <v>1</v>
      </c>
    </row>
    <row r="54" spans="1:18" ht="14.25" x14ac:dyDescent="0.2">
      <c r="A54" s="42">
        <v>51</v>
      </c>
      <c r="B54" s="43"/>
      <c r="C54" s="44"/>
      <c r="D54" s="16"/>
      <c r="E54" s="16"/>
      <c r="F54" s="46"/>
      <c r="G54" s="47"/>
      <c r="H54" s="48"/>
      <c r="I54" s="49"/>
      <c r="J54" s="46"/>
      <c r="K54" s="16"/>
      <c r="L54" s="16"/>
      <c r="M54" s="42"/>
      <c r="N54" s="42"/>
      <c r="O54" s="46"/>
      <c r="P54" s="42"/>
      <c r="Q54" s="50">
        <f t="shared" si="0"/>
        <v>1</v>
      </c>
      <c r="R54" s="50">
        <f t="shared" si="1"/>
        <v>1</v>
      </c>
    </row>
    <row r="55" spans="1:18" ht="14.25" x14ac:dyDescent="0.2">
      <c r="A55" s="42">
        <v>52</v>
      </c>
      <c r="B55" s="43"/>
      <c r="C55" s="44"/>
      <c r="D55" s="16"/>
      <c r="E55" s="16"/>
      <c r="F55" s="46"/>
      <c r="G55" s="47"/>
      <c r="H55" s="48"/>
      <c r="I55" s="49"/>
      <c r="J55" s="46"/>
      <c r="K55" s="16"/>
      <c r="L55" s="16"/>
      <c r="M55" s="42"/>
      <c r="N55" s="42"/>
      <c r="O55" s="46"/>
      <c r="P55" s="42"/>
      <c r="Q55" s="50">
        <f t="shared" si="0"/>
        <v>1</v>
      </c>
      <c r="R55" s="50">
        <f t="shared" si="1"/>
        <v>1</v>
      </c>
    </row>
    <row r="56" spans="1:18" ht="14.25" x14ac:dyDescent="0.2">
      <c r="A56" s="42">
        <v>53</v>
      </c>
      <c r="B56" s="43"/>
      <c r="C56" s="44"/>
      <c r="D56" s="16"/>
      <c r="E56" s="16"/>
      <c r="F56" s="46"/>
      <c r="G56" s="47"/>
      <c r="H56" s="48"/>
      <c r="I56" s="49"/>
      <c r="J56" s="46"/>
      <c r="K56" s="16"/>
      <c r="L56" s="16"/>
      <c r="M56" s="42"/>
      <c r="N56" s="42"/>
      <c r="O56" s="46"/>
      <c r="P56" s="42"/>
      <c r="Q56" s="50">
        <f t="shared" si="0"/>
        <v>1</v>
      </c>
      <c r="R56" s="50">
        <f t="shared" si="1"/>
        <v>1</v>
      </c>
    </row>
    <row r="57" spans="1:18" ht="14.25" x14ac:dyDescent="0.2">
      <c r="A57" s="42">
        <v>54</v>
      </c>
      <c r="B57" s="43"/>
      <c r="C57" s="44"/>
      <c r="D57" s="16"/>
      <c r="E57" s="16"/>
      <c r="F57" s="46"/>
      <c r="G57" s="47"/>
      <c r="H57" s="48"/>
      <c r="I57" s="49"/>
      <c r="J57" s="46"/>
      <c r="K57" s="16"/>
      <c r="L57" s="16"/>
      <c r="M57" s="42"/>
      <c r="N57" s="42"/>
      <c r="O57" s="46"/>
      <c r="P57" s="42"/>
      <c r="Q57" s="50">
        <f t="shared" si="0"/>
        <v>1</v>
      </c>
      <c r="R57" s="50">
        <f t="shared" si="1"/>
        <v>1</v>
      </c>
    </row>
    <row r="58" spans="1:18" ht="14.25" x14ac:dyDescent="0.2">
      <c r="A58" s="42">
        <v>55</v>
      </c>
      <c r="B58" s="43"/>
      <c r="C58" s="44"/>
      <c r="D58" s="16"/>
      <c r="E58" s="16"/>
      <c r="F58" s="46"/>
      <c r="G58" s="47"/>
      <c r="H58" s="48"/>
      <c r="I58" s="49"/>
      <c r="J58" s="46"/>
      <c r="K58" s="16"/>
      <c r="L58" s="16"/>
      <c r="M58" s="42"/>
      <c r="N58" s="42"/>
      <c r="O58" s="46"/>
      <c r="P58" s="42"/>
      <c r="Q58" s="50">
        <f t="shared" si="0"/>
        <v>1</v>
      </c>
      <c r="R58" s="50">
        <f t="shared" si="1"/>
        <v>1</v>
      </c>
    </row>
    <row r="59" spans="1:18" ht="14.25" x14ac:dyDescent="0.2">
      <c r="A59" s="42">
        <v>56</v>
      </c>
      <c r="B59" s="43"/>
      <c r="C59" s="44"/>
      <c r="D59" s="16"/>
      <c r="E59" s="16"/>
      <c r="F59" s="46"/>
      <c r="G59" s="47"/>
      <c r="H59" s="48"/>
      <c r="I59" s="49"/>
      <c r="J59" s="46"/>
      <c r="K59" s="16"/>
      <c r="L59" s="16"/>
      <c r="M59" s="42"/>
      <c r="N59" s="42"/>
      <c r="O59" s="46"/>
      <c r="P59" s="42"/>
      <c r="Q59" s="50">
        <f t="shared" si="0"/>
        <v>1</v>
      </c>
      <c r="R59" s="50">
        <f t="shared" si="1"/>
        <v>1</v>
      </c>
    </row>
    <row r="60" spans="1:18" ht="14.25" x14ac:dyDescent="0.2">
      <c r="A60" s="42">
        <v>57</v>
      </c>
      <c r="B60" s="43"/>
      <c r="C60" s="44"/>
      <c r="D60" s="16"/>
      <c r="E60" s="16"/>
      <c r="F60" s="46"/>
      <c r="G60" s="47"/>
      <c r="H60" s="48"/>
      <c r="I60" s="49"/>
      <c r="J60" s="46"/>
      <c r="K60" s="16"/>
      <c r="L60" s="16"/>
      <c r="M60" s="42"/>
      <c r="N60" s="42"/>
      <c r="O60" s="46"/>
      <c r="P60" s="42"/>
      <c r="Q60" s="50">
        <f t="shared" si="0"/>
        <v>1</v>
      </c>
      <c r="R60" s="50">
        <f t="shared" si="1"/>
        <v>1</v>
      </c>
    </row>
    <row r="61" spans="1:18" ht="14.25" x14ac:dyDescent="0.2">
      <c r="A61" s="42">
        <v>58</v>
      </c>
      <c r="B61" s="43"/>
      <c r="C61" s="44"/>
      <c r="D61" s="16"/>
      <c r="E61" s="16"/>
      <c r="F61" s="46"/>
      <c r="G61" s="47"/>
      <c r="H61" s="48"/>
      <c r="I61" s="49"/>
      <c r="J61" s="46"/>
      <c r="K61" s="16"/>
      <c r="L61" s="16"/>
      <c r="M61" s="42"/>
      <c r="N61" s="42"/>
      <c r="O61" s="46"/>
      <c r="P61" s="42"/>
      <c r="Q61" s="50">
        <f t="shared" si="0"/>
        <v>1</v>
      </c>
      <c r="R61" s="50">
        <f t="shared" si="1"/>
        <v>1</v>
      </c>
    </row>
    <row r="62" spans="1:18" ht="14.25" x14ac:dyDescent="0.2">
      <c r="A62" s="42">
        <v>59</v>
      </c>
      <c r="B62" s="43"/>
      <c r="C62" s="44"/>
      <c r="D62" s="16"/>
      <c r="E62" s="16"/>
      <c r="F62" s="46"/>
      <c r="G62" s="47"/>
      <c r="H62" s="48"/>
      <c r="I62" s="49"/>
      <c r="J62" s="46"/>
      <c r="K62" s="16"/>
      <c r="L62" s="16"/>
      <c r="M62" s="42"/>
      <c r="N62" s="42"/>
      <c r="O62" s="46"/>
      <c r="P62" s="42"/>
      <c r="Q62" s="50">
        <f t="shared" si="0"/>
        <v>1</v>
      </c>
      <c r="R62" s="50">
        <f t="shared" si="1"/>
        <v>1</v>
      </c>
    </row>
    <row r="63" spans="1:18" ht="14.25" x14ac:dyDescent="0.2">
      <c r="A63" s="42">
        <v>60</v>
      </c>
      <c r="B63" s="43"/>
      <c r="C63" s="44"/>
      <c r="D63" s="16"/>
      <c r="E63" s="16"/>
      <c r="F63" s="46"/>
      <c r="G63" s="47"/>
      <c r="H63" s="48"/>
      <c r="I63" s="49"/>
      <c r="J63" s="46"/>
      <c r="K63" s="16"/>
      <c r="L63" s="16"/>
      <c r="M63" s="42"/>
      <c r="N63" s="42"/>
      <c r="O63" s="46"/>
      <c r="P63" s="42"/>
      <c r="Q63" s="50">
        <f t="shared" si="0"/>
        <v>1</v>
      </c>
      <c r="R63" s="50">
        <f t="shared" si="1"/>
        <v>1</v>
      </c>
    </row>
    <row r="64" spans="1:18" ht="14.25" x14ac:dyDescent="0.2">
      <c r="A64" s="42">
        <v>61</v>
      </c>
      <c r="B64" s="43"/>
      <c r="C64" s="44"/>
      <c r="D64" s="16"/>
      <c r="E64" s="16"/>
      <c r="F64" s="46"/>
      <c r="G64" s="47"/>
      <c r="H64" s="48"/>
      <c r="I64" s="49"/>
      <c r="J64" s="46"/>
      <c r="K64" s="16"/>
      <c r="L64" s="16"/>
      <c r="M64" s="42"/>
      <c r="N64" s="42"/>
      <c r="O64" s="46"/>
      <c r="P64" s="42"/>
      <c r="Q64" s="50">
        <f t="shared" si="0"/>
        <v>1</v>
      </c>
      <c r="R64" s="50">
        <f t="shared" si="1"/>
        <v>1</v>
      </c>
    </row>
    <row r="65" spans="1:18" ht="14.25" x14ac:dyDescent="0.2">
      <c r="A65" s="42">
        <v>62</v>
      </c>
      <c r="B65" s="43"/>
      <c r="C65" s="44"/>
      <c r="D65" s="16"/>
      <c r="E65" s="16"/>
      <c r="F65" s="46"/>
      <c r="G65" s="47"/>
      <c r="H65" s="48"/>
      <c r="I65" s="49"/>
      <c r="J65" s="46"/>
      <c r="K65" s="16"/>
      <c r="L65" s="16"/>
      <c r="M65" s="42"/>
      <c r="N65" s="42"/>
      <c r="O65" s="46"/>
      <c r="P65" s="42"/>
      <c r="Q65" s="50">
        <f t="shared" si="0"/>
        <v>1</v>
      </c>
      <c r="R65" s="50">
        <f t="shared" si="1"/>
        <v>1</v>
      </c>
    </row>
    <row r="66" spans="1:18" ht="14.25" x14ac:dyDescent="0.2">
      <c r="A66" s="42">
        <v>63</v>
      </c>
      <c r="B66" s="43"/>
      <c r="C66" s="44"/>
      <c r="D66" s="16"/>
      <c r="E66" s="16"/>
      <c r="F66" s="46"/>
      <c r="G66" s="47"/>
      <c r="H66" s="48"/>
      <c r="I66" s="49"/>
      <c r="J66" s="46"/>
      <c r="K66" s="16"/>
      <c r="L66" s="16"/>
      <c r="M66" s="42"/>
      <c r="N66" s="42"/>
      <c r="O66" s="46"/>
      <c r="P66" s="42"/>
      <c r="Q66" s="50">
        <f t="shared" si="0"/>
        <v>1</v>
      </c>
      <c r="R66" s="50">
        <f t="shared" si="1"/>
        <v>1</v>
      </c>
    </row>
    <row r="67" spans="1:18" ht="14.25" x14ac:dyDescent="0.2">
      <c r="A67" s="42">
        <v>64</v>
      </c>
      <c r="B67" s="43"/>
      <c r="C67" s="44"/>
      <c r="D67" s="16"/>
      <c r="E67" s="16"/>
      <c r="F67" s="46"/>
      <c r="G67" s="47"/>
      <c r="H67" s="48"/>
      <c r="I67" s="49"/>
      <c r="J67" s="46"/>
      <c r="K67" s="16"/>
      <c r="L67" s="16"/>
      <c r="M67" s="42"/>
      <c r="N67" s="42"/>
      <c r="O67" s="46"/>
      <c r="P67" s="42"/>
      <c r="Q67" s="50">
        <f t="shared" si="0"/>
        <v>1</v>
      </c>
      <c r="R67" s="50">
        <f t="shared" si="1"/>
        <v>1</v>
      </c>
    </row>
    <row r="68" spans="1:18" ht="14.25" x14ac:dyDescent="0.2">
      <c r="A68" s="42">
        <v>65</v>
      </c>
      <c r="B68" s="43"/>
      <c r="C68" s="44"/>
      <c r="D68" s="16"/>
      <c r="E68" s="16"/>
      <c r="F68" s="46"/>
      <c r="G68" s="47"/>
      <c r="H68" s="48"/>
      <c r="I68" s="49"/>
      <c r="J68" s="46"/>
      <c r="K68" s="16"/>
      <c r="L68" s="16"/>
      <c r="M68" s="42"/>
      <c r="N68" s="42"/>
      <c r="O68" s="46"/>
      <c r="P68" s="42"/>
      <c r="Q68" s="50">
        <f t="shared" si="0"/>
        <v>1</v>
      </c>
      <c r="R68" s="50">
        <f t="shared" si="1"/>
        <v>1</v>
      </c>
    </row>
    <row r="69" spans="1:18" ht="14.25" x14ac:dyDescent="0.2">
      <c r="A69" s="42">
        <v>66</v>
      </c>
      <c r="B69" s="43"/>
      <c r="C69" s="44"/>
      <c r="D69" s="16"/>
      <c r="E69" s="16"/>
      <c r="F69" s="46"/>
      <c r="G69" s="47"/>
      <c r="H69" s="48"/>
      <c r="I69" s="49"/>
      <c r="J69" s="46"/>
      <c r="K69" s="16"/>
      <c r="L69" s="16"/>
      <c r="M69" s="42"/>
      <c r="N69" s="42"/>
      <c r="O69" s="46"/>
      <c r="P69" s="42"/>
      <c r="Q69" s="50">
        <f t="shared" ref="Q69:Q103" si="2">DAYS360(F69,J69,0)+1</f>
        <v>1</v>
      </c>
      <c r="R69" s="50">
        <f t="shared" ref="R69:R103" si="3">IFERROR((DAYS360(J69,O69,0)+1),1)</f>
        <v>1</v>
      </c>
    </row>
    <row r="70" spans="1:18" ht="14.25" x14ac:dyDescent="0.2">
      <c r="A70" s="42">
        <v>67</v>
      </c>
      <c r="B70" s="43"/>
      <c r="C70" s="44"/>
      <c r="D70" s="16"/>
      <c r="E70" s="16"/>
      <c r="F70" s="46"/>
      <c r="G70" s="47"/>
      <c r="H70" s="48"/>
      <c r="I70" s="49"/>
      <c r="J70" s="46"/>
      <c r="K70" s="16"/>
      <c r="L70" s="16"/>
      <c r="M70" s="42"/>
      <c r="N70" s="42"/>
      <c r="O70" s="46"/>
      <c r="P70" s="42"/>
      <c r="Q70" s="50">
        <f t="shared" si="2"/>
        <v>1</v>
      </c>
      <c r="R70" s="50">
        <f t="shared" si="3"/>
        <v>1</v>
      </c>
    </row>
    <row r="71" spans="1:18" ht="14.25" x14ac:dyDescent="0.2">
      <c r="A71" s="42">
        <v>68</v>
      </c>
      <c r="B71" s="43"/>
      <c r="C71" s="44"/>
      <c r="D71" s="16"/>
      <c r="E71" s="16"/>
      <c r="F71" s="46"/>
      <c r="G71" s="47"/>
      <c r="H71" s="48"/>
      <c r="I71" s="49"/>
      <c r="J71" s="46"/>
      <c r="K71" s="16"/>
      <c r="L71" s="16"/>
      <c r="M71" s="42"/>
      <c r="N71" s="42"/>
      <c r="O71" s="46"/>
      <c r="P71" s="42"/>
      <c r="Q71" s="50">
        <f t="shared" si="2"/>
        <v>1</v>
      </c>
      <c r="R71" s="50">
        <f t="shared" si="3"/>
        <v>1</v>
      </c>
    </row>
    <row r="72" spans="1:18" ht="14.25" x14ac:dyDescent="0.2">
      <c r="A72" s="42">
        <v>69</v>
      </c>
      <c r="B72" s="43"/>
      <c r="C72" s="44"/>
      <c r="D72" s="16"/>
      <c r="E72" s="16"/>
      <c r="F72" s="46"/>
      <c r="G72" s="47"/>
      <c r="H72" s="48"/>
      <c r="I72" s="49"/>
      <c r="J72" s="46"/>
      <c r="K72" s="16"/>
      <c r="L72" s="16"/>
      <c r="M72" s="42"/>
      <c r="N72" s="42"/>
      <c r="O72" s="46"/>
      <c r="P72" s="42"/>
      <c r="Q72" s="50">
        <f t="shared" si="2"/>
        <v>1</v>
      </c>
      <c r="R72" s="50">
        <f t="shared" si="3"/>
        <v>1</v>
      </c>
    </row>
    <row r="73" spans="1:18" ht="14.25" x14ac:dyDescent="0.2">
      <c r="A73" s="42">
        <v>70</v>
      </c>
      <c r="B73" s="43"/>
      <c r="C73" s="44"/>
      <c r="D73" s="16"/>
      <c r="E73" s="16"/>
      <c r="F73" s="46"/>
      <c r="G73" s="47"/>
      <c r="H73" s="48"/>
      <c r="I73" s="49"/>
      <c r="J73" s="46"/>
      <c r="K73" s="16"/>
      <c r="L73" s="16"/>
      <c r="M73" s="42"/>
      <c r="N73" s="42"/>
      <c r="O73" s="46"/>
      <c r="P73" s="42"/>
      <c r="Q73" s="50">
        <f t="shared" si="2"/>
        <v>1</v>
      </c>
      <c r="R73" s="50">
        <f t="shared" si="3"/>
        <v>1</v>
      </c>
    </row>
    <row r="74" spans="1:18" ht="14.25" x14ac:dyDescent="0.2">
      <c r="A74" s="42">
        <v>71</v>
      </c>
      <c r="B74" s="43"/>
      <c r="C74" s="44"/>
      <c r="D74" s="16"/>
      <c r="E74" s="16"/>
      <c r="F74" s="46"/>
      <c r="G74" s="47"/>
      <c r="H74" s="48"/>
      <c r="I74" s="49"/>
      <c r="J74" s="46"/>
      <c r="K74" s="16"/>
      <c r="L74" s="16"/>
      <c r="M74" s="42"/>
      <c r="N74" s="42"/>
      <c r="O74" s="46"/>
      <c r="P74" s="42"/>
      <c r="Q74" s="50">
        <f t="shared" si="2"/>
        <v>1</v>
      </c>
      <c r="R74" s="50">
        <f t="shared" si="3"/>
        <v>1</v>
      </c>
    </row>
    <row r="75" spans="1:18" ht="14.25" x14ac:dyDescent="0.2">
      <c r="A75" s="42">
        <v>72</v>
      </c>
      <c r="B75" s="43"/>
      <c r="C75" s="44"/>
      <c r="D75" s="16"/>
      <c r="E75" s="16"/>
      <c r="F75" s="46"/>
      <c r="G75" s="47"/>
      <c r="H75" s="48"/>
      <c r="I75" s="49"/>
      <c r="J75" s="46"/>
      <c r="K75" s="16"/>
      <c r="L75" s="16"/>
      <c r="M75" s="42"/>
      <c r="N75" s="42"/>
      <c r="O75" s="46"/>
      <c r="P75" s="42"/>
      <c r="Q75" s="50">
        <f t="shared" si="2"/>
        <v>1</v>
      </c>
      <c r="R75" s="50">
        <f t="shared" si="3"/>
        <v>1</v>
      </c>
    </row>
    <row r="76" spans="1:18" ht="14.25" x14ac:dyDescent="0.2">
      <c r="A76" s="42">
        <v>73</v>
      </c>
      <c r="B76" s="43"/>
      <c r="C76" s="44"/>
      <c r="D76" s="16"/>
      <c r="E76" s="16"/>
      <c r="F76" s="46"/>
      <c r="G76" s="47"/>
      <c r="H76" s="48"/>
      <c r="I76" s="49"/>
      <c r="J76" s="46"/>
      <c r="K76" s="16"/>
      <c r="L76" s="16"/>
      <c r="M76" s="42"/>
      <c r="N76" s="42"/>
      <c r="O76" s="46"/>
      <c r="P76" s="42"/>
      <c r="Q76" s="50">
        <f t="shared" si="2"/>
        <v>1</v>
      </c>
      <c r="R76" s="50">
        <f t="shared" si="3"/>
        <v>1</v>
      </c>
    </row>
    <row r="77" spans="1:18" ht="14.25" x14ac:dyDescent="0.2">
      <c r="A77" s="42">
        <v>74</v>
      </c>
      <c r="B77" s="43"/>
      <c r="C77" s="44"/>
      <c r="D77" s="16"/>
      <c r="E77" s="16"/>
      <c r="F77" s="46"/>
      <c r="G77" s="47"/>
      <c r="H77" s="48"/>
      <c r="I77" s="49"/>
      <c r="J77" s="46"/>
      <c r="K77" s="16"/>
      <c r="L77" s="16"/>
      <c r="M77" s="42"/>
      <c r="N77" s="42"/>
      <c r="O77" s="46"/>
      <c r="P77" s="42"/>
      <c r="Q77" s="50">
        <f t="shared" si="2"/>
        <v>1</v>
      </c>
      <c r="R77" s="50">
        <f t="shared" si="3"/>
        <v>1</v>
      </c>
    </row>
    <row r="78" spans="1:18" ht="14.25" x14ac:dyDescent="0.2">
      <c r="A78" s="42">
        <v>75</v>
      </c>
      <c r="B78" s="43"/>
      <c r="C78" s="44"/>
      <c r="D78" s="16"/>
      <c r="E78" s="16"/>
      <c r="F78" s="46"/>
      <c r="G78" s="47"/>
      <c r="H78" s="48"/>
      <c r="I78" s="49"/>
      <c r="J78" s="46"/>
      <c r="K78" s="16"/>
      <c r="L78" s="16"/>
      <c r="M78" s="42"/>
      <c r="N78" s="42"/>
      <c r="O78" s="46"/>
      <c r="P78" s="42"/>
      <c r="Q78" s="50">
        <f t="shared" si="2"/>
        <v>1</v>
      </c>
      <c r="R78" s="50">
        <f t="shared" si="3"/>
        <v>1</v>
      </c>
    </row>
    <row r="79" spans="1:18" ht="14.25" x14ac:dyDescent="0.2">
      <c r="A79" s="42">
        <v>76</v>
      </c>
      <c r="B79" s="43"/>
      <c r="C79" s="44"/>
      <c r="D79" s="16"/>
      <c r="E79" s="16"/>
      <c r="F79" s="46"/>
      <c r="G79" s="47"/>
      <c r="H79" s="48"/>
      <c r="I79" s="49"/>
      <c r="J79" s="46"/>
      <c r="K79" s="16"/>
      <c r="L79" s="16"/>
      <c r="M79" s="42"/>
      <c r="N79" s="42"/>
      <c r="O79" s="46"/>
      <c r="P79" s="42"/>
      <c r="Q79" s="50">
        <f t="shared" si="2"/>
        <v>1</v>
      </c>
      <c r="R79" s="50">
        <f t="shared" si="3"/>
        <v>1</v>
      </c>
    </row>
    <row r="80" spans="1:18" ht="14.25" x14ac:dyDescent="0.2">
      <c r="A80" s="42">
        <v>77</v>
      </c>
      <c r="B80" s="43"/>
      <c r="C80" s="44"/>
      <c r="D80" s="16"/>
      <c r="E80" s="16"/>
      <c r="F80" s="46"/>
      <c r="G80" s="47"/>
      <c r="H80" s="48"/>
      <c r="I80" s="49"/>
      <c r="J80" s="46"/>
      <c r="K80" s="16"/>
      <c r="L80" s="16"/>
      <c r="M80" s="42"/>
      <c r="N80" s="42"/>
      <c r="O80" s="46"/>
      <c r="P80" s="42"/>
      <c r="Q80" s="50">
        <f t="shared" si="2"/>
        <v>1</v>
      </c>
      <c r="R80" s="50">
        <f t="shared" si="3"/>
        <v>1</v>
      </c>
    </row>
    <row r="81" spans="1:18" ht="14.25" x14ac:dyDescent="0.2">
      <c r="A81" s="42">
        <v>78</v>
      </c>
      <c r="B81" s="43"/>
      <c r="C81" s="44"/>
      <c r="D81" s="16"/>
      <c r="E81" s="16"/>
      <c r="F81" s="46"/>
      <c r="G81" s="47"/>
      <c r="H81" s="48"/>
      <c r="I81" s="49"/>
      <c r="J81" s="46"/>
      <c r="K81" s="16"/>
      <c r="L81" s="16"/>
      <c r="M81" s="42"/>
      <c r="N81" s="42"/>
      <c r="O81" s="46"/>
      <c r="P81" s="42"/>
      <c r="Q81" s="50">
        <f t="shared" si="2"/>
        <v>1</v>
      </c>
      <c r="R81" s="50">
        <f t="shared" si="3"/>
        <v>1</v>
      </c>
    </row>
    <row r="82" spans="1:18" ht="14.25" x14ac:dyDescent="0.2">
      <c r="A82" s="42">
        <v>79</v>
      </c>
      <c r="B82" s="43"/>
      <c r="C82" s="44"/>
      <c r="D82" s="16"/>
      <c r="E82" s="16"/>
      <c r="F82" s="46"/>
      <c r="G82" s="47"/>
      <c r="H82" s="48"/>
      <c r="I82" s="49"/>
      <c r="J82" s="46"/>
      <c r="K82" s="16"/>
      <c r="L82" s="16"/>
      <c r="M82" s="42"/>
      <c r="N82" s="42"/>
      <c r="O82" s="46"/>
      <c r="P82" s="42"/>
      <c r="Q82" s="50">
        <f t="shared" si="2"/>
        <v>1</v>
      </c>
      <c r="R82" s="50">
        <f t="shared" si="3"/>
        <v>1</v>
      </c>
    </row>
    <row r="83" spans="1:18" ht="14.25" x14ac:dyDescent="0.2">
      <c r="A83" s="42">
        <v>80</v>
      </c>
      <c r="B83" s="43"/>
      <c r="C83" s="44"/>
      <c r="D83" s="16"/>
      <c r="E83" s="16"/>
      <c r="F83" s="46"/>
      <c r="G83" s="47"/>
      <c r="H83" s="48"/>
      <c r="I83" s="49"/>
      <c r="J83" s="46"/>
      <c r="K83" s="16"/>
      <c r="L83" s="16"/>
      <c r="M83" s="42"/>
      <c r="N83" s="42"/>
      <c r="O83" s="46"/>
      <c r="P83" s="42"/>
      <c r="Q83" s="50">
        <f t="shared" si="2"/>
        <v>1</v>
      </c>
      <c r="R83" s="50">
        <f t="shared" si="3"/>
        <v>1</v>
      </c>
    </row>
    <row r="84" spans="1:18" ht="14.25" x14ac:dyDescent="0.2">
      <c r="A84" s="42">
        <v>81</v>
      </c>
      <c r="B84" s="43"/>
      <c r="C84" s="44"/>
      <c r="D84" s="16"/>
      <c r="E84" s="16"/>
      <c r="F84" s="46"/>
      <c r="G84" s="47"/>
      <c r="H84" s="48"/>
      <c r="I84" s="49"/>
      <c r="J84" s="46"/>
      <c r="K84" s="16"/>
      <c r="L84" s="16"/>
      <c r="M84" s="42"/>
      <c r="N84" s="42"/>
      <c r="O84" s="46"/>
      <c r="P84" s="42"/>
      <c r="Q84" s="50">
        <f t="shared" si="2"/>
        <v>1</v>
      </c>
      <c r="R84" s="50">
        <f t="shared" si="3"/>
        <v>1</v>
      </c>
    </row>
    <row r="85" spans="1:18" ht="14.25" x14ac:dyDescent="0.2">
      <c r="A85" s="42">
        <v>82</v>
      </c>
      <c r="B85" s="43"/>
      <c r="C85" s="44"/>
      <c r="D85" s="16"/>
      <c r="E85" s="16"/>
      <c r="F85" s="46"/>
      <c r="G85" s="47"/>
      <c r="H85" s="48"/>
      <c r="I85" s="49"/>
      <c r="J85" s="46"/>
      <c r="K85" s="16"/>
      <c r="L85" s="16"/>
      <c r="M85" s="42"/>
      <c r="N85" s="42"/>
      <c r="O85" s="46"/>
      <c r="P85" s="42"/>
      <c r="Q85" s="50">
        <f t="shared" si="2"/>
        <v>1</v>
      </c>
      <c r="R85" s="50">
        <f t="shared" si="3"/>
        <v>1</v>
      </c>
    </row>
    <row r="86" spans="1:18" ht="14.25" x14ac:dyDescent="0.2">
      <c r="A86" s="42">
        <v>83</v>
      </c>
      <c r="B86" s="43"/>
      <c r="C86" s="44"/>
      <c r="D86" s="16"/>
      <c r="E86" s="16"/>
      <c r="F86" s="46"/>
      <c r="G86" s="47"/>
      <c r="H86" s="48"/>
      <c r="I86" s="49"/>
      <c r="J86" s="46"/>
      <c r="K86" s="16"/>
      <c r="L86" s="16"/>
      <c r="M86" s="42"/>
      <c r="N86" s="42"/>
      <c r="O86" s="46"/>
      <c r="P86" s="42"/>
      <c r="Q86" s="50">
        <f t="shared" si="2"/>
        <v>1</v>
      </c>
      <c r="R86" s="50">
        <f t="shared" si="3"/>
        <v>1</v>
      </c>
    </row>
    <row r="87" spans="1:18" ht="14.25" x14ac:dyDescent="0.2">
      <c r="A87" s="42">
        <v>84</v>
      </c>
      <c r="B87" s="43"/>
      <c r="C87" s="44"/>
      <c r="D87" s="16"/>
      <c r="E87" s="16"/>
      <c r="F87" s="46"/>
      <c r="G87" s="47"/>
      <c r="H87" s="48"/>
      <c r="I87" s="49"/>
      <c r="J87" s="46"/>
      <c r="K87" s="16"/>
      <c r="L87" s="16"/>
      <c r="M87" s="42"/>
      <c r="N87" s="42"/>
      <c r="O87" s="46"/>
      <c r="P87" s="42"/>
      <c r="Q87" s="50">
        <f t="shared" si="2"/>
        <v>1</v>
      </c>
      <c r="R87" s="50">
        <f t="shared" si="3"/>
        <v>1</v>
      </c>
    </row>
    <row r="88" spans="1:18" ht="14.25" x14ac:dyDescent="0.2">
      <c r="A88" s="42">
        <v>85</v>
      </c>
      <c r="B88" s="43"/>
      <c r="C88" s="44"/>
      <c r="D88" s="16"/>
      <c r="E88" s="16"/>
      <c r="F88" s="46"/>
      <c r="G88" s="47"/>
      <c r="H88" s="48"/>
      <c r="I88" s="49"/>
      <c r="J88" s="46"/>
      <c r="K88" s="16"/>
      <c r="L88" s="16"/>
      <c r="M88" s="42"/>
      <c r="N88" s="42"/>
      <c r="O88" s="46"/>
      <c r="P88" s="42"/>
      <c r="Q88" s="50">
        <f t="shared" si="2"/>
        <v>1</v>
      </c>
      <c r="R88" s="50">
        <f t="shared" si="3"/>
        <v>1</v>
      </c>
    </row>
    <row r="89" spans="1:18" ht="14.25" x14ac:dyDescent="0.2">
      <c r="A89" s="42">
        <v>86</v>
      </c>
      <c r="B89" s="43"/>
      <c r="C89" s="44"/>
      <c r="D89" s="16"/>
      <c r="E89" s="16"/>
      <c r="F89" s="46"/>
      <c r="G89" s="47"/>
      <c r="H89" s="48"/>
      <c r="I89" s="49"/>
      <c r="J89" s="46"/>
      <c r="K89" s="16"/>
      <c r="L89" s="16"/>
      <c r="M89" s="42"/>
      <c r="N89" s="42"/>
      <c r="O89" s="46"/>
      <c r="P89" s="42"/>
      <c r="Q89" s="50">
        <f t="shared" si="2"/>
        <v>1</v>
      </c>
      <c r="R89" s="50">
        <f t="shared" si="3"/>
        <v>1</v>
      </c>
    </row>
    <row r="90" spans="1:18" ht="14.25" x14ac:dyDescent="0.2">
      <c r="A90" s="42">
        <v>87</v>
      </c>
      <c r="B90" s="43"/>
      <c r="C90" s="44"/>
      <c r="D90" s="16"/>
      <c r="E90" s="16"/>
      <c r="F90" s="46"/>
      <c r="G90" s="47"/>
      <c r="H90" s="48"/>
      <c r="I90" s="49"/>
      <c r="J90" s="46"/>
      <c r="K90" s="16"/>
      <c r="L90" s="16"/>
      <c r="M90" s="42"/>
      <c r="N90" s="42"/>
      <c r="O90" s="46"/>
      <c r="P90" s="42"/>
      <c r="Q90" s="50">
        <f t="shared" si="2"/>
        <v>1</v>
      </c>
      <c r="R90" s="50">
        <f t="shared" si="3"/>
        <v>1</v>
      </c>
    </row>
    <row r="91" spans="1:18" ht="14.25" x14ac:dyDescent="0.2">
      <c r="A91" s="42">
        <v>88</v>
      </c>
      <c r="B91" s="43"/>
      <c r="C91" s="44"/>
      <c r="D91" s="16"/>
      <c r="E91" s="16"/>
      <c r="F91" s="46"/>
      <c r="G91" s="47"/>
      <c r="H91" s="48"/>
      <c r="I91" s="49"/>
      <c r="J91" s="46"/>
      <c r="K91" s="16"/>
      <c r="L91" s="16"/>
      <c r="M91" s="42"/>
      <c r="N91" s="42"/>
      <c r="O91" s="46"/>
      <c r="P91" s="42"/>
      <c r="Q91" s="50">
        <f t="shared" si="2"/>
        <v>1</v>
      </c>
      <c r="R91" s="50">
        <f t="shared" si="3"/>
        <v>1</v>
      </c>
    </row>
    <row r="92" spans="1:18" ht="14.25" x14ac:dyDescent="0.2">
      <c r="A92" s="42">
        <v>89</v>
      </c>
      <c r="B92" s="43"/>
      <c r="C92" s="44"/>
      <c r="D92" s="16"/>
      <c r="E92" s="16"/>
      <c r="F92" s="46"/>
      <c r="G92" s="47"/>
      <c r="H92" s="48"/>
      <c r="I92" s="49"/>
      <c r="J92" s="46"/>
      <c r="K92" s="16"/>
      <c r="L92" s="16"/>
      <c r="M92" s="42"/>
      <c r="N92" s="42"/>
      <c r="O92" s="46"/>
      <c r="P92" s="42"/>
      <c r="Q92" s="50">
        <f t="shared" si="2"/>
        <v>1</v>
      </c>
      <c r="R92" s="50">
        <f t="shared" si="3"/>
        <v>1</v>
      </c>
    </row>
    <row r="93" spans="1:18" ht="14.25" x14ac:dyDescent="0.2">
      <c r="A93" s="42">
        <v>90</v>
      </c>
      <c r="B93" s="43"/>
      <c r="C93" s="44"/>
      <c r="D93" s="16"/>
      <c r="E93" s="16"/>
      <c r="F93" s="46"/>
      <c r="G93" s="47"/>
      <c r="H93" s="48"/>
      <c r="I93" s="49"/>
      <c r="J93" s="46"/>
      <c r="K93" s="16"/>
      <c r="L93" s="16"/>
      <c r="M93" s="42"/>
      <c r="N93" s="42"/>
      <c r="O93" s="46"/>
      <c r="P93" s="42"/>
      <c r="Q93" s="50">
        <f t="shared" si="2"/>
        <v>1</v>
      </c>
      <c r="R93" s="50">
        <f t="shared" si="3"/>
        <v>1</v>
      </c>
    </row>
    <row r="94" spans="1:18" ht="14.25" x14ac:dyDescent="0.2">
      <c r="A94" s="42">
        <v>91</v>
      </c>
      <c r="B94" s="43"/>
      <c r="C94" s="44"/>
      <c r="D94" s="16"/>
      <c r="E94" s="16"/>
      <c r="F94" s="46"/>
      <c r="G94" s="47"/>
      <c r="H94" s="48"/>
      <c r="I94" s="49"/>
      <c r="J94" s="46"/>
      <c r="K94" s="16"/>
      <c r="L94" s="16"/>
      <c r="M94" s="42"/>
      <c r="N94" s="42"/>
      <c r="O94" s="46"/>
      <c r="P94" s="42"/>
      <c r="Q94" s="50">
        <f t="shared" si="2"/>
        <v>1</v>
      </c>
      <c r="R94" s="50">
        <f t="shared" si="3"/>
        <v>1</v>
      </c>
    </row>
    <row r="95" spans="1:18" ht="14.25" x14ac:dyDescent="0.2">
      <c r="A95" s="42">
        <v>92</v>
      </c>
      <c r="B95" s="43"/>
      <c r="C95" s="44"/>
      <c r="D95" s="16"/>
      <c r="E95" s="16"/>
      <c r="F95" s="46"/>
      <c r="G95" s="47"/>
      <c r="H95" s="48"/>
      <c r="I95" s="49"/>
      <c r="J95" s="46"/>
      <c r="K95" s="16"/>
      <c r="L95" s="16"/>
      <c r="M95" s="42"/>
      <c r="N95" s="42"/>
      <c r="O95" s="46"/>
      <c r="P95" s="42"/>
      <c r="Q95" s="50">
        <f t="shared" si="2"/>
        <v>1</v>
      </c>
      <c r="R95" s="50">
        <f t="shared" si="3"/>
        <v>1</v>
      </c>
    </row>
    <row r="96" spans="1:18" ht="14.25" x14ac:dyDescent="0.2">
      <c r="A96" s="42">
        <v>93</v>
      </c>
      <c r="B96" s="43"/>
      <c r="C96" s="44"/>
      <c r="D96" s="16"/>
      <c r="E96" s="16"/>
      <c r="F96" s="46"/>
      <c r="G96" s="47"/>
      <c r="H96" s="48"/>
      <c r="I96" s="49"/>
      <c r="J96" s="46"/>
      <c r="K96" s="16"/>
      <c r="L96" s="16"/>
      <c r="M96" s="42"/>
      <c r="N96" s="42"/>
      <c r="O96" s="46"/>
      <c r="P96" s="42"/>
      <c r="Q96" s="50">
        <f t="shared" si="2"/>
        <v>1</v>
      </c>
      <c r="R96" s="50">
        <f t="shared" si="3"/>
        <v>1</v>
      </c>
    </row>
    <row r="97" spans="1:19" ht="14.25" x14ac:dyDescent="0.2">
      <c r="A97" s="42">
        <v>94</v>
      </c>
      <c r="B97" s="43"/>
      <c r="C97" s="44"/>
      <c r="D97" s="16"/>
      <c r="E97" s="16"/>
      <c r="F97" s="46"/>
      <c r="G97" s="47"/>
      <c r="H97" s="48"/>
      <c r="I97" s="49"/>
      <c r="J97" s="46"/>
      <c r="K97" s="16"/>
      <c r="L97" s="16"/>
      <c r="M97" s="42"/>
      <c r="N97" s="42"/>
      <c r="O97" s="46"/>
      <c r="P97" s="42"/>
      <c r="Q97" s="50">
        <f t="shared" si="2"/>
        <v>1</v>
      </c>
      <c r="R97" s="50">
        <f t="shared" si="3"/>
        <v>1</v>
      </c>
    </row>
    <row r="98" spans="1:19" ht="14.25" x14ac:dyDescent="0.2">
      <c r="A98" s="42">
        <v>95</v>
      </c>
      <c r="B98" s="43"/>
      <c r="C98" s="44"/>
      <c r="D98" s="16"/>
      <c r="E98" s="16"/>
      <c r="F98" s="46"/>
      <c r="G98" s="47"/>
      <c r="H98" s="48"/>
      <c r="I98" s="49"/>
      <c r="J98" s="46"/>
      <c r="K98" s="16"/>
      <c r="L98" s="16"/>
      <c r="M98" s="42"/>
      <c r="N98" s="42"/>
      <c r="O98" s="46"/>
      <c r="P98" s="42"/>
      <c r="Q98" s="50">
        <f t="shared" si="2"/>
        <v>1</v>
      </c>
      <c r="R98" s="50">
        <f t="shared" si="3"/>
        <v>1</v>
      </c>
    </row>
    <row r="99" spans="1:19" ht="14.25" x14ac:dyDescent="0.2">
      <c r="A99" s="42">
        <v>96</v>
      </c>
      <c r="B99" s="43"/>
      <c r="C99" s="44"/>
      <c r="D99" s="16"/>
      <c r="E99" s="16"/>
      <c r="F99" s="46"/>
      <c r="G99" s="47"/>
      <c r="H99" s="48"/>
      <c r="I99" s="49"/>
      <c r="J99" s="46"/>
      <c r="K99" s="16"/>
      <c r="L99" s="16"/>
      <c r="M99" s="42"/>
      <c r="N99" s="42"/>
      <c r="O99" s="46"/>
      <c r="P99" s="42"/>
      <c r="Q99" s="50">
        <f t="shared" si="2"/>
        <v>1</v>
      </c>
      <c r="R99" s="50">
        <f t="shared" si="3"/>
        <v>1</v>
      </c>
    </row>
    <row r="100" spans="1:19" ht="14.25" x14ac:dyDescent="0.2">
      <c r="A100" s="42">
        <v>97</v>
      </c>
      <c r="B100" s="43"/>
      <c r="C100" s="44"/>
      <c r="D100" s="16"/>
      <c r="E100" s="16"/>
      <c r="F100" s="46"/>
      <c r="G100" s="47"/>
      <c r="H100" s="48"/>
      <c r="I100" s="49"/>
      <c r="J100" s="46"/>
      <c r="K100" s="16"/>
      <c r="L100" s="16"/>
      <c r="M100" s="42"/>
      <c r="N100" s="42"/>
      <c r="O100" s="46"/>
      <c r="P100" s="42"/>
      <c r="Q100" s="50">
        <f t="shared" si="2"/>
        <v>1</v>
      </c>
      <c r="R100" s="50">
        <f t="shared" si="3"/>
        <v>1</v>
      </c>
    </row>
    <row r="101" spans="1:19" ht="25.5" x14ac:dyDescent="0.2">
      <c r="A101" s="42">
        <v>98</v>
      </c>
      <c r="B101" s="43" t="s">
        <v>36</v>
      </c>
      <c r="C101" s="44"/>
      <c r="D101" s="16" t="s">
        <v>44</v>
      </c>
      <c r="E101" s="16"/>
      <c r="F101" s="46"/>
      <c r="G101" s="47"/>
      <c r="H101" s="48" t="s">
        <v>53</v>
      </c>
      <c r="I101" s="49" t="s">
        <v>80</v>
      </c>
      <c r="J101" s="46"/>
      <c r="K101" s="16"/>
      <c r="L101" s="16"/>
      <c r="M101" s="42"/>
      <c r="N101" s="42" t="s">
        <v>51</v>
      </c>
      <c r="O101" s="46"/>
      <c r="P101" s="42"/>
      <c r="Q101" s="50">
        <f t="shared" si="2"/>
        <v>1</v>
      </c>
      <c r="R101" s="50">
        <f t="shared" si="3"/>
        <v>1</v>
      </c>
    </row>
    <row r="102" spans="1:19" ht="14.25" x14ac:dyDescent="0.2">
      <c r="A102" s="42">
        <v>99</v>
      </c>
      <c r="B102" s="43" t="s">
        <v>49</v>
      </c>
      <c r="C102" s="44"/>
      <c r="D102" s="16" t="s">
        <v>46</v>
      </c>
      <c r="E102" s="16"/>
      <c r="F102" s="46"/>
      <c r="G102" s="47"/>
      <c r="H102" s="48" t="s">
        <v>53</v>
      </c>
      <c r="I102" s="49" t="s">
        <v>79</v>
      </c>
      <c r="J102" s="46"/>
      <c r="K102" s="16"/>
      <c r="L102" s="16"/>
      <c r="M102" s="42"/>
      <c r="N102" s="42" t="s">
        <v>55</v>
      </c>
      <c r="O102" s="46"/>
      <c r="P102" s="42"/>
      <c r="Q102" s="50">
        <f t="shared" si="2"/>
        <v>1</v>
      </c>
      <c r="R102" s="50">
        <f t="shared" si="3"/>
        <v>1</v>
      </c>
    </row>
    <row r="103" spans="1:19" ht="14.25" x14ac:dyDescent="0.2">
      <c r="A103" s="42">
        <v>100</v>
      </c>
      <c r="B103" s="51"/>
      <c r="C103" s="52"/>
      <c r="D103" s="53"/>
      <c r="E103" s="16"/>
      <c r="F103" s="46"/>
      <c r="G103" s="47"/>
      <c r="H103" s="48"/>
      <c r="I103" s="49"/>
      <c r="J103" s="46"/>
      <c r="K103" s="16"/>
      <c r="L103" s="16"/>
      <c r="M103" s="42"/>
      <c r="N103" s="42"/>
      <c r="O103" s="46"/>
      <c r="P103" s="42"/>
      <c r="Q103" s="50">
        <f t="shared" si="2"/>
        <v>1</v>
      </c>
      <c r="R103" s="50">
        <f t="shared" si="3"/>
        <v>1</v>
      </c>
    </row>
    <row r="104" spans="1:19" x14ac:dyDescent="0.2">
      <c r="B104" s="54" t="s">
        <v>81</v>
      </c>
    </row>
    <row r="105" spans="1:19" x14ac:dyDescent="0.2">
      <c r="B105" s="58"/>
    </row>
    <row r="106" spans="1:19" ht="16.5" thickBot="1" x14ac:dyDescent="0.3">
      <c r="C106" s="625" t="s">
        <v>82</v>
      </c>
      <c r="D106" s="625"/>
      <c r="E106" s="625"/>
      <c r="F106" s="625"/>
      <c r="G106" s="625"/>
      <c r="H106" s="625"/>
      <c r="I106" s="625"/>
      <c r="J106" s="625"/>
      <c r="M106" s="625" t="s">
        <v>82</v>
      </c>
      <c r="N106" s="625"/>
      <c r="O106" s="625"/>
      <c r="P106" s="625"/>
      <c r="Q106" s="625"/>
      <c r="R106" s="625"/>
    </row>
    <row r="107" spans="1:19" ht="16.5" thickBot="1" x14ac:dyDescent="0.3">
      <c r="C107" s="626" t="s">
        <v>83</v>
      </c>
      <c r="D107" s="627"/>
      <c r="E107" s="628" t="s">
        <v>3</v>
      </c>
      <c r="F107" s="629"/>
      <c r="G107" s="59" t="s">
        <v>84</v>
      </c>
      <c r="H107" s="60" t="s">
        <v>43</v>
      </c>
      <c r="I107" s="60" t="s">
        <v>44</v>
      </c>
      <c r="J107" s="61" t="s">
        <v>46</v>
      </c>
      <c r="M107" s="62" t="s">
        <v>85</v>
      </c>
      <c r="N107" s="63" t="s">
        <v>86</v>
      </c>
      <c r="O107" s="64" t="s">
        <v>43</v>
      </c>
      <c r="P107" s="65" t="s">
        <v>44</v>
      </c>
      <c r="Q107" s="66" t="s">
        <v>46</v>
      </c>
      <c r="R107" s="67" t="s">
        <v>87</v>
      </c>
      <c r="S107" s="68"/>
    </row>
    <row r="108" spans="1:19" ht="13.5" thickTop="1" x14ac:dyDescent="0.2">
      <c r="C108" s="69" t="s">
        <v>78</v>
      </c>
      <c r="D108" s="49">
        <f>COUNTIF($H$4:H104,"No Conformidad")</f>
        <v>4</v>
      </c>
      <c r="E108" s="70" t="s">
        <v>79</v>
      </c>
      <c r="F108" s="71">
        <f>COUNTIF($I$4:I104,"Si")</f>
        <v>5</v>
      </c>
      <c r="G108" s="72" t="s">
        <v>78</v>
      </c>
      <c r="H108" s="49">
        <f>COUNTIFS($H$4:H104,"No Conformidad",$D$4:D104,"Auditoria")</f>
        <v>4</v>
      </c>
      <c r="I108" s="49">
        <f>COUNTIFS($H$4:H104,"No Conformidad",$D$4:D104,"Especial")</f>
        <v>0</v>
      </c>
      <c r="J108" s="71">
        <f>COUNTIFS($H$4:H104,"No Conformidad",$D$4:D104,"Informes")</f>
        <v>0</v>
      </c>
      <c r="M108" s="73" t="s">
        <v>51</v>
      </c>
      <c r="N108" s="74">
        <f>COUNTIF($N$4:$N104,"Abierta")</f>
        <v>4</v>
      </c>
      <c r="O108" s="42">
        <f>COUNTIFS($N$4:$N104,"Abierta",$D$4:$D104,"Auditoria")</f>
        <v>3</v>
      </c>
      <c r="P108" s="42">
        <f>COUNTIFS($N$4:$N104,"Abierta",$D$4:$D104,"Especial")</f>
        <v>1</v>
      </c>
      <c r="Q108" s="75">
        <f>COUNTIFS($N$4:$N104,"Abierta",$D$4:$D104,"Informes")</f>
        <v>0</v>
      </c>
      <c r="R108" s="76">
        <f>SUM(O108:Q108)</f>
        <v>4</v>
      </c>
    </row>
    <row r="109" spans="1:19" ht="13.5" thickBot="1" x14ac:dyDescent="0.25">
      <c r="C109" s="77" t="s">
        <v>53</v>
      </c>
      <c r="D109" s="78">
        <f>COUNTIF($H$4:H104,"Recomendación")</f>
        <v>3</v>
      </c>
      <c r="E109" s="79" t="s">
        <v>80</v>
      </c>
      <c r="F109" s="80">
        <f>COUNTIF($I$4:I104,"No")</f>
        <v>2</v>
      </c>
      <c r="G109" s="81" t="s">
        <v>53</v>
      </c>
      <c r="H109" s="78">
        <f>COUNTIFS($H$4:H104,"Recomendación",$D$4:D104,"Auditoria")</f>
        <v>1</v>
      </c>
      <c r="I109" s="78">
        <f>COUNTIFS($H$4:H104,"Recomendación",$D$4:D104,"Especial")</f>
        <v>1</v>
      </c>
      <c r="J109" s="80">
        <f>COUNTIFS($H$4:H104,"Recomendación",$D$4:D104,"Informes")</f>
        <v>1</v>
      </c>
      <c r="M109" s="82" t="s">
        <v>55</v>
      </c>
      <c r="N109" s="83">
        <f>COUNTIF($N$4:$N104,"Cerrada")</f>
        <v>3</v>
      </c>
      <c r="O109" s="84">
        <f>COUNTIFS($N$4:$N104,"Cerrada",$D$4:$D104,"Auditoria")</f>
        <v>2</v>
      </c>
      <c r="P109" s="84">
        <f>COUNTIFS($N$4:$N104,"Cerrada",$D$4:$D104,"Especial")</f>
        <v>0</v>
      </c>
      <c r="Q109" s="85">
        <f>COUNTIFS($N$4:N104,"Cerrada",$D$4:D104,"Informes")</f>
        <v>1</v>
      </c>
      <c r="R109" s="86">
        <f>SUM(O109:Q109)</f>
        <v>3</v>
      </c>
    </row>
    <row r="110" spans="1:19" ht="14.25" thickTop="1" thickBot="1" x14ac:dyDescent="0.25">
      <c r="C110" s="87" t="s">
        <v>86</v>
      </c>
      <c r="D110" s="88">
        <f>SUM(D108:D109)</f>
        <v>7</v>
      </c>
      <c r="E110" s="89" t="s">
        <v>86</v>
      </c>
      <c r="F110" s="90">
        <f>SUM(F108:F109)</f>
        <v>7</v>
      </c>
      <c r="G110" s="91" t="s">
        <v>86</v>
      </c>
      <c r="H110" s="92">
        <f>SUM(H108:H109)</f>
        <v>5</v>
      </c>
      <c r="I110" s="93">
        <f>SUM(I108:I109)</f>
        <v>1</v>
      </c>
      <c r="J110" s="94">
        <f>SUM(J108:J109)</f>
        <v>1</v>
      </c>
      <c r="N110" s="95">
        <f>SUM(N108:N109)</f>
        <v>7</v>
      </c>
      <c r="R110" s="96">
        <f>SUM(R108:R109)</f>
        <v>7</v>
      </c>
    </row>
    <row r="111" spans="1:19" ht="11.25" customHeight="1" thickBot="1" x14ac:dyDescent="0.25">
      <c r="G111" s="97" t="s">
        <v>88</v>
      </c>
      <c r="H111" s="98">
        <f>SUM(H110:J110)</f>
        <v>7</v>
      </c>
      <c r="I111" s="99"/>
      <c r="J111" s="99"/>
      <c r="M111" s="100" t="s">
        <v>55</v>
      </c>
    </row>
    <row r="112" spans="1:19" ht="13.5" thickBot="1" x14ac:dyDescent="0.25">
      <c r="B112" s="31" t="s">
        <v>89</v>
      </c>
      <c r="F112" s="101"/>
      <c r="G112" s="102"/>
      <c r="H112" s="103"/>
      <c r="I112" s="99"/>
      <c r="J112" s="99"/>
      <c r="K112" s="99"/>
      <c r="M112" s="104" t="s">
        <v>90</v>
      </c>
      <c r="N112" s="105" t="s">
        <v>43</v>
      </c>
      <c r="O112" s="65" t="s">
        <v>44</v>
      </c>
      <c r="P112" s="66" t="s">
        <v>46</v>
      </c>
    </row>
    <row r="113" spans="2:20" ht="16.5" thickTop="1" thickBot="1" x14ac:dyDescent="0.3">
      <c r="B113" s="106" t="s">
        <v>91</v>
      </c>
      <c r="C113" s="107" t="str">
        <f>C1</f>
        <v>AÑO</v>
      </c>
      <c r="F113" s="101"/>
      <c r="M113" s="108" t="s">
        <v>92</v>
      </c>
      <c r="N113" s="109">
        <f>COUNTIFS($N$4:$N104,"Cerrada",$H$4:$H104,"No conformidad",$D$4:$D104,"Auditoria")</f>
        <v>2</v>
      </c>
      <c r="O113" s="42">
        <f>COUNTIFS($N$4:$N104,"Cerrada",$H$4:$H104,"No conformidad",$D$4:$D104,"Especial")</f>
        <v>0</v>
      </c>
      <c r="P113" s="42">
        <f>COUNTIFS($N$4:$N104,"Cerrada",$H$4:$H104,"No conformidad",$D$4:$D104,"Informes")</f>
        <v>0</v>
      </c>
    </row>
    <row r="114" spans="2:20" ht="14.25" customHeight="1" thickBot="1" x14ac:dyDescent="0.25">
      <c r="B114" s="620" t="s">
        <v>0</v>
      </c>
      <c r="C114" s="630" t="s">
        <v>93</v>
      </c>
      <c r="D114" s="630"/>
      <c r="E114" s="630"/>
      <c r="F114" s="631" t="s">
        <v>94</v>
      </c>
      <c r="H114" s="633" t="s">
        <v>95</v>
      </c>
      <c r="I114" s="634"/>
      <c r="J114" s="635" t="s">
        <v>96</v>
      </c>
      <c r="K114" s="636"/>
      <c r="M114" s="110" t="s">
        <v>97</v>
      </c>
      <c r="N114" s="111">
        <f>COUNTIFS($N$4:$N104,"Cerrada",$H$4:$H104,"Recomendación",$D$4:$D104,"Auditoria")</f>
        <v>0</v>
      </c>
      <c r="O114" s="78">
        <f>COUNTIFS($N$4:$N104,"Cerrada",$H$4:$H104,"Recomendación",$D$4:$D104,"Especial")</f>
        <v>0</v>
      </c>
      <c r="P114" s="78">
        <f>COUNTIFS($N$4:$N104,"Cerrada",$H$4:$H104,"Recomendación",$D$4:$D104,"Informes")</f>
        <v>1</v>
      </c>
    </row>
    <row r="115" spans="2:20" ht="22.5" customHeight="1" thickBot="1" x14ac:dyDescent="0.25">
      <c r="B115" s="621"/>
      <c r="C115" s="112" t="s">
        <v>43</v>
      </c>
      <c r="D115" s="112" t="s">
        <v>44</v>
      </c>
      <c r="E115" s="112" t="s">
        <v>46</v>
      </c>
      <c r="F115" s="632"/>
      <c r="H115" s="113" t="s">
        <v>78</v>
      </c>
      <c r="I115" s="114" t="s">
        <v>53</v>
      </c>
      <c r="J115" s="115" t="s">
        <v>79</v>
      </c>
      <c r="K115" s="116" t="s">
        <v>80</v>
      </c>
      <c r="M115" s="106" t="s">
        <v>86</v>
      </c>
      <c r="N115" s="117">
        <f>SUM(N113:N114)</f>
        <v>2</v>
      </c>
      <c r="O115" s="118">
        <f t="shared" ref="O115:P115" si="4">SUM(O113:O114)</f>
        <v>0</v>
      </c>
      <c r="P115" s="119">
        <f t="shared" si="4"/>
        <v>1</v>
      </c>
    </row>
    <row r="116" spans="2:20" ht="15.75" customHeight="1" thickTop="1" thickBot="1" x14ac:dyDescent="0.3">
      <c r="B116" s="120" t="s">
        <v>49</v>
      </c>
      <c r="C116" s="42">
        <f>COUNTIFS($D$4:$D104,"Auditoria",$B$4:$B104,$B116)</f>
        <v>1</v>
      </c>
      <c r="D116" s="42">
        <f>COUNTIFS($D$4:$D104,"Especial",$B$4:$B104,$B116)</f>
        <v>0</v>
      </c>
      <c r="E116" s="42">
        <f>COUNTIFS($D$4:$D104,"Especial",$B$4:$B104,$B116)</f>
        <v>0</v>
      </c>
      <c r="F116" s="42">
        <f>COUNTIF($B$4:B104,$B116)</f>
        <v>2</v>
      </c>
      <c r="H116" s="121">
        <f>COUNTIFS($H$4:$H104,"No Conformidad",$B$4:$B104,$B116)</f>
        <v>1</v>
      </c>
      <c r="I116" s="42">
        <f>COUNTIFS($H$4:$H104,"Recomendación",$B$4:$B104,$B116)</f>
        <v>1</v>
      </c>
      <c r="J116" s="42">
        <f>COUNTIFS($I$4:I104,"Si",$B$4:B104,$B116)</f>
        <v>1</v>
      </c>
      <c r="K116" s="75">
        <f>COUNTIFS($I$4:I104,"No",$B$4:B104,$B116)</f>
        <v>1</v>
      </c>
      <c r="M116" s="106" t="s">
        <v>88</v>
      </c>
      <c r="N116" s="122">
        <f>SUM(N115:P115)</f>
        <v>3</v>
      </c>
    </row>
    <row r="117" spans="2:20" ht="45.75" thickBot="1" x14ac:dyDescent="0.3">
      <c r="B117" s="123" t="s">
        <v>35</v>
      </c>
      <c r="C117" s="42">
        <f>COUNTIFS($D$4:$D104,"Auditoria",$B$4:$B104,$B117)</f>
        <v>0</v>
      </c>
      <c r="D117" s="42">
        <f>COUNTIFS($D$4:$D104,"Especial",$B$4:$B104,$B117)</f>
        <v>0</v>
      </c>
      <c r="E117" s="42">
        <f>COUNTIFS($D$4:$D104,"Especial",$B$4:$B104,$B117)</f>
        <v>0</v>
      </c>
      <c r="F117" s="42">
        <f>COUNTIF($B$4:B104,$B117)</f>
        <v>0</v>
      </c>
      <c r="H117" s="124">
        <f>COUNTIFS($H$4:$H104,"No Conformidad",$B$4:$B104,$B117)</f>
        <v>0</v>
      </c>
      <c r="I117" s="49">
        <f>COUNTIFS($H$4:$H104,"Recomendación",$B$4:$B104,$B117)</f>
        <v>0</v>
      </c>
      <c r="J117" s="49">
        <f>COUNTIFS($I$4:$I104,"Si",$B$4:$B104,$B117)</f>
        <v>0</v>
      </c>
      <c r="K117" s="71">
        <f>COUNTIFS($I$4:$I104,"No",$B$4:$B104,$B117)</f>
        <v>0</v>
      </c>
      <c r="T117" s="32"/>
    </row>
    <row r="118" spans="2:20" ht="15.75" thickBot="1" x14ac:dyDescent="0.3">
      <c r="B118" s="125" t="s">
        <v>10</v>
      </c>
      <c r="C118" s="42">
        <f>COUNTIFS($D$4:$D104,"Auditoria",$B$4:$B104,$B118)</f>
        <v>0</v>
      </c>
      <c r="D118" s="42">
        <f>COUNTIFS($D$4:$D104,"Especial",$B$4:$B104,$B118)</f>
        <v>0</v>
      </c>
      <c r="E118" s="42">
        <f>COUNTIFS($D$4:$D104,"Especial",$B$4:$B104,$B118)</f>
        <v>0</v>
      </c>
      <c r="F118" s="42">
        <f>COUNTIF($B$4:B104,$B118)</f>
        <v>0</v>
      </c>
      <c r="H118" s="124">
        <f>COUNTIFS($H$4:$H104,"No Conformidad",$B$4:$B104,$B118)</f>
        <v>0</v>
      </c>
      <c r="I118" s="49">
        <f>COUNTIFS($H$4:$H104,"Recomendación",$B$4:$B104,$B118)</f>
        <v>0</v>
      </c>
      <c r="J118" s="49">
        <f>COUNTIFS($I$4:$I104,"Si",$B$4:$B104,$B118)</f>
        <v>0</v>
      </c>
      <c r="K118" s="71">
        <f>COUNTIFS($I$4:$I104,"No",$B$4:$B104,$B118)</f>
        <v>0</v>
      </c>
      <c r="M118" s="126" t="s">
        <v>51</v>
      </c>
    </row>
    <row r="119" spans="2:20" ht="15.75" thickBot="1" x14ac:dyDescent="0.3">
      <c r="B119" s="125" t="s">
        <v>2</v>
      </c>
      <c r="C119" s="42">
        <f>COUNTIFS($D$4:$D104,"Auditoria",$B$4:$B104,$B119)</f>
        <v>0</v>
      </c>
      <c r="D119" s="42">
        <f>COUNTIFS($D$4:$D104,"Especial",$B$4:$B104,$B119)</f>
        <v>0</v>
      </c>
      <c r="E119" s="42">
        <f>COUNTIFS($D$4:$D104,"Especial",$B$4:$B104,$B119)</f>
        <v>0</v>
      </c>
      <c r="F119" s="42">
        <f>COUNTIF($B$4:B104,$B119)</f>
        <v>0</v>
      </c>
      <c r="H119" s="124">
        <f>COUNTIFS($H$4:$H104,"No Conformidad",$B$4:$B104,$B119)</f>
        <v>0</v>
      </c>
      <c r="I119" s="49">
        <f>COUNTIFS($H$4:$H104,"Recomendación",$B$4:$B104,$B119)</f>
        <v>0</v>
      </c>
      <c r="J119" s="49">
        <f>COUNTIFS($I$4:$I104,"Si",$B$4:$B104,$B119)</f>
        <v>0</v>
      </c>
      <c r="K119" s="71">
        <f>COUNTIFS($I$4:$I104,"No",$B$4:$B104,$B119)</f>
        <v>0</v>
      </c>
      <c r="M119" s="127" t="s">
        <v>98</v>
      </c>
      <c r="N119" s="128" t="s">
        <v>43</v>
      </c>
      <c r="O119" s="65" t="s">
        <v>44</v>
      </c>
      <c r="P119" s="66" t="s">
        <v>46</v>
      </c>
    </row>
    <row r="120" spans="2:20" ht="15.75" thickTop="1" x14ac:dyDescent="0.25">
      <c r="B120" s="125" t="s">
        <v>36</v>
      </c>
      <c r="C120" s="42">
        <f>COUNTIFS($D$4:$D104,"Auditoria",$B$4:$B104,$B120)</f>
        <v>2</v>
      </c>
      <c r="D120" s="42">
        <f>COUNTIFS($D$4:$D104,"Especial",$B$4:$B104,$B120)</f>
        <v>1</v>
      </c>
      <c r="E120" s="42">
        <f>COUNTIFS($D$4:$D104,"Especial",$B$4:$B104,$B120)</f>
        <v>1</v>
      </c>
      <c r="F120" s="42">
        <f>COUNTIF($B$4:B104,$B120)</f>
        <v>3</v>
      </c>
      <c r="H120" s="124">
        <f>COUNTIFS($H$4:$H104,"No Conformidad",$B$4:$B104,$B120)</f>
        <v>1</v>
      </c>
      <c r="I120" s="49">
        <f>COUNTIFS($H$4:$H104,"Recomendación",$B$4:$B104,$B120)</f>
        <v>2</v>
      </c>
      <c r="J120" s="49">
        <f>COUNTIFS($I$4:$I104,"Si",$B$4:$B104,$B120)</f>
        <v>2</v>
      </c>
      <c r="K120" s="71">
        <f>COUNTIFS($I$4:$I104,"No",$B$4:$B104,$B120)</f>
        <v>1</v>
      </c>
      <c r="M120" s="129" t="s">
        <v>99</v>
      </c>
      <c r="N120" s="121">
        <f>COUNTIFS($N$4:$N104,"Abierta",$H$4:$H104,"No conformidad",$D$4:$D104,"Auditoria")</f>
        <v>2</v>
      </c>
      <c r="O120" s="42">
        <f>COUNTIFS($N$4:$N104,"Abierta",$H$4:$H104,"No conformidad",$D$4:$D104,"Especial")</f>
        <v>0</v>
      </c>
      <c r="P120" s="75">
        <f>COUNTIFS($N$4:$N104,"Abierta",$H$4:$H104,"No conformidad",$D$4:$D104,"Informes")</f>
        <v>0</v>
      </c>
    </row>
    <row r="121" spans="2:20" ht="15.75" thickBot="1" x14ac:dyDescent="0.3">
      <c r="B121" s="125" t="s">
        <v>37</v>
      </c>
      <c r="C121" s="42">
        <f>COUNTIFS($D$4:$D104,"Auditoria",$B$4:$B104,$B121)</f>
        <v>1</v>
      </c>
      <c r="D121" s="42">
        <f>COUNTIFS($D$4:$D104,"Especial",$B$4:$B104,$B121)</f>
        <v>0</v>
      </c>
      <c r="E121" s="42">
        <f>COUNTIFS($D$4:$D104,"Especial",$B$4:$B104,$B121)</f>
        <v>0</v>
      </c>
      <c r="F121" s="42">
        <f>COUNTIF($B$4:B104,$B121)</f>
        <v>1</v>
      </c>
      <c r="H121" s="124">
        <f>COUNTIFS($H$4:$H104,"No Conformidad",$B$4:$B104,$B121)</f>
        <v>1</v>
      </c>
      <c r="I121" s="49">
        <f>COUNTIFS($H$4:$H104,"Recomendación",$B$4:$B104,$B121)</f>
        <v>0</v>
      </c>
      <c r="J121" s="49">
        <f>COUNTIFS($I$4:$I104,"Si",$B$4:$B104,$B121)</f>
        <v>1</v>
      </c>
      <c r="K121" s="71">
        <f>COUNTIFS($I$4:$I104,"No",$B$4:$B104,$B121)</f>
        <v>0</v>
      </c>
      <c r="M121" s="130" t="s">
        <v>100</v>
      </c>
      <c r="N121" s="131">
        <f>COUNTIFS($N$4:$N104,"Abierta",$H$4:$H104,"Recomendación",$D$4:$D104,"Auditoria")</f>
        <v>1</v>
      </c>
      <c r="O121" s="78">
        <f>COUNTIFS($N$4:$N104,"Abierta",$H$4:$H104,"Recomendación",$D$4:$D104,"Especial")</f>
        <v>1</v>
      </c>
      <c r="P121" s="80">
        <f>COUNTIFS($N$4:$N104,"Abierta",$H$4:$H104,"Recomendación",$D$4:$D104,"Informes")</f>
        <v>0</v>
      </c>
    </row>
    <row r="122" spans="2:20" ht="15.75" thickBot="1" x14ac:dyDescent="0.3">
      <c r="B122" s="125" t="s">
        <v>25</v>
      </c>
      <c r="C122" s="42">
        <f>COUNTIFS($D$4:$D104,"Auditoria",$B$4:$B104,$B122)</f>
        <v>1</v>
      </c>
      <c r="D122" s="42">
        <f>COUNTIFS($D$4:$D104,"Especial",$B$4:$B104,$B122)</f>
        <v>0</v>
      </c>
      <c r="E122" s="42">
        <f>COUNTIFS($D$4:$D104,"Especial",$B$4:$B104,$B122)</f>
        <v>0</v>
      </c>
      <c r="F122" s="42">
        <f>COUNTIF($B$4:B104,$B122)</f>
        <v>1</v>
      </c>
      <c r="H122" s="124">
        <f>COUNTIFS($H$4:$H104,"No Conformidad",$B$4:$B104,$B122)</f>
        <v>1</v>
      </c>
      <c r="I122" s="49">
        <f>COUNTIFS($H$4:$H104,"Recomendación",$B$4:$B104,$B122)</f>
        <v>0</v>
      </c>
      <c r="J122" s="49">
        <f>COUNTIFS($I$4:$I104,"Si",$B$4:$B104,$B122)</f>
        <v>1</v>
      </c>
      <c r="K122" s="71">
        <f>COUNTIFS($I$4:$I104,"No",$B$4:$B104,$B122)</f>
        <v>0</v>
      </c>
      <c r="M122" s="106" t="s">
        <v>86</v>
      </c>
      <c r="N122" s="132">
        <f>SUM(N120:N121)</f>
        <v>3</v>
      </c>
      <c r="O122" s="84">
        <f t="shared" ref="O122:P122" si="5">SUM(O120:O121)</f>
        <v>1</v>
      </c>
      <c r="P122" s="85">
        <f t="shared" si="5"/>
        <v>0</v>
      </c>
    </row>
    <row r="123" spans="2:20" ht="15.75" thickBot="1" x14ac:dyDescent="0.3">
      <c r="B123" s="125" t="s">
        <v>61</v>
      </c>
      <c r="C123" s="42">
        <f>COUNTIFS($D$4:$D104,"Auditoria",$B$4:$B104,$B123)</f>
        <v>0</v>
      </c>
      <c r="D123" s="42">
        <f>COUNTIFS($D$4:$D104,"Especial",$B$4:$B104,$B123)</f>
        <v>0</v>
      </c>
      <c r="E123" s="42">
        <f>COUNTIFS($D$4:$D104,"Especial",$B$4:$B104,$B123)</f>
        <v>0</v>
      </c>
      <c r="F123" s="42">
        <f>COUNTIF($B$4:B104,$B123)</f>
        <v>0</v>
      </c>
      <c r="H123" s="124">
        <f>COUNTIFS($H$4:$H104,"No Conformidad",$B$4:$B104,$B123)</f>
        <v>0</v>
      </c>
      <c r="I123" s="49">
        <f>COUNTIFS($H$4:$H104,"Recomendación",$B$4:$B104,$B123)</f>
        <v>0</v>
      </c>
      <c r="J123" s="49">
        <f>COUNTIFS($I$4:$I104,"Si",$B$4:$B104,$B123)</f>
        <v>0</v>
      </c>
      <c r="K123" s="71">
        <f>COUNTIFS($I$4:$I104,"No",$B$4:$B104,$B123)</f>
        <v>0</v>
      </c>
      <c r="M123" s="106" t="s">
        <v>88</v>
      </c>
      <c r="N123" s="133">
        <f>SUM(N122:P122)</f>
        <v>4</v>
      </c>
    </row>
    <row r="124" spans="2:20" ht="30" x14ac:dyDescent="0.25">
      <c r="B124" s="123" t="s">
        <v>62</v>
      </c>
      <c r="C124" s="42">
        <f>COUNTIFS($D$4:$D104,"Auditoria",$B$4:$B104,$B124)</f>
        <v>0</v>
      </c>
      <c r="D124" s="42">
        <f>COUNTIFS($D$4:$D104,"Especial",$B$4:$B104,$B124)</f>
        <v>0</v>
      </c>
      <c r="E124" s="42">
        <f>COUNTIFS($D$4:$D104,"Especial",$B$4:$B104,$B124)</f>
        <v>0</v>
      </c>
      <c r="F124" s="42">
        <f>COUNTIF($B$4:B104,$B124)</f>
        <v>0</v>
      </c>
      <c r="H124" s="124">
        <f>COUNTIFS($H$4:$H104,"No Conformidad",$B$4:$B104,$B124)</f>
        <v>0</v>
      </c>
      <c r="I124" s="49">
        <f>COUNTIFS($H$4:$H104,"Recomendación",$B$4:$B104,$B124)</f>
        <v>0</v>
      </c>
      <c r="J124" s="49">
        <f>COUNTIFS($I$4:$I104,"Si",$B$4:$B104,$B124)</f>
        <v>0</v>
      </c>
      <c r="K124" s="71">
        <f>COUNTIFS($I$4:$I104,"No",$B$4:$B104,$B124)</f>
        <v>0</v>
      </c>
      <c r="L124" s="99"/>
    </row>
    <row r="125" spans="2:20" ht="15" x14ac:dyDescent="0.25">
      <c r="B125" s="125" t="s">
        <v>63</v>
      </c>
      <c r="C125" s="42">
        <f>COUNTIFS($D$4:$D104,"Auditoria",$B$4:$B104,$B125)</f>
        <v>0</v>
      </c>
      <c r="D125" s="42">
        <f>COUNTIFS($D$4:$D104,"Especial",$B$4:$B104,$B125)</f>
        <v>0</v>
      </c>
      <c r="E125" s="42">
        <f>COUNTIFS($D$4:$D104,"Especial",$B$4:$B104,$B125)</f>
        <v>0</v>
      </c>
      <c r="F125" s="42">
        <f>COUNTIF($B$4:B104,$B125)</f>
        <v>0</v>
      </c>
      <c r="H125" s="124">
        <f>COUNTIFS($H$4:$H104,"No Conformidad",$B$4:$B104,$B125)</f>
        <v>0</v>
      </c>
      <c r="I125" s="49">
        <f>COUNTIFS($H$4:$H104,"Recomendación",$B$4:$B104,$B125)</f>
        <v>0</v>
      </c>
      <c r="J125" s="49">
        <f>COUNTIFS($I$4:$I104,"Si",$B$4:$B104,$B125)</f>
        <v>0</v>
      </c>
      <c r="K125" s="71">
        <f>COUNTIFS($I$4:$I104,"No",$B$4:$B104,$B125)</f>
        <v>0</v>
      </c>
      <c r="L125" s="99"/>
    </row>
    <row r="126" spans="2:20" ht="15" x14ac:dyDescent="0.25">
      <c r="B126" s="125" t="s">
        <v>64</v>
      </c>
      <c r="C126" s="42">
        <f>COUNTIFS($D$4:$D104,"Auditoria",$B$4:$B104,$B126)</f>
        <v>0</v>
      </c>
      <c r="D126" s="42">
        <f>COUNTIFS($D$4:$D104,"Especial",$B$4:$B104,$B126)</f>
        <v>0</v>
      </c>
      <c r="E126" s="42">
        <f>COUNTIFS($D$4:$D104,"Especial",$B$4:$B104,$B126)</f>
        <v>0</v>
      </c>
      <c r="F126" s="42">
        <f>COUNTIF($B$4:B104,$B126)</f>
        <v>0</v>
      </c>
      <c r="H126" s="124">
        <f>COUNTIFS($H$4:$H104,"No Conformidad",$B$4:$B104,$B126)</f>
        <v>0</v>
      </c>
      <c r="I126" s="49">
        <f>COUNTIFS($H$4:$H104,"Recomendación",$B$4:$B104,$B126)</f>
        <v>0</v>
      </c>
      <c r="J126" s="49">
        <f>COUNTIFS($I$4:$I104,"Si",$B$4:$B104,$B126)</f>
        <v>0</v>
      </c>
      <c r="K126" s="71">
        <f>COUNTIFS($I$4:$I104,"No",$B$4:$B104,$B126)</f>
        <v>0</v>
      </c>
      <c r="L126" s="99"/>
    </row>
    <row r="127" spans="2:20" ht="15.75" thickBot="1" x14ac:dyDescent="0.3">
      <c r="B127" s="134" t="s">
        <v>65</v>
      </c>
      <c r="C127" s="42">
        <f>COUNTIFS($D$4:$D104,"Auditoria",$B$4:$B104,$B127)</f>
        <v>0</v>
      </c>
      <c r="D127" s="42">
        <f>COUNTIFS($D$4:$D104,"Especial",$B$4:$B104,$B127)</f>
        <v>0</v>
      </c>
      <c r="E127" s="42">
        <f>COUNTIFS($D$4:$D104,"Especial",$B$4:$B104,$B127)</f>
        <v>0</v>
      </c>
      <c r="F127" s="42">
        <f>COUNTIF($B$4:B104,$B127)</f>
        <v>0</v>
      </c>
      <c r="H127" s="131">
        <f>COUNTIFS($H$4:$H104,"No Conformidad",$B$4:$B104,$B127)</f>
        <v>0</v>
      </c>
      <c r="I127" s="78">
        <f>COUNTIFS($H$4:$H104,"Recomendación",$B$4:$B104,$B127)</f>
        <v>0</v>
      </c>
      <c r="J127" s="78">
        <f>COUNTIFS($I$4:$I104,"Si",$B$4:$B104,$B127)</f>
        <v>0</v>
      </c>
      <c r="K127" s="80">
        <f>COUNTIFS($I$4:$I104,"No",$B$4:$B104,$B127)</f>
        <v>0</v>
      </c>
      <c r="L127" s="99"/>
    </row>
    <row r="128" spans="2:20" ht="17.25" thickTop="1" thickBot="1" x14ac:dyDescent="0.3">
      <c r="B128" s="135" t="s">
        <v>86</v>
      </c>
      <c r="C128" s="117">
        <f>SUBTOTAL(9,C116:C127)</f>
        <v>5</v>
      </c>
      <c r="D128" s="118">
        <f t="shared" ref="D128:E128" si="6">SUBTOTAL(9,D116:D127)</f>
        <v>1</v>
      </c>
      <c r="E128" s="118">
        <f t="shared" si="6"/>
        <v>1</v>
      </c>
      <c r="F128" s="136">
        <f>SUM(F116:F127)</f>
        <v>7</v>
      </c>
      <c r="G128" s="135" t="s">
        <v>86</v>
      </c>
      <c r="H128" s="92">
        <f>SUM(H116:H127)</f>
        <v>4</v>
      </c>
      <c r="I128" s="93">
        <f t="shared" ref="I128:K128" si="7">SUM(I116:I127)</f>
        <v>3</v>
      </c>
      <c r="J128" s="93">
        <f t="shared" si="7"/>
        <v>5</v>
      </c>
      <c r="K128" s="94">
        <f t="shared" si="7"/>
        <v>2</v>
      </c>
      <c r="L128" s="99"/>
    </row>
    <row r="129" spans="2:12" ht="13.5" thickBot="1" x14ac:dyDescent="0.25">
      <c r="F129" s="137">
        <f>SUM(C128:E128)</f>
        <v>7</v>
      </c>
      <c r="H129" s="32"/>
      <c r="L129" s="99"/>
    </row>
    <row r="130" spans="2:12" ht="6.75" customHeight="1" thickBot="1" x14ac:dyDescent="0.25">
      <c r="F130" s="138"/>
      <c r="H130" s="32"/>
    </row>
    <row r="131" spans="2:12" ht="15" x14ac:dyDescent="0.2">
      <c r="B131" s="620" t="s">
        <v>0</v>
      </c>
      <c r="C131" s="622" t="s">
        <v>51</v>
      </c>
      <c r="D131" s="623"/>
      <c r="E131" s="623"/>
      <c r="F131" s="624"/>
      <c r="H131" s="622" t="s">
        <v>55</v>
      </c>
      <c r="I131" s="623"/>
      <c r="J131" s="623"/>
      <c r="K131" s="624"/>
    </row>
    <row r="132" spans="2:12" ht="16.5" thickBot="1" x14ac:dyDescent="0.25">
      <c r="B132" s="621"/>
      <c r="C132" s="139" t="s">
        <v>86</v>
      </c>
      <c r="D132" s="140" t="s">
        <v>78</v>
      </c>
      <c r="E132" s="141" t="s">
        <v>53</v>
      </c>
      <c r="F132" s="142" t="s">
        <v>101</v>
      </c>
      <c r="H132" s="139" t="s">
        <v>86</v>
      </c>
      <c r="I132" s="140" t="s">
        <v>78</v>
      </c>
      <c r="J132" s="141" t="s">
        <v>53</v>
      </c>
      <c r="K132" s="142" t="s">
        <v>102</v>
      </c>
    </row>
    <row r="133" spans="2:12" ht="15.75" thickTop="1" x14ac:dyDescent="0.25">
      <c r="B133" s="120" t="s">
        <v>49</v>
      </c>
      <c r="C133" s="121">
        <f>COUNTIFS($N$4:N104,"Abierta",$B$4:B104,$B133)</f>
        <v>1</v>
      </c>
      <c r="D133" s="42">
        <f>COUNTIFS($N$4:$N104,"Abierta",$H$4:$H104,"No Conformidad",$B$4:$B104,B133)</f>
        <v>1</v>
      </c>
      <c r="E133" s="42">
        <f>COUNTIFS($N$4:N104,"Abierta",$H$4:H104,"Recomendación",$B$4:B104,B133)</f>
        <v>0</v>
      </c>
      <c r="F133" s="143">
        <f>C133/$C$145</f>
        <v>0.25</v>
      </c>
      <c r="H133" s="121">
        <f>COUNTIFS($N$4:$N104,"Cerrada",$B$4:B$104,$B133)</f>
        <v>1</v>
      </c>
      <c r="I133" s="42">
        <f>COUNTIFS($N$4:$N104,"Cerrada",$H$4:$H104,"No Conformidad",$B$4:$B104,B133)</f>
        <v>0</v>
      </c>
      <c r="J133" s="42">
        <f>COUNTIFS($N$4:N104,"Cerrada",$H$4:H104,"Recomendación",$B$4:B104,B133)</f>
        <v>1</v>
      </c>
      <c r="K133" s="144">
        <f>H133/$H$145</f>
        <v>0.33333333333333331</v>
      </c>
    </row>
    <row r="134" spans="2:12" ht="45" x14ac:dyDescent="0.25">
      <c r="B134" s="123" t="s">
        <v>35</v>
      </c>
      <c r="C134" s="121">
        <f>COUNTIFS($N$4:N104,"Abierta",$B$4:B104,$B134)</f>
        <v>0</v>
      </c>
      <c r="D134" s="42">
        <f>COUNTIFS($N$4:N104,"Abierta",$H$4:H104,"No Conformidad",$B$4:B104,B134)</f>
        <v>0</v>
      </c>
      <c r="E134" s="42">
        <f>COUNTIFS($N$4:N104,"Abierta",$H$4:H104,"Recomendación",$B$4:B104,B134)</f>
        <v>0</v>
      </c>
      <c r="F134" s="143">
        <f t="shared" ref="F134:F144" si="8">C134/$C$145</f>
        <v>0</v>
      </c>
      <c r="H134" s="121">
        <f>COUNTIFS($N$4:$N104,"Cerrada",$B$4:$B104,$B134)</f>
        <v>0</v>
      </c>
      <c r="I134" s="42">
        <f>COUNTIFS($N$4:$N104,"Cerrada",$H$4:$H104,"No Conformidad",$B$4:$B104,B134)</f>
        <v>0</v>
      </c>
      <c r="J134" s="42">
        <f>COUNTIFS($N$4:$N104,"Cerrada",$H$4:$H104,"Recomendación",$B$4:$B104,B134)</f>
        <v>0</v>
      </c>
      <c r="K134" s="144">
        <f t="shared" ref="K134:K144" si="9">H134/$H$145</f>
        <v>0</v>
      </c>
    </row>
    <row r="135" spans="2:12" ht="15" x14ac:dyDescent="0.25">
      <c r="B135" s="125" t="s">
        <v>10</v>
      </c>
      <c r="C135" s="121">
        <f>COUNTIFS($N$4:N104,"Abierta",$B$4:B104,$B135)</f>
        <v>0</v>
      </c>
      <c r="D135" s="42">
        <f>COUNTIFS($N$4:N104,"Abierta",$H$4:H104,"No Conformidad",$B$4:B104,B135)</f>
        <v>0</v>
      </c>
      <c r="E135" s="42">
        <f>COUNTIFS($N$4:N104,"Abierta",$H$4:H104,"Recomendación",$B$4:B104,B135)</f>
        <v>0</v>
      </c>
      <c r="F135" s="143">
        <f t="shared" si="8"/>
        <v>0</v>
      </c>
      <c r="H135" s="121">
        <f>COUNTIFS($N$4:$N104,"Cerrada",$B$4:$B104,$B135)</f>
        <v>0</v>
      </c>
      <c r="I135" s="42">
        <f>COUNTIFS($N$4:$N104,"Cerrada",$H$4:$H104,"No Conformidad",$B$4:$B104,B135)</f>
        <v>0</v>
      </c>
      <c r="J135" s="42">
        <f>COUNTIFS($N$4:$N104,"Cerrada",$H$4:$H104,"Recomendación",$B$4:$B104,B135)</f>
        <v>0</v>
      </c>
      <c r="K135" s="144">
        <f t="shared" si="9"/>
        <v>0</v>
      </c>
    </row>
    <row r="136" spans="2:12" ht="15" x14ac:dyDescent="0.25">
      <c r="B136" s="125" t="s">
        <v>2</v>
      </c>
      <c r="C136" s="121">
        <f>COUNTIFS($N$4:N104,"Abierta",$B$4:B104,$B136)</f>
        <v>0</v>
      </c>
      <c r="D136" s="42">
        <f>COUNTIFS($N$4:N104,"Abierta",$H$4:H104,"No Conformidad",$B$4:B104,B136)</f>
        <v>0</v>
      </c>
      <c r="E136" s="42">
        <f>COUNTIFS($N$4:N104,"Abierta",$H$4:H104,"Recomendación",$B$4:B104,B136)</f>
        <v>0</v>
      </c>
      <c r="F136" s="143">
        <f t="shared" si="8"/>
        <v>0</v>
      </c>
      <c r="H136" s="121">
        <f>COUNTIFS($N$4:$N104,"Cerrada",$B$4:$B104,$B136)</f>
        <v>0</v>
      </c>
      <c r="I136" s="42">
        <f>COUNTIFS($N$4:$N104,"Cerrada",$H$4:$H104,"No Conformidad",$B$4:$B104,B136)</f>
        <v>0</v>
      </c>
      <c r="J136" s="42">
        <f>COUNTIFS($N$4:$N104,"Cerrada",$H$4:$H104,"Recomendación",$B$4:$B104,B136)</f>
        <v>0</v>
      </c>
      <c r="K136" s="144">
        <f t="shared" si="9"/>
        <v>0</v>
      </c>
    </row>
    <row r="137" spans="2:12" ht="15" x14ac:dyDescent="0.25">
      <c r="B137" s="125" t="s">
        <v>36</v>
      </c>
      <c r="C137" s="121">
        <f>COUNTIFS($N$4:N104,"Abierta",$B$4:B104,$B137)</f>
        <v>2</v>
      </c>
      <c r="D137" s="42">
        <f>COUNTIFS($N$4:N104,"Abierta",$H$4:H104,"No Conformidad",$B$4:B104,B137)</f>
        <v>0</v>
      </c>
      <c r="E137" s="42">
        <f>COUNTIFS($N$4:N104,"Abierta",$H$4:H104,"Recomendación",$B$4:B104,B137)</f>
        <v>2</v>
      </c>
      <c r="F137" s="143">
        <f t="shared" si="8"/>
        <v>0.5</v>
      </c>
      <c r="H137" s="121">
        <f>COUNTIFS($N$4:$N104,"Cerrada",$B$4:$B104,$B137)</f>
        <v>1</v>
      </c>
      <c r="I137" s="42">
        <f>COUNTIFS($N$4:$N104,"Cerrada",$H$4:$H104,"No Conformidad",$B$4:$B104,B137)</f>
        <v>1</v>
      </c>
      <c r="J137" s="42">
        <f>COUNTIFS($N$4:$N104,"Cerrada",$H$4:$H104,"Recomendación",$B$4:$B104,B137)</f>
        <v>0</v>
      </c>
      <c r="K137" s="144">
        <f t="shared" si="9"/>
        <v>0.33333333333333331</v>
      </c>
    </row>
    <row r="138" spans="2:12" ht="15" x14ac:dyDescent="0.25">
      <c r="B138" s="125" t="s">
        <v>37</v>
      </c>
      <c r="C138" s="121">
        <f>COUNTIFS($N$4:N104,"Abierta",$B$4:B104,$B138)</f>
        <v>0</v>
      </c>
      <c r="D138" s="42">
        <f>COUNTIFS($N$4:N104,"Abierta",$H$4:H104,"No Conformidad",$B$4:B104,B138)</f>
        <v>0</v>
      </c>
      <c r="E138" s="42">
        <f>COUNTIFS($N$4:N104,"Abierta",$H$4:H104,"Recomendación",$B$4:B104,B138)</f>
        <v>0</v>
      </c>
      <c r="F138" s="143">
        <f t="shared" si="8"/>
        <v>0</v>
      </c>
      <c r="H138" s="121">
        <f>COUNTIFS($N$4:$N104,"Cerrada",$B$4:$B104,$B138)</f>
        <v>1</v>
      </c>
      <c r="I138" s="42">
        <f>COUNTIFS($N$4:$N104,"Cerrada",$H$4:$H104,"No Conformidad",$B$4:$B104,B138)</f>
        <v>1</v>
      </c>
      <c r="J138" s="42">
        <f>COUNTIFS($N$4:$N104,"Cerrada",$H$4:$H104,"Recomendación",$B$4:$B104,B138)</f>
        <v>0</v>
      </c>
      <c r="K138" s="144">
        <f t="shared" si="9"/>
        <v>0.33333333333333331</v>
      </c>
    </row>
    <row r="139" spans="2:12" ht="15" x14ac:dyDescent="0.25">
      <c r="B139" s="125" t="s">
        <v>25</v>
      </c>
      <c r="C139" s="121">
        <f>COUNTIFS($N$4:N104,"Abierta",$B$4:B104,$B139)</f>
        <v>1</v>
      </c>
      <c r="D139" s="42">
        <f>COUNTIFS($N$4:N104,"Abierta",$H$4:H104,"No Conformidad",$B$4:B104,B139)</f>
        <v>1</v>
      </c>
      <c r="E139" s="42">
        <f>COUNTIFS($N$4:N104,"Abierta",$H$4:H104,"Recomendación",$B$4:B104,B139)</f>
        <v>0</v>
      </c>
      <c r="F139" s="143">
        <f t="shared" si="8"/>
        <v>0.25</v>
      </c>
      <c r="H139" s="121">
        <f>COUNTIFS($N$4:$N104,"Cerrada",$B$4:$B104,$B139)</f>
        <v>0</v>
      </c>
      <c r="I139" s="42">
        <f>COUNTIFS($N$4:$N104,"Cerrada",$H$4:$H104,"No Conformidad",$B$4:$B104,B139)</f>
        <v>0</v>
      </c>
      <c r="J139" s="42">
        <f>COUNTIFS($N$4:$N104,"Cerrada",$H$4:$H104,"Recomendación",$B$4:$B104,B139)</f>
        <v>0</v>
      </c>
      <c r="K139" s="144">
        <f t="shared" si="9"/>
        <v>0</v>
      </c>
    </row>
    <row r="140" spans="2:12" ht="15" x14ac:dyDescent="0.25">
      <c r="B140" s="125" t="s">
        <v>61</v>
      </c>
      <c r="C140" s="121">
        <f>COUNTIFS($N$4:N104,"Abierta",$B$4:B104,$B140)</f>
        <v>0</v>
      </c>
      <c r="D140" s="42">
        <f>COUNTIFS($N$4:N104,"Abierta",$H$4:H104,"No Conformidad",$B$4:B104,B140)</f>
        <v>0</v>
      </c>
      <c r="E140" s="42">
        <f>COUNTIFS($N$4:N104,"Abierta",$H$4:H104,"Recomendación",$B$4:B104,B140)</f>
        <v>0</v>
      </c>
      <c r="F140" s="143">
        <f t="shared" si="8"/>
        <v>0</v>
      </c>
      <c r="H140" s="121">
        <f>COUNTIFS($N$4:$N104,"Cerrada",$B$4:$B104,$B140)</f>
        <v>0</v>
      </c>
      <c r="I140" s="42">
        <f>COUNTIFS($N$4:$N104,"Cerrada",$H$4:$H104,"No Conformidad",$B$4:$B104,B140)</f>
        <v>0</v>
      </c>
      <c r="J140" s="42">
        <f>COUNTIFS($N$4:$N104,"Cerrada",$H$4:$H104,"Recomendación",$B$4:$B104,B140)</f>
        <v>0</v>
      </c>
      <c r="K140" s="144">
        <f t="shared" si="9"/>
        <v>0</v>
      </c>
    </row>
    <row r="141" spans="2:12" ht="30" x14ac:dyDescent="0.25">
      <c r="B141" s="123" t="s">
        <v>62</v>
      </c>
      <c r="C141" s="121">
        <f>COUNTIFS($N$4:N104,"Abierta",$B$4:B104,$B141)</f>
        <v>0</v>
      </c>
      <c r="D141" s="42">
        <f>COUNTIFS($N$4:N104,"Abierta",$H$4:H104,"No Conformidad",$B$4:B104,B141)</f>
        <v>0</v>
      </c>
      <c r="E141" s="42">
        <f>COUNTIFS($N$4:N104,"Abierta",$H$4:H104,"Recomendación",$B$4:B104,B141)</f>
        <v>0</v>
      </c>
      <c r="F141" s="143">
        <f t="shared" si="8"/>
        <v>0</v>
      </c>
      <c r="H141" s="121">
        <f>COUNTIFS($N$4:$N104,"Cerrada",$B$4:$B104,$B141)</f>
        <v>0</v>
      </c>
      <c r="I141" s="42">
        <f>COUNTIFS($N$4:$N104,"Cerrada",$H$4:$H104,"No Conformidad",$B$4:$B104,B141)</f>
        <v>0</v>
      </c>
      <c r="J141" s="42">
        <f>COUNTIFS($N$4:$N104,"Cerrada",$H$4:$H104,"Recomendación",$B$4:$B104,B141)</f>
        <v>0</v>
      </c>
      <c r="K141" s="144">
        <f t="shared" si="9"/>
        <v>0</v>
      </c>
    </row>
    <row r="142" spans="2:12" ht="15" x14ac:dyDescent="0.25">
      <c r="B142" s="125" t="s">
        <v>63</v>
      </c>
      <c r="C142" s="121">
        <f>COUNTIFS($N$4:N104,"Abierta",$B$4:B104,$B142)</f>
        <v>0</v>
      </c>
      <c r="D142" s="42">
        <f>COUNTIFS($N$4:N104,"Abierta",$H$4:H104,"No Conformidad",$B$4:B104,B142)</f>
        <v>0</v>
      </c>
      <c r="E142" s="42">
        <f>COUNTIFS($N$4:N104,"Abierta",$H$4:H104,"Recomendación",$B$4:B104,B142)</f>
        <v>0</v>
      </c>
      <c r="F142" s="143">
        <f t="shared" si="8"/>
        <v>0</v>
      </c>
      <c r="H142" s="121">
        <f>COUNTIFS($N$4:$N104,"Cerrada",$B$4:$B104,$B142)</f>
        <v>0</v>
      </c>
      <c r="I142" s="42">
        <f>COUNTIFS($N$4:$N104,"Cerrada",$H$4:$H104,"No Conformidad",$B$4:$B104,B142)</f>
        <v>0</v>
      </c>
      <c r="J142" s="42">
        <f>COUNTIFS($N$4:$N104,"Cerrada",$H$4:$H104,"Recomendación",$B$4:$B104,B142)</f>
        <v>0</v>
      </c>
      <c r="K142" s="144">
        <f t="shared" si="9"/>
        <v>0</v>
      </c>
    </row>
    <row r="143" spans="2:12" ht="15" x14ac:dyDescent="0.25">
      <c r="B143" s="125" t="s">
        <v>64</v>
      </c>
      <c r="C143" s="121">
        <f>COUNTIFS($N$4:N104,"Abierta",$B$4:B104,$B143)</f>
        <v>0</v>
      </c>
      <c r="D143" s="42">
        <f>COUNTIFS($N$4:N104,"Abierta",$H$4:H104,"No Conformidad",$B$4:B104,B143)</f>
        <v>0</v>
      </c>
      <c r="E143" s="42">
        <f>COUNTIFS($N$4:N104,"Abierta",$H$4:H104,"Recomendación",$B$4:B104,B143)</f>
        <v>0</v>
      </c>
      <c r="F143" s="143">
        <f t="shared" si="8"/>
        <v>0</v>
      </c>
      <c r="H143" s="121">
        <f>COUNTIFS($N$4:$N104,"Cerrada",$B$4:$B104,$B143)</f>
        <v>0</v>
      </c>
      <c r="I143" s="42">
        <f>COUNTIFS($N$4:$N104,"Cerrada",$H$4:$H104,"No Conformidad",$B$4:$B104,B143)</f>
        <v>0</v>
      </c>
      <c r="J143" s="42">
        <f>COUNTIFS($N$4:$N104,"Cerrada",$H$4:$H104,"Recomendación",$B$4:$B104,B143)</f>
        <v>0</v>
      </c>
      <c r="K143" s="144">
        <f t="shared" si="9"/>
        <v>0</v>
      </c>
    </row>
    <row r="144" spans="2:12" ht="15.75" thickBot="1" x14ac:dyDescent="0.3">
      <c r="B144" s="134" t="s">
        <v>65</v>
      </c>
      <c r="C144" s="121">
        <f>COUNTIFS($N$4:N104,"Abierta",$B$4:B104,$B144)</f>
        <v>0</v>
      </c>
      <c r="D144" s="42">
        <f>COUNTIFS($N$4:N104,"Abierta",$H$4:H104,"No Conformidad",$B$4:B104,B144)</f>
        <v>0</v>
      </c>
      <c r="E144" s="42">
        <f>COUNTIFS($N$4:N104,"Abierta",$H$4:H104,"Recomendación",$B$4:B104,B144)</f>
        <v>0</v>
      </c>
      <c r="F144" s="145">
        <f t="shared" si="8"/>
        <v>0</v>
      </c>
      <c r="H144" s="121">
        <f>COUNTIFS($N$4:$N104,"Cerrada",$B$4:$B104,$B144)</f>
        <v>0</v>
      </c>
      <c r="I144" s="42">
        <f>COUNTIFS($N$4:$N104,"Cerrada",$H$4:$H104,"No Conformidad",$B$4:$B104,B144)</f>
        <v>0</v>
      </c>
      <c r="J144" s="42">
        <f>COUNTIFS($N$4:$N104,"Cerrada",$H$4:$H104,"Recomendación",$B$4:$B104,B144)</f>
        <v>0</v>
      </c>
      <c r="K144" s="144">
        <f t="shared" si="9"/>
        <v>0</v>
      </c>
    </row>
    <row r="145" spans="2:11" ht="17.25" thickTop="1" thickBot="1" x14ac:dyDescent="0.3">
      <c r="B145" s="135" t="s">
        <v>86</v>
      </c>
      <c r="C145" s="146">
        <f>SUM(C133:C144)</f>
        <v>4</v>
      </c>
      <c r="D145" s="147">
        <f t="shared" ref="D145:E145" si="10">SUM(D133:D144)</f>
        <v>2</v>
      </c>
      <c r="E145" s="147">
        <f t="shared" si="10"/>
        <v>2</v>
      </c>
      <c r="F145" s="148">
        <f>SUM(F133:F144)</f>
        <v>1</v>
      </c>
      <c r="G145" s="135" t="s">
        <v>86</v>
      </c>
      <c r="H145" s="149">
        <f>SUM(H133:H144)</f>
        <v>3</v>
      </c>
      <c r="I145" s="149">
        <f t="shared" ref="I145:K145" si="11">SUM(I133:I144)</f>
        <v>2</v>
      </c>
      <c r="J145" s="149">
        <f t="shared" si="11"/>
        <v>1</v>
      </c>
      <c r="K145" s="150">
        <f t="shared" si="11"/>
        <v>1</v>
      </c>
    </row>
  </sheetData>
  <autoFilter ref="A3:R129"/>
  <mergeCells count="12">
    <mergeCell ref="B131:B132"/>
    <mergeCell ref="C131:F131"/>
    <mergeCell ref="H131:K131"/>
    <mergeCell ref="C106:J106"/>
    <mergeCell ref="M106:R106"/>
    <mergeCell ref="C107:D107"/>
    <mergeCell ref="E107:F107"/>
    <mergeCell ref="B114:B115"/>
    <mergeCell ref="C114:E114"/>
    <mergeCell ref="F114:F115"/>
    <mergeCell ref="H114:I114"/>
    <mergeCell ref="J114:K114"/>
  </mergeCells>
  <conditionalFormatting sqref="J6:J103 K4:K103 I3:I103">
    <cfRule type="cellIs" dxfId="997" priority="9" operator="equal">
      <formula>"Plan Mejoramiento"</formula>
    </cfRule>
    <cfRule type="cellIs" dxfId="996" priority="10" operator="equal">
      <formula>"Acción Preventiva"</formula>
    </cfRule>
    <cfRule type="cellIs" dxfId="995" priority="11" operator="equal">
      <formula>"Acción Correctiva"</formula>
    </cfRule>
  </conditionalFormatting>
  <conditionalFormatting sqref="G6:G100 H4:I103">
    <cfRule type="cellIs" dxfId="994" priority="7" operator="equal">
      <formula>"Recomendación"</formula>
    </cfRule>
    <cfRule type="cellIs" dxfId="993" priority="8" operator="equal">
      <formula>"No Conformidad"</formula>
    </cfRule>
  </conditionalFormatting>
  <conditionalFormatting sqref="M6:M100 N4:N103 M108:M109">
    <cfRule type="cellIs" dxfId="992" priority="5" operator="equal">
      <formula>"Cerrada"</formula>
    </cfRule>
    <cfRule type="cellIs" dxfId="991" priority="6" operator="equal">
      <formula>"Abierta"</formula>
    </cfRule>
  </conditionalFormatting>
  <conditionalFormatting sqref="J6:J100 K4:K103 I3:I103">
    <cfRule type="cellIs" dxfId="990" priority="4" operator="equal">
      <formula>"Corrección"</formula>
    </cfRule>
  </conditionalFormatting>
  <conditionalFormatting sqref="C115:E115 D4:E103 G110:G111 H107:I107 N112:O112 N119:O119 O107:P107">
    <cfRule type="cellIs" dxfId="989" priority="1" operator="equal">
      <formula>"Especial"</formula>
    </cfRule>
    <cfRule type="cellIs" dxfId="988" priority="2" operator="equal">
      <formula>"Informes"</formula>
    </cfRule>
    <cfRule type="cellIs" dxfId="987" priority="3" operator="equal">
      <formula>"Auditoria"</formula>
    </cfRule>
  </conditionalFormatting>
  <dataValidations count="8">
    <dataValidation type="list" allowBlank="1" showInputMessage="1" showErrorMessage="1" sqref="E4">
      <formula1>Auditores</formula1>
    </dataValidation>
    <dataValidation type="list" allowBlank="1" showInputMessage="1" showErrorMessage="1" sqref="D4">
      <formula1>"Auditoria,Especial,Informes"</formula1>
    </dataValidation>
    <dataValidation type="list" allowBlank="1" showInputMessage="1" showErrorMessage="1" sqref="I4:I103">
      <formula1>"No,Si"</formula1>
    </dataValidation>
    <dataValidation type="list" allowBlank="1" showInputMessage="1" showErrorMessage="1" sqref="B4:B103">
      <formula1>Proceso</formula1>
    </dataValidation>
    <dataValidation type="list" allowBlank="1" showInputMessage="1" showErrorMessage="1" sqref="N4:N103 M108:M109">
      <formula1>"Abierta,Cerrada"</formula1>
    </dataValidation>
    <dataValidation type="list" allowBlank="1" showInputMessage="1" showErrorMessage="1" sqref="K4:K103">
      <formula1>"Corrección,Acción Correctiva,Acción Preventiva, Plan Mejoramiento"</formula1>
    </dataValidation>
    <dataValidation type="list" allowBlank="1" showInputMessage="1" showErrorMessage="1" sqref="H4:H103">
      <formula1>"No Conformidad,Recomendación"</formula1>
    </dataValidation>
    <dataValidation type="list" allowBlank="1" showInputMessage="1" showErrorMessage="1" sqref="C115:E115 D5:E103 O107">
      <formula1>"Auditoria,Informes,Especial"</formula1>
    </dataValidation>
  </dataValidations>
  <pageMargins left="0.19685039370078741" right="0.39370078740157483" top="0.55118110236220474" bottom="0.47244094488188981" header="0.31496062992125984" footer="0.31496062992125984"/>
  <pageSetup scale="71" orientation="landscape" r:id="rId1"/>
  <headerFooter>
    <oddHeader>&amp;C&amp;"Arial Black,Normal"&amp;12SEGUIMIENTO ACCIONES PLAN DE MEJORAMIENTO DEL PROGRAMA DE AUDITORIA</oddHeader>
    <oddFooter>&amp;L&amp;A&amp;CHoja &amp;P de &amp;N</oddFooter>
  </headerFooter>
  <rowBreaks count="1" manualBreakCount="1">
    <brk id="1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zoomScale="90" zoomScaleNormal="90" workbookViewId="0">
      <selection activeCell="A2" sqref="A2"/>
    </sheetView>
  </sheetViews>
  <sheetFormatPr baseColWidth="10" defaultRowHeight="15" x14ac:dyDescent="0.25"/>
  <cols>
    <col min="1" max="1" width="33.140625" style="13" bestFit="1" customWidth="1"/>
    <col min="2" max="2" width="42.85546875" customWidth="1"/>
    <col min="3" max="3" width="11.5703125" bestFit="1" customWidth="1"/>
    <col min="4" max="4" width="28.7109375" customWidth="1"/>
    <col min="5" max="5" width="32.42578125" style="2" customWidth="1"/>
  </cols>
  <sheetData>
    <row r="1" spans="1:5" ht="25.5" x14ac:dyDescent="0.25">
      <c r="A1" s="5" t="s">
        <v>9</v>
      </c>
      <c r="B1" s="5" t="s">
        <v>13</v>
      </c>
      <c r="C1" s="6" t="s">
        <v>4</v>
      </c>
      <c r="D1" s="6" t="s">
        <v>17</v>
      </c>
      <c r="E1" s="6" t="s">
        <v>18</v>
      </c>
    </row>
    <row r="2" spans="1:5" x14ac:dyDescent="0.25">
      <c r="A2" s="11"/>
      <c r="B2" s="11"/>
      <c r="C2" s="10"/>
      <c r="D2" s="14"/>
      <c r="E2" s="17"/>
    </row>
    <row r="3" spans="1:5" x14ac:dyDescent="0.25">
      <c r="A3" s="11"/>
      <c r="B3" s="3"/>
      <c r="C3" s="7"/>
      <c r="D3" s="14"/>
      <c r="E3" s="17"/>
    </row>
    <row r="4" spans="1:5" x14ac:dyDescent="0.25">
      <c r="A4" s="11"/>
      <c r="B4" s="3"/>
      <c r="C4" s="10"/>
      <c r="D4" s="14"/>
      <c r="E4" s="17"/>
    </row>
    <row r="5" spans="1:5" x14ac:dyDescent="0.25">
      <c r="A5" s="11"/>
      <c r="B5" s="3"/>
      <c r="C5" s="10"/>
      <c r="D5" s="14"/>
      <c r="E5" s="17"/>
    </row>
    <row r="6" spans="1:5" x14ac:dyDescent="0.25">
      <c r="A6" s="11"/>
      <c r="B6" s="3"/>
      <c r="C6" s="7"/>
      <c r="D6" s="14"/>
      <c r="E6" s="17"/>
    </row>
    <row r="7" spans="1:5" x14ac:dyDescent="0.25">
      <c r="A7" s="11"/>
      <c r="B7" s="11"/>
      <c r="C7" s="7"/>
      <c r="D7" s="14"/>
      <c r="E7" s="17"/>
    </row>
    <row r="8" spans="1:5" x14ac:dyDescent="0.25">
      <c r="A8" s="11"/>
      <c r="B8" s="3"/>
      <c r="C8" s="10"/>
      <c r="D8" s="14"/>
      <c r="E8" s="17"/>
    </row>
    <row r="9" spans="1:5" x14ac:dyDescent="0.25">
      <c r="A9" s="11"/>
      <c r="B9" s="11"/>
      <c r="C9" s="7"/>
      <c r="D9" s="14"/>
      <c r="E9" s="17"/>
    </row>
    <row r="10" spans="1:5" x14ac:dyDescent="0.25">
      <c r="A10" s="11"/>
      <c r="B10" s="3"/>
      <c r="C10" s="7"/>
      <c r="D10" s="14"/>
      <c r="E10" s="17"/>
    </row>
    <row r="11" spans="1:5" x14ac:dyDescent="0.25">
      <c r="A11" s="8"/>
      <c r="B11" s="3"/>
      <c r="C11" s="7"/>
      <c r="D11" s="14"/>
      <c r="E11" s="17"/>
    </row>
    <row r="12" spans="1:5" x14ac:dyDescent="0.25">
      <c r="A12" s="8"/>
      <c r="B12" s="3"/>
      <c r="C12" s="7"/>
      <c r="D12" s="14"/>
      <c r="E12" s="17"/>
    </row>
    <row r="13" spans="1:5" x14ac:dyDescent="0.25">
      <c r="A13" s="8"/>
      <c r="B13" s="8"/>
      <c r="C13" s="9"/>
      <c r="D13" s="14"/>
      <c r="E13" s="17"/>
    </row>
    <row r="14" spans="1:5" x14ac:dyDescent="0.25">
      <c r="A14" s="8"/>
      <c r="B14" s="4"/>
      <c r="C14" s="10"/>
      <c r="D14" s="14"/>
      <c r="E14" s="17"/>
    </row>
    <row r="15" spans="1:5" x14ac:dyDescent="0.25">
      <c r="A15" s="11"/>
      <c r="B15" s="3"/>
      <c r="C15" s="7"/>
      <c r="D15" s="14"/>
      <c r="E15" s="17"/>
    </row>
    <row r="16" spans="1:5" x14ac:dyDescent="0.25">
      <c r="A16" s="11"/>
      <c r="B16" s="3"/>
      <c r="C16" s="7"/>
      <c r="D16" s="14"/>
      <c r="E16" s="17"/>
    </row>
    <row r="17" spans="1:5" x14ac:dyDescent="0.25">
      <c r="A17" s="11"/>
      <c r="B17" s="3"/>
      <c r="C17" s="7"/>
      <c r="D17" s="14"/>
      <c r="E17" s="17"/>
    </row>
    <row r="18" spans="1:5" x14ac:dyDescent="0.25">
      <c r="A18" s="11"/>
      <c r="B18" s="3"/>
      <c r="C18" s="7"/>
      <c r="D18" s="14"/>
      <c r="E18" s="17"/>
    </row>
    <row r="19" spans="1:5" x14ac:dyDescent="0.25">
      <c r="A19" s="11"/>
      <c r="B19" s="3"/>
      <c r="C19" s="7"/>
      <c r="D19" s="14"/>
      <c r="E19" s="17"/>
    </row>
    <row r="20" spans="1:5" x14ac:dyDescent="0.25">
      <c r="A20" s="11"/>
      <c r="B20" s="3"/>
      <c r="C20" s="7"/>
      <c r="D20" s="14"/>
      <c r="E20" s="17"/>
    </row>
    <row r="21" spans="1:5" x14ac:dyDescent="0.25">
      <c r="A21" s="11"/>
      <c r="B21" s="3"/>
      <c r="C21" s="12"/>
      <c r="D21" s="14"/>
      <c r="E21" s="17"/>
    </row>
    <row r="22" spans="1:5" x14ac:dyDescent="0.25">
      <c r="A22" s="11"/>
      <c r="B22" s="3"/>
      <c r="C22" s="7"/>
      <c r="D22" s="14"/>
      <c r="E22" s="17"/>
    </row>
    <row r="23" spans="1:5" x14ac:dyDescent="0.25">
      <c r="A23" s="11"/>
      <c r="B23" s="11"/>
      <c r="C23" s="10"/>
      <c r="D23" s="14"/>
      <c r="E23" s="17"/>
    </row>
    <row r="24" spans="1:5" x14ac:dyDescent="0.25">
      <c r="A24" s="11"/>
      <c r="B24" s="11"/>
      <c r="C24" s="10"/>
      <c r="D24" s="14"/>
      <c r="E24" s="17"/>
    </row>
    <row r="25" spans="1:5" x14ac:dyDescent="0.25">
      <c r="A25" s="11"/>
      <c r="B25" s="11"/>
      <c r="C25" s="10"/>
      <c r="D25" s="14"/>
      <c r="E25" s="17"/>
    </row>
    <row r="26" spans="1:5" s="1" customFormat="1" x14ac:dyDescent="0.25">
      <c r="A26" s="11"/>
      <c r="B26" s="11"/>
      <c r="C26" s="10"/>
      <c r="D26" s="14"/>
      <c r="E26" s="17"/>
    </row>
    <row r="27" spans="1:5" x14ac:dyDescent="0.25">
      <c r="A27" s="8"/>
      <c r="B27" s="3"/>
      <c r="C27" s="7"/>
      <c r="D27" s="14"/>
      <c r="E27" s="17"/>
    </row>
    <row r="28" spans="1:5" x14ac:dyDescent="0.25">
      <c r="A28" s="11"/>
      <c r="B28" s="3"/>
      <c r="C28" s="7"/>
      <c r="D28" s="14"/>
      <c r="E28" s="17"/>
    </row>
    <row r="29" spans="1:5" x14ac:dyDescent="0.25">
      <c r="A29" s="8"/>
      <c r="B29" s="3"/>
      <c r="C29" s="7"/>
      <c r="D29" s="14"/>
      <c r="E29" s="17"/>
    </row>
    <row r="30" spans="1:5" x14ac:dyDescent="0.25">
      <c r="A30" s="11"/>
      <c r="B30" s="3"/>
      <c r="C30" s="7"/>
      <c r="D30" s="14"/>
      <c r="E30" s="17"/>
    </row>
    <row r="31" spans="1:5" x14ac:dyDescent="0.25">
      <c r="A31" s="11"/>
      <c r="B31" s="3"/>
      <c r="C31" s="7"/>
      <c r="D31" s="14"/>
      <c r="E31" s="17"/>
    </row>
    <row r="32" spans="1:5" x14ac:dyDescent="0.25">
      <c r="A32" s="11"/>
      <c r="B32" s="3"/>
      <c r="C32" s="7"/>
      <c r="D32" s="14"/>
      <c r="E32" s="17"/>
    </row>
    <row r="33" spans="1:5" x14ac:dyDescent="0.25">
      <c r="A33" s="11"/>
      <c r="B33" s="3"/>
      <c r="C33" s="7"/>
      <c r="D33" s="14"/>
      <c r="E33" s="17"/>
    </row>
    <row r="34" spans="1:5" x14ac:dyDescent="0.25">
      <c r="A34" s="11"/>
      <c r="B34" s="3"/>
      <c r="C34" s="7"/>
      <c r="D34" s="14"/>
      <c r="E34" s="17"/>
    </row>
    <row r="35" spans="1:5" x14ac:dyDescent="0.25">
      <c r="A35" s="11"/>
      <c r="B35" s="3"/>
      <c r="C35" s="7"/>
      <c r="D35" s="14"/>
      <c r="E35" s="17"/>
    </row>
    <row r="36" spans="1:5" x14ac:dyDescent="0.25">
      <c r="A36" s="11"/>
      <c r="B36" s="3"/>
      <c r="C36" s="7"/>
      <c r="D36" s="14"/>
      <c r="E36" s="17"/>
    </row>
    <row r="37" spans="1:5" x14ac:dyDescent="0.25">
      <c r="A37" s="11"/>
      <c r="B37" s="3"/>
      <c r="C37" s="7"/>
      <c r="D37" s="153"/>
      <c r="E37" s="17"/>
    </row>
    <row r="38" spans="1:5" x14ac:dyDescent="0.25">
      <c r="A38" s="11"/>
      <c r="B38" s="3"/>
      <c r="C38" s="7"/>
      <c r="D38" s="153"/>
      <c r="E38" s="17"/>
    </row>
    <row r="39" spans="1:5" x14ac:dyDescent="0.25">
      <c r="A39" s="11"/>
      <c r="B39" s="3"/>
      <c r="C39" s="7"/>
      <c r="D39" s="153"/>
      <c r="E39" s="17"/>
    </row>
    <row r="40" spans="1:5" x14ac:dyDescent="0.25">
      <c r="A40" s="11"/>
      <c r="B40" s="3"/>
      <c r="C40" s="154"/>
      <c r="D40" s="153"/>
      <c r="E40" s="17"/>
    </row>
    <row r="41" spans="1:5" x14ac:dyDescent="0.25">
      <c r="A41" s="11"/>
      <c r="B41" s="3"/>
      <c r="C41" s="154"/>
      <c r="D41" s="153"/>
      <c r="E41" s="17"/>
    </row>
  </sheetData>
  <sortState ref="A2:D23">
    <sortCondition ref="A2:A23"/>
  </sortState>
  <pageMargins left="0.70866141732283472" right="0.70866141732283472" top="0.74803149606299213" bottom="0.5" header="0.31496062992125984" footer="0.31496062992125984"/>
  <pageSetup scale="73"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C14" sqref="C14"/>
    </sheetView>
  </sheetViews>
  <sheetFormatPr baseColWidth="10" defaultRowHeight="14.25" x14ac:dyDescent="0.2"/>
  <cols>
    <col min="1" max="1" width="9.85546875" style="268" customWidth="1"/>
    <col min="2" max="2" width="11.42578125" style="268"/>
    <col min="3" max="3" width="50.42578125" style="268" customWidth="1"/>
    <col min="4" max="4" width="17.28515625" style="268" customWidth="1"/>
    <col min="5" max="16384" width="11.42578125" style="268"/>
  </cols>
  <sheetData>
    <row r="1" spans="1:4" ht="15.75" thickBot="1" x14ac:dyDescent="0.25">
      <c r="A1" s="273" t="s">
        <v>370</v>
      </c>
      <c r="B1" s="274" t="s">
        <v>368</v>
      </c>
      <c r="C1" s="274" t="s">
        <v>369</v>
      </c>
      <c r="D1" s="275" t="s">
        <v>103</v>
      </c>
    </row>
    <row r="2" spans="1:4" ht="29.25" thickTop="1" x14ac:dyDescent="0.2">
      <c r="A2" s="272">
        <v>1</v>
      </c>
      <c r="B2" s="280">
        <v>41701</v>
      </c>
      <c r="C2" s="277" t="s">
        <v>386</v>
      </c>
      <c r="D2" s="278" t="s">
        <v>387</v>
      </c>
    </row>
    <row r="3" spans="1:4" ht="57" x14ac:dyDescent="0.2">
      <c r="A3" s="270">
        <v>2</v>
      </c>
      <c r="B3" s="281">
        <v>42109</v>
      </c>
      <c r="C3" s="276" t="s">
        <v>383</v>
      </c>
      <c r="D3" s="279" t="s">
        <v>384</v>
      </c>
    </row>
    <row r="4" spans="1:4" ht="71.25" x14ac:dyDescent="0.2">
      <c r="A4" s="270">
        <v>3</v>
      </c>
      <c r="B4" s="281">
        <v>42285</v>
      </c>
      <c r="C4" s="271" t="s">
        <v>385</v>
      </c>
      <c r="D4" s="279" t="s">
        <v>382</v>
      </c>
    </row>
    <row r="5" spans="1:4" ht="57" x14ac:dyDescent="0.2">
      <c r="A5" s="270">
        <v>4</v>
      </c>
      <c r="B5" s="281">
        <v>42521</v>
      </c>
      <c r="C5" s="317" t="s">
        <v>645</v>
      </c>
      <c r="D5" s="318" t="s">
        <v>643</v>
      </c>
    </row>
    <row r="6" spans="1:4" ht="57" x14ac:dyDescent="0.2">
      <c r="A6" s="270">
        <v>5</v>
      </c>
      <c r="B6" s="281">
        <v>42537</v>
      </c>
      <c r="C6" s="317" t="s">
        <v>644</v>
      </c>
      <c r="D6" s="318" t="s">
        <v>643</v>
      </c>
    </row>
    <row r="7" spans="1:4" x14ac:dyDescent="0.2">
      <c r="B7" s="269"/>
    </row>
    <row r="8" spans="1:4" x14ac:dyDescent="0.2">
      <c r="B8" s="269"/>
    </row>
    <row r="9" spans="1:4" x14ac:dyDescent="0.2">
      <c r="B9" s="269"/>
    </row>
    <row r="10" spans="1:4" x14ac:dyDescent="0.2">
      <c r="B10" s="269"/>
    </row>
    <row r="11" spans="1:4" x14ac:dyDescent="0.2">
      <c r="B11" s="269"/>
    </row>
    <row r="12" spans="1:4" x14ac:dyDescent="0.2">
      <c r="B12" s="269"/>
    </row>
    <row r="13" spans="1:4" x14ac:dyDescent="0.2">
      <c r="B13" s="269"/>
    </row>
    <row r="14" spans="1:4" x14ac:dyDescent="0.2">
      <c r="B14" s="269"/>
    </row>
    <row r="15" spans="1:4" x14ac:dyDescent="0.2">
      <c r="B15" s="269"/>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E345"/>
  <sheetViews>
    <sheetView tabSelected="1" zoomScale="60" zoomScaleNormal="60" zoomScaleSheetLayoutView="80" workbookViewId="0">
      <pane ySplit="3" topLeftCell="A4" activePane="bottomLeft" state="frozen"/>
      <selection pane="bottomLeft" activeCell="O4" sqref="O4"/>
    </sheetView>
  </sheetViews>
  <sheetFormatPr baseColWidth="10" defaultColWidth="11.42578125" defaultRowHeight="14.25" x14ac:dyDescent="0.2"/>
  <cols>
    <col min="1" max="1" width="5.42578125" style="32" customWidth="1"/>
    <col min="2" max="2" width="17" style="32" customWidth="1"/>
    <col min="3" max="3" width="26.85546875" style="32" hidden="1" customWidth="1"/>
    <col min="4" max="4" width="13.5703125" style="350" hidden="1" customWidth="1"/>
    <col min="5" max="5" width="11.28515625" style="32" hidden="1" customWidth="1"/>
    <col min="6" max="6" width="14.140625" style="32" hidden="1" customWidth="1"/>
    <col min="7" max="7" width="11.5703125" style="429" hidden="1" customWidth="1"/>
    <col min="8" max="8" width="58.140625" style="533" customWidth="1"/>
    <col min="9" max="9" width="14.5703125" style="430" customWidth="1"/>
    <col min="10" max="10" width="11.42578125" style="32" customWidth="1"/>
    <col min="11" max="11" width="11.28515625" style="32" customWidth="1"/>
    <col min="12" max="12" width="12" style="32" customWidth="1"/>
    <col min="13" max="13" width="16" style="32" customWidth="1"/>
    <col min="14" max="14" width="19.7109375" style="32" customWidth="1"/>
    <col min="15" max="15" width="46.42578125" style="533" customWidth="1"/>
    <col min="16" max="16" width="13.42578125" style="32" customWidth="1"/>
    <col min="17" max="17" width="43.7109375" style="32" customWidth="1"/>
    <col min="18" max="18" width="10.5703125" style="32" customWidth="1"/>
    <col min="19" max="19" width="11.85546875" style="32" customWidth="1"/>
    <col min="20" max="20" width="52.42578125" style="32" customWidth="1"/>
    <col min="21" max="22" width="18.28515625" style="32" customWidth="1"/>
    <col min="23" max="23" width="25.85546875" style="32" customWidth="1"/>
    <col min="24" max="24" width="14.5703125" style="32" customWidth="1"/>
    <col min="25" max="25" width="11.42578125" style="32" customWidth="1"/>
    <col min="26" max="27" width="11.42578125" style="420" customWidth="1"/>
    <col min="28" max="28" width="11.42578125" style="31" customWidth="1"/>
    <col min="29" max="16384" width="11.42578125" style="31"/>
  </cols>
  <sheetData>
    <row r="1" spans="1:25" ht="39" thickBot="1" x14ac:dyDescent="0.25">
      <c r="A1" s="403"/>
      <c r="B1" s="30" t="s">
        <v>66</v>
      </c>
      <c r="C1" s="291">
        <v>2017</v>
      </c>
      <c r="D1" s="338" t="s">
        <v>304</v>
      </c>
      <c r="E1" s="220" t="s">
        <v>304</v>
      </c>
      <c r="F1" s="165"/>
      <c r="G1" s="417"/>
      <c r="H1" s="534"/>
      <c r="I1" s="220" t="s">
        <v>304</v>
      </c>
      <c r="J1" s="220" t="s">
        <v>304</v>
      </c>
      <c r="K1" s="571" t="s">
        <v>304</v>
      </c>
      <c r="L1" s="30"/>
      <c r="M1" s="418" t="s">
        <v>303</v>
      </c>
      <c r="N1" s="419">
        <v>42781</v>
      </c>
      <c r="Q1" s="30"/>
      <c r="X1" s="220"/>
    </row>
    <row r="2" spans="1:25" ht="3.75" customHeight="1" thickBot="1" x14ac:dyDescent="0.25">
      <c r="B2" s="30"/>
      <c r="C2" s="30"/>
      <c r="D2" s="349"/>
      <c r="E2" s="30"/>
      <c r="F2" s="30"/>
      <c r="G2" s="417"/>
      <c r="H2" s="534"/>
      <c r="I2" s="421"/>
      <c r="J2" s="89"/>
      <c r="K2" s="30"/>
      <c r="L2" s="30"/>
      <c r="M2" s="30"/>
      <c r="N2" s="30"/>
      <c r="O2" s="534"/>
      <c r="P2" s="30"/>
      <c r="Q2" s="30"/>
      <c r="S2" s="30"/>
      <c r="X2" s="89"/>
    </row>
    <row r="3" spans="1:25" ht="75.75" thickBot="1" x14ac:dyDescent="0.25">
      <c r="A3" s="34" t="s">
        <v>68</v>
      </c>
      <c r="B3" s="35" t="s">
        <v>0</v>
      </c>
      <c r="C3" s="35" t="s">
        <v>1</v>
      </c>
      <c r="D3" s="339" t="s">
        <v>42</v>
      </c>
      <c r="E3" s="185" t="s">
        <v>199</v>
      </c>
      <c r="F3" s="36" t="s">
        <v>838</v>
      </c>
      <c r="G3" s="37" t="s">
        <v>70</v>
      </c>
      <c r="H3" s="204" t="s">
        <v>71</v>
      </c>
      <c r="I3" s="218" t="s">
        <v>45</v>
      </c>
      <c r="J3" s="219" t="s">
        <v>132</v>
      </c>
      <c r="K3" s="572" t="s">
        <v>72</v>
      </c>
      <c r="L3" s="36" t="s">
        <v>73</v>
      </c>
      <c r="M3" s="319" t="s">
        <v>47</v>
      </c>
      <c r="N3" s="319" t="s">
        <v>103</v>
      </c>
      <c r="O3" s="319" t="s">
        <v>33</v>
      </c>
      <c r="P3" s="39" t="s">
        <v>106</v>
      </c>
      <c r="Q3" s="39" t="s">
        <v>32</v>
      </c>
      <c r="R3" s="160" t="s">
        <v>131</v>
      </c>
      <c r="S3" s="39" t="s">
        <v>74</v>
      </c>
      <c r="T3" s="210" t="s">
        <v>75</v>
      </c>
      <c r="U3" s="36" t="s">
        <v>76</v>
      </c>
      <c r="V3" s="188" t="s">
        <v>206</v>
      </c>
      <c r="W3" s="41" t="s">
        <v>77</v>
      </c>
      <c r="X3" s="218" t="s">
        <v>648</v>
      </c>
      <c r="Y3" s="32" t="s">
        <v>105</v>
      </c>
    </row>
    <row r="4" spans="1:25" ht="281.25" customHeight="1" thickTop="1" x14ac:dyDescent="0.2">
      <c r="A4" s="664">
        <v>1</v>
      </c>
      <c r="B4" s="723" t="s">
        <v>49</v>
      </c>
      <c r="C4" s="723" t="s">
        <v>201</v>
      </c>
      <c r="D4" s="646" t="s">
        <v>43</v>
      </c>
      <c r="E4" s="639" t="s">
        <v>0</v>
      </c>
      <c r="F4" s="724" t="s">
        <v>58</v>
      </c>
      <c r="G4" s="725">
        <v>41626</v>
      </c>
      <c r="H4" s="714" t="s">
        <v>24</v>
      </c>
      <c r="I4" s="663" t="s">
        <v>78</v>
      </c>
      <c r="J4" s="663" t="s">
        <v>134</v>
      </c>
      <c r="K4" s="651" t="s">
        <v>79</v>
      </c>
      <c r="L4" s="46">
        <v>41753</v>
      </c>
      <c r="M4" s="364" t="s">
        <v>50</v>
      </c>
      <c r="N4" s="364" t="s">
        <v>168</v>
      </c>
      <c r="O4" s="587" t="s">
        <v>185</v>
      </c>
      <c r="P4" s="46">
        <v>42551</v>
      </c>
      <c r="Q4" s="367" t="s">
        <v>671</v>
      </c>
      <c r="R4" s="368" t="s">
        <v>55</v>
      </c>
      <c r="S4" s="46">
        <v>42733</v>
      </c>
      <c r="T4" s="501" t="s">
        <v>874</v>
      </c>
      <c r="U4" s="515">
        <f t="shared" ref="U4:U10" si="0">DAYS360(G4,L4,0)+1</f>
        <v>127</v>
      </c>
      <c r="V4" s="376" t="str">
        <f t="shared" ref="V4:V14" si="1">IF(U4&gt;7,"Inoportuno",(IF(U4&lt;0,"No ha formulado PM","Oportuno")))</f>
        <v>Inoportuno</v>
      </c>
      <c r="W4" s="384">
        <f t="shared" ref="W4:W10" si="2">DAYS360(P4,S4,0)+1</f>
        <v>180</v>
      </c>
      <c r="X4" s="699" t="s">
        <v>338</v>
      </c>
    </row>
    <row r="5" spans="1:25" ht="171.75" customHeight="1" x14ac:dyDescent="0.2">
      <c r="A5" s="645"/>
      <c r="B5" s="641"/>
      <c r="C5" s="641"/>
      <c r="D5" s="647"/>
      <c r="E5" s="641"/>
      <c r="F5" s="677"/>
      <c r="G5" s="643"/>
      <c r="H5" s="660"/>
      <c r="I5" s="663"/>
      <c r="J5" s="663"/>
      <c r="K5" s="703"/>
      <c r="L5" s="46">
        <v>41753</v>
      </c>
      <c r="M5" s="364" t="s">
        <v>50</v>
      </c>
      <c r="N5" s="364" t="s">
        <v>168</v>
      </c>
      <c r="O5" s="587" t="s">
        <v>186</v>
      </c>
      <c r="P5" s="46">
        <v>42551</v>
      </c>
      <c r="Q5" s="367" t="s">
        <v>672</v>
      </c>
      <c r="R5" s="368" t="s">
        <v>55</v>
      </c>
      <c r="S5" s="46">
        <v>42733</v>
      </c>
      <c r="T5" s="501" t="s">
        <v>875</v>
      </c>
      <c r="U5" s="384">
        <f t="shared" si="0"/>
        <v>41155</v>
      </c>
      <c r="V5" s="376" t="str">
        <f t="shared" si="1"/>
        <v>Inoportuno</v>
      </c>
      <c r="W5" s="384">
        <f t="shared" si="2"/>
        <v>180</v>
      </c>
      <c r="X5" s="699" t="s">
        <v>338</v>
      </c>
    </row>
    <row r="6" spans="1:25" ht="243" customHeight="1" x14ac:dyDescent="0.2">
      <c r="A6" s="638"/>
      <c r="B6" s="640"/>
      <c r="C6" s="640"/>
      <c r="D6" s="648"/>
      <c r="E6" s="640"/>
      <c r="F6" s="678"/>
      <c r="G6" s="644"/>
      <c r="H6" s="661"/>
      <c r="I6" s="663"/>
      <c r="J6" s="663"/>
      <c r="K6" s="652"/>
      <c r="L6" s="46">
        <v>41753</v>
      </c>
      <c r="M6" s="364" t="s">
        <v>50</v>
      </c>
      <c r="N6" s="364" t="s">
        <v>168</v>
      </c>
      <c r="O6" s="587" t="s">
        <v>169</v>
      </c>
      <c r="P6" s="46">
        <v>42551</v>
      </c>
      <c r="Q6" s="367" t="s">
        <v>673</v>
      </c>
      <c r="R6" s="368" t="s">
        <v>55</v>
      </c>
      <c r="S6" s="46">
        <v>42733</v>
      </c>
      <c r="T6" s="501" t="s">
        <v>875</v>
      </c>
      <c r="U6" s="384">
        <f>DAYS360(G4,L6,0)+1</f>
        <v>127</v>
      </c>
      <c r="V6" s="376" t="str">
        <f t="shared" si="1"/>
        <v>Inoportuno</v>
      </c>
      <c r="W6" s="384">
        <f t="shared" si="2"/>
        <v>180</v>
      </c>
      <c r="X6" s="699" t="s">
        <v>338</v>
      </c>
    </row>
    <row r="7" spans="1:25" ht="143.25" customHeight="1" x14ac:dyDescent="0.2">
      <c r="A7" s="368">
        <v>2</v>
      </c>
      <c r="B7" s="364" t="s">
        <v>36</v>
      </c>
      <c r="C7" s="364" t="s">
        <v>109</v>
      </c>
      <c r="D7" s="362" t="s">
        <v>43</v>
      </c>
      <c r="E7" s="372" t="s">
        <v>0</v>
      </c>
      <c r="F7" s="365" t="s">
        <v>58</v>
      </c>
      <c r="G7" s="46">
        <v>41638</v>
      </c>
      <c r="H7" s="590" t="s">
        <v>26</v>
      </c>
      <c r="I7" s="374" t="s">
        <v>78</v>
      </c>
      <c r="J7" s="374" t="s">
        <v>133</v>
      </c>
      <c r="K7" s="159" t="s">
        <v>79</v>
      </c>
      <c r="L7" s="46">
        <v>41970</v>
      </c>
      <c r="M7" s="364" t="s">
        <v>50</v>
      </c>
      <c r="N7" s="364" t="s">
        <v>108</v>
      </c>
      <c r="O7" s="608" t="s">
        <v>261</v>
      </c>
      <c r="P7" s="46">
        <v>42734</v>
      </c>
      <c r="Q7" s="364" t="s">
        <v>394</v>
      </c>
      <c r="R7" s="189" t="s">
        <v>51</v>
      </c>
      <c r="S7" s="46"/>
      <c r="T7" s="368"/>
      <c r="U7" s="384">
        <f t="shared" ref="U7" si="3">DAYS360(G7,L7,0)+1</f>
        <v>328</v>
      </c>
      <c r="V7" s="581" t="str">
        <f t="shared" si="1"/>
        <v>Inoportuno</v>
      </c>
      <c r="W7" s="384"/>
      <c r="X7" s="379" t="s">
        <v>338</v>
      </c>
    </row>
    <row r="8" spans="1:25" ht="107.25" customHeight="1" x14ac:dyDescent="0.2">
      <c r="A8" s="215">
        <v>3</v>
      </c>
      <c r="B8" s="364" t="s">
        <v>2</v>
      </c>
      <c r="C8" s="364" t="s">
        <v>241</v>
      </c>
      <c r="D8" s="362" t="s">
        <v>43</v>
      </c>
      <c r="E8" s="372" t="s">
        <v>0</v>
      </c>
      <c r="F8" s="365" t="s">
        <v>58</v>
      </c>
      <c r="G8" s="46">
        <v>41309</v>
      </c>
      <c r="H8" s="591" t="s">
        <v>11</v>
      </c>
      <c r="I8" s="374" t="s">
        <v>78</v>
      </c>
      <c r="J8" s="374" t="s">
        <v>134</v>
      </c>
      <c r="K8" s="159" t="s">
        <v>79</v>
      </c>
      <c r="L8" s="46">
        <v>41410</v>
      </c>
      <c r="M8" s="364" t="s">
        <v>50</v>
      </c>
      <c r="N8" s="364" t="s">
        <v>141</v>
      </c>
      <c r="O8" s="587" t="s">
        <v>476</v>
      </c>
      <c r="P8" s="46">
        <v>41440</v>
      </c>
      <c r="Q8" s="475" t="s">
        <v>416</v>
      </c>
      <c r="R8" s="368" t="s">
        <v>55</v>
      </c>
      <c r="S8" s="46">
        <v>42734</v>
      </c>
      <c r="T8" s="610" t="s">
        <v>1008</v>
      </c>
      <c r="U8" s="384">
        <f t="shared" si="0"/>
        <v>103</v>
      </c>
      <c r="V8" s="376" t="str">
        <f t="shared" si="1"/>
        <v>Inoportuno</v>
      </c>
      <c r="W8" s="384">
        <f t="shared" si="2"/>
        <v>1276</v>
      </c>
      <c r="X8" s="379" t="s">
        <v>338</v>
      </c>
    </row>
    <row r="9" spans="1:25" ht="288.75" customHeight="1" x14ac:dyDescent="0.2">
      <c r="A9" s="368">
        <v>4</v>
      </c>
      <c r="B9" s="364" t="s">
        <v>61</v>
      </c>
      <c r="C9" s="364" t="s">
        <v>16</v>
      </c>
      <c r="D9" s="361" t="s">
        <v>43</v>
      </c>
      <c r="E9" s="363" t="s">
        <v>0</v>
      </c>
      <c r="F9" s="365" t="s">
        <v>58</v>
      </c>
      <c r="G9" s="46">
        <v>41453</v>
      </c>
      <c r="H9" s="591" t="s">
        <v>15</v>
      </c>
      <c r="I9" s="374" t="s">
        <v>78</v>
      </c>
      <c r="J9" s="374" t="s">
        <v>133</v>
      </c>
      <c r="K9" s="285" t="s">
        <v>79</v>
      </c>
      <c r="L9" s="46">
        <v>41456</v>
      </c>
      <c r="M9" s="364" t="s">
        <v>104</v>
      </c>
      <c r="N9" s="364" t="s">
        <v>151</v>
      </c>
      <c r="O9" s="588" t="s">
        <v>156</v>
      </c>
      <c r="P9" s="229">
        <v>42369</v>
      </c>
      <c r="Q9" s="476" t="s">
        <v>427</v>
      </c>
      <c r="R9" s="368" t="s">
        <v>51</v>
      </c>
      <c r="S9" s="46"/>
      <c r="T9" s="368"/>
      <c r="U9" s="384">
        <f t="shared" si="0"/>
        <v>4</v>
      </c>
      <c r="V9" s="286" t="str">
        <f t="shared" si="1"/>
        <v>Oportuno</v>
      </c>
      <c r="W9" s="383">
        <f t="shared" si="2"/>
        <v>-41759</v>
      </c>
      <c r="X9" s="379" t="s">
        <v>338</v>
      </c>
    </row>
    <row r="10" spans="1:25" ht="68.25" customHeight="1" x14ac:dyDescent="0.2">
      <c r="A10" s="368">
        <f>A9+1</f>
        <v>5</v>
      </c>
      <c r="B10" s="364" t="s">
        <v>62</v>
      </c>
      <c r="C10" s="364" t="s">
        <v>242</v>
      </c>
      <c r="D10" s="362" t="s">
        <v>43</v>
      </c>
      <c r="E10" s="372" t="s">
        <v>0</v>
      </c>
      <c r="F10" s="365" t="s">
        <v>58</v>
      </c>
      <c r="G10" s="46">
        <v>41610</v>
      </c>
      <c r="H10" s="422" t="s">
        <v>40</v>
      </c>
      <c r="I10" s="374" t="s">
        <v>78</v>
      </c>
      <c r="J10" s="374" t="s">
        <v>133</v>
      </c>
      <c r="K10" s="159" t="s">
        <v>79</v>
      </c>
      <c r="L10" s="46">
        <v>41726</v>
      </c>
      <c r="M10" s="364" t="s">
        <v>50</v>
      </c>
      <c r="N10" s="364" t="s">
        <v>262</v>
      </c>
      <c r="O10" s="588" t="s">
        <v>148</v>
      </c>
      <c r="P10" s="46">
        <v>42004</v>
      </c>
      <c r="Q10" s="476" t="s">
        <v>393</v>
      </c>
      <c r="R10" s="368" t="s">
        <v>51</v>
      </c>
      <c r="S10" s="46"/>
      <c r="T10" s="368"/>
      <c r="U10" s="384">
        <f t="shared" si="0"/>
        <v>117</v>
      </c>
      <c r="V10" s="376" t="str">
        <f t="shared" si="1"/>
        <v>Inoportuno</v>
      </c>
      <c r="W10" s="384">
        <f t="shared" si="2"/>
        <v>-41399</v>
      </c>
      <c r="X10" s="379" t="s">
        <v>338</v>
      </c>
    </row>
    <row r="11" spans="1:25" ht="190.5" customHeight="1" x14ac:dyDescent="0.2">
      <c r="A11" s="368">
        <v>6</v>
      </c>
      <c r="B11" s="364" t="s">
        <v>62</v>
      </c>
      <c r="C11" s="364" t="s">
        <v>243</v>
      </c>
      <c r="D11" s="362" t="s">
        <v>43</v>
      </c>
      <c r="E11" s="372" t="s">
        <v>0</v>
      </c>
      <c r="F11" s="365" t="s">
        <v>58</v>
      </c>
      <c r="G11" s="46">
        <v>41621</v>
      </c>
      <c r="H11" s="591" t="s">
        <v>41</v>
      </c>
      <c r="I11" s="374" t="s">
        <v>78</v>
      </c>
      <c r="J11" s="374" t="s">
        <v>133</v>
      </c>
      <c r="K11" s="159" t="s">
        <v>79</v>
      </c>
      <c r="L11" s="46">
        <v>41711</v>
      </c>
      <c r="M11" s="364" t="s">
        <v>104</v>
      </c>
      <c r="N11" s="364" t="s">
        <v>244</v>
      </c>
      <c r="O11" s="588" t="s">
        <v>477</v>
      </c>
      <c r="P11" s="46">
        <v>42399</v>
      </c>
      <c r="Q11" s="364" t="s">
        <v>478</v>
      </c>
      <c r="R11" s="368" t="s">
        <v>51</v>
      </c>
      <c r="S11" s="46"/>
      <c r="T11" s="368"/>
      <c r="U11" s="384">
        <f t="shared" ref="U11:U28" si="4">DAYS360(G11,L11,0)+1</f>
        <v>91</v>
      </c>
      <c r="V11" s="376" t="str">
        <f t="shared" si="1"/>
        <v>Inoportuno</v>
      </c>
      <c r="W11" s="384">
        <f t="shared" ref="W11:W31" si="5">DAYS360(P11,S11,0)+1</f>
        <v>-41789</v>
      </c>
      <c r="X11" s="379" t="s">
        <v>338</v>
      </c>
    </row>
    <row r="12" spans="1:25" ht="255" x14ac:dyDescent="0.2">
      <c r="A12" s="637">
        <v>7</v>
      </c>
      <c r="B12" s="639" t="s">
        <v>49</v>
      </c>
      <c r="C12" s="639" t="s">
        <v>110</v>
      </c>
      <c r="D12" s="646" t="s">
        <v>43</v>
      </c>
      <c r="E12" s="639" t="s">
        <v>205</v>
      </c>
      <c r="F12" s="676" t="s">
        <v>59</v>
      </c>
      <c r="G12" s="642">
        <v>41689</v>
      </c>
      <c r="H12" s="665" t="s">
        <v>170</v>
      </c>
      <c r="I12" s="663" t="s">
        <v>78</v>
      </c>
      <c r="J12" s="663" t="s">
        <v>134</v>
      </c>
      <c r="K12" s="651" t="s">
        <v>79</v>
      </c>
      <c r="L12" s="642">
        <v>41753</v>
      </c>
      <c r="M12" s="364" t="s">
        <v>50</v>
      </c>
      <c r="N12" s="177" t="s">
        <v>177</v>
      </c>
      <c r="O12" s="588" t="s">
        <v>171</v>
      </c>
      <c r="P12" s="46">
        <v>42063</v>
      </c>
      <c r="Q12" s="364" t="s">
        <v>674</v>
      </c>
      <c r="R12" s="368" t="s">
        <v>55</v>
      </c>
      <c r="S12" s="46">
        <v>42509</v>
      </c>
      <c r="T12" s="364" t="s">
        <v>675</v>
      </c>
      <c r="U12" s="580">
        <f t="shared" si="4"/>
        <v>66</v>
      </c>
      <c r="V12" s="376" t="str">
        <f t="shared" si="1"/>
        <v>Inoportuno</v>
      </c>
      <c r="W12" s="384">
        <f t="shared" si="5"/>
        <v>440</v>
      </c>
      <c r="X12" s="699" t="s">
        <v>338</v>
      </c>
    </row>
    <row r="13" spans="1:25" ht="293.25" x14ac:dyDescent="0.2">
      <c r="A13" s="645"/>
      <c r="B13" s="641"/>
      <c r="C13" s="641"/>
      <c r="D13" s="647"/>
      <c r="E13" s="641"/>
      <c r="F13" s="677"/>
      <c r="G13" s="643"/>
      <c r="H13" s="666"/>
      <c r="I13" s="663"/>
      <c r="J13" s="663"/>
      <c r="K13" s="703"/>
      <c r="L13" s="643"/>
      <c r="M13" s="364" t="s">
        <v>50</v>
      </c>
      <c r="N13" s="177" t="s">
        <v>177</v>
      </c>
      <c r="O13" s="588" t="s">
        <v>172</v>
      </c>
      <c r="P13" s="46">
        <v>42094</v>
      </c>
      <c r="Q13" s="364" t="s">
        <v>676</v>
      </c>
      <c r="R13" s="368" t="s">
        <v>55</v>
      </c>
      <c r="S13" s="46">
        <v>42509</v>
      </c>
      <c r="T13" s="364" t="s">
        <v>677</v>
      </c>
      <c r="U13" s="384">
        <f t="shared" si="4"/>
        <v>1</v>
      </c>
      <c r="V13" s="376" t="str">
        <f t="shared" si="1"/>
        <v>Oportuno</v>
      </c>
      <c r="W13" s="384">
        <f t="shared" si="5"/>
        <v>410</v>
      </c>
      <c r="X13" s="699" t="s">
        <v>338</v>
      </c>
    </row>
    <row r="14" spans="1:25" ht="396" customHeight="1" x14ac:dyDescent="0.2">
      <c r="A14" s="645"/>
      <c r="B14" s="641"/>
      <c r="C14" s="641"/>
      <c r="D14" s="647"/>
      <c r="E14" s="641"/>
      <c r="F14" s="677"/>
      <c r="G14" s="643"/>
      <c r="H14" s="666"/>
      <c r="I14" s="663"/>
      <c r="J14" s="663"/>
      <c r="K14" s="703"/>
      <c r="L14" s="643"/>
      <c r="M14" s="364" t="s">
        <v>50</v>
      </c>
      <c r="N14" s="177" t="s">
        <v>177</v>
      </c>
      <c r="O14" s="588" t="s">
        <v>173</v>
      </c>
      <c r="P14" s="46">
        <v>41820</v>
      </c>
      <c r="Q14" s="364" t="s">
        <v>678</v>
      </c>
      <c r="R14" s="368" t="s">
        <v>55</v>
      </c>
      <c r="S14" s="46">
        <v>42733</v>
      </c>
      <c r="T14" s="499" t="s">
        <v>870</v>
      </c>
      <c r="U14" s="384">
        <f t="shared" si="4"/>
        <v>1</v>
      </c>
      <c r="V14" s="376" t="str">
        <f t="shared" si="1"/>
        <v>Oportuno</v>
      </c>
      <c r="W14" s="384">
        <f t="shared" si="5"/>
        <v>900</v>
      </c>
      <c r="X14" s="699" t="s">
        <v>338</v>
      </c>
    </row>
    <row r="15" spans="1:25" ht="364.5" customHeight="1" x14ac:dyDescent="0.2">
      <c r="A15" s="645"/>
      <c r="B15" s="641"/>
      <c r="C15" s="641"/>
      <c r="D15" s="647"/>
      <c r="E15" s="641"/>
      <c r="F15" s="677"/>
      <c r="G15" s="643"/>
      <c r="H15" s="666"/>
      <c r="I15" s="663"/>
      <c r="J15" s="663"/>
      <c r="K15" s="703"/>
      <c r="L15" s="643"/>
      <c r="M15" s="364" t="s">
        <v>50</v>
      </c>
      <c r="N15" s="177" t="s">
        <v>177</v>
      </c>
      <c r="O15" s="588" t="s">
        <v>174</v>
      </c>
      <c r="P15" s="46">
        <v>41820</v>
      </c>
      <c r="Q15" s="364" t="s">
        <v>679</v>
      </c>
      <c r="R15" s="368" t="s">
        <v>55</v>
      </c>
      <c r="S15" s="46">
        <v>42733</v>
      </c>
      <c r="T15" s="499" t="s">
        <v>870</v>
      </c>
      <c r="U15" s="384">
        <f t="shared" si="4"/>
        <v>1</v>
      </c>
      <c r="V15" s="376" t="str">
        <f t="shared" ref="V15:V61" si="6">IF(U15&gt;7,"Inoportuno",(IF(U15&lt;0,"No ha formulado PM","Oportuno")))</f>
        <v>Oportuno</v>
      </c>
      <c r="W15" s="384">
        <f t="shared" si="5"/>
        <v>900</v>
      </c>
      <c r="X15" s="699" t="s">
        <v>338</v>
      </c>
    </row>
    <row r="16" spans="1:25" ht="139.5" customHeight="1" x14ac:dyDescent="0.2">
      <c r="A16" s="645"/>
      <c r="B16" s="641"/>
      <c r="C16" s="641"/>
      <c r="D16" s="647"/>
      <c r="E16" s="641"/>
      <c r="F16" s="677"/>
      <c r="G16" s="643"/>
      <c r="H16" s="666"/>
      <c r="I16" s="663"/>
      <c r="J16" s="663"/>
      <c r="K16" s="703"/>
      <c r="L16" s="643"/>
      <c r="M16" s="364" t="s">
        <v>50</v>
      </c>
      <c r="N16" s="177" t="s">
        <v>177</v>
      </c>
      <c r="O16" s="588" t="s">
        <v>175</v>
      </c>
      <c r="P16" s="46">
        <v>41820</v>
      </c>
      <c r="Q16" s="364" t="s">
        <v>680</v>
      </c>
      <c r="R16" s="368" t="s">
        <v>55</v>
      </c>
      <c r="S16" s="46">
        <v>42509</v>
      </c>
      <c r="T16" s="364" t="s">
        <v>681</v>
      </c>
      <c r="U16" s="384">
        <f t="shared" si="4"/>
        <v>1</v>
      </c>
      <c r="V16" s="376" t="str">
        <f t="shared" si="6"/>
        <v>Oportuno</v>
      </c>
      <c r="W16" s="384">
        <f t="shared" si="5"/>
        <v>680</v>
      </c>
      <c r="X16" s="699" t="s">
        <v>338</v>
      </c>
    </row>
    <row r="17" spans="1:24" ht="150" customHeight="1" x14ac:dyDescent="0.2">
      <c r="A17" s="638"/>
      <c r="B17" s="640"/>
      <c r="C17" s="640"/>
      <c r="D17" s="648"/>
      <c r="E17" s="640"/>
      <c r="F17" s="678"/>
      <c r="G17" s="644"/>
      <c r="H17" s="667"/>
      <c r="I17" s="663"/>
      <c r="J17" s="663"/>
      <c r="K17" s="652"/>
      <c r="L17" s="644"/>
      <c r="M17" s="364" t="s">
        <v>50</v>
      </c>
      <c r="N17" s="177" t="s">
        <v>177</v>
      </c>
      <c r="O17" s="588" t="s">
        <v>176</v>
      </c>
      <c r="P17" s="46">
        <v>41820</v>
      </c>
      <c r="Q17" s="364" t="s">
        <v>682</v>
      </c>
      <c r="R17" s="368" t="s">
        <v>55</v>
      </c>
      <c r="S17" s="46">
        <v>42509</v>
      </c>
      <c r="T17" s="364" t="s">
        <v>683</v>
      </c>
      <c r="U17" s="384">
        <f>DAYS360(G12,L12,0)+1</f>
        <v>66</v>
      </c>
      <c r="V17" s="376" t="str">
        <f t="shared" si="6"/>
        <v>Inoportuno</v>
      </c>
      <c r="W17" s="384">
        <f t="shared" si="5"/>
        <v>680</v>
      </c>
      <c r="X17" s="699" t="s">
        <v>338</v>
      </c>
    </row>
    <row r="18" spans="1:24" ht="409.5" customHeight="1" x14ac:dyDescent="0.2">
      <c r="A18" s="637">
        <v>8</v>
      </c>
      <c r="B18" s="639" t="s">
        <v>49</v>
      </c>
      <c r="C18" s="639" t="s">
        <v>38</v>
      </c>
      <c r="D18" s="646" t="s">
        <v>43</v>
      </c>
      <c r="E18" s="639" t="s">
        <v>205</v>
      </c>
      <c r="F18" s="676" t="s">
        <v>59</v>
      </c>
      <c r="G18" s="642">
        <v>41634</v>
      </c>
      <c r="H18" s="712" t="s">
        <v>39</v>
      </c>
      <c r="I18" s="653" t="s">
        <v>78</v>
      </c>
      <c r="J18" s="653" t="s">
        <v>133</v>
      </c>
      <c r="K18" s="637" t="s">
        <v>79</v>
      </c>
      <c r="L18" s="642">
        <v>41753</v>
      </c>
      <c r="M18" s="364" t="s">
        <v>104</v>
      </c>
      <c r="N18" s="364" t="s">
        <v>179</v>
      </c>
      <c r="O18" s="588" t="s">
        <v>178</v>
      </c>
      <c r="P18" s="46">
        <v>41789</v>
      </c>
      <c r="Q18" s="364" t="s">
        <v>871</v>
      </c>
      <c r="R18" s="368" t="s">
        <v>51</v>
      </c>
      <c r="S18" s="46"/>
      <c r="T18" s="368"/>
      <c r="U18" s="580">
        <f>DAYS360(G13,L13,0)+1</f>
        <v>1</v>
      </c>
      <c r="V18" s="376" t="str">
        <f t="shared" si="6"/>
        <v>Oportuno</v>
      </c>
      <c r="W18" s="384">
        <f t="shared" si="5"/>
        <v>-41189</v>
      </c>
      <c r="X18" s="379" t="s">
        <v>338</v>
      </c>
    </row>
    <row r="19" spans="1:24" ht="221.25" customHeight="1" x14ac:dyDescent="0.2">
      <c r="A19" s="638"/>
      <c r="B19" s="640"/>
      <c r="C19" s="640"/>
      <c r="D19" s="648"/>
      <c r="E19" s="640"/>
      <c r="F19" s="678"/>
      <c r="G19" s="644"/>
      <c r="H19" s="713"/>
      <c r="I19" s="654"/>
      <c r="J19" s="654"/>
      <c r="K19" s="638"/>
      <c r="L19" s="644"/>
      <c r="M19" s="364" t="s">
        <v>50</v>
      </c>
      <c r="N19" s="364" t="s">
        <v>179</v>
      </c>
      <c r="O19" s="588" t="s">
        <v>263</v>
      </c>
      <c r="P19" s="46">
        <v>42004</v>
      </c>
      <c r="Q19" s="364" t="s">
        <v>684</v>
      </c>
      <c r="R19" s="368" t="s">
        <v>55</v>
      </c>
      <c r="S19" s="46">
        <v>42733</v>
      </c>
      <c r="T19" s="499" t="s">
        <v>872</v>
      </c>
      <c r="U19" s="384">
        <f>DAYS360(G18,L19,0)+1</f>
        <v>-41035</v>
      </c>
      <c r="V19" s="376" t="s">
        <v>988</v>
      </c>
      <c r="W19" s="384">
        <f t="shared" si="5"/>
        <v>720</v>
      </c>
      <c r="X19" s="379" t="s">
        <v>338</v>
      </c>
    </row>
    <row r="20" spans="1:24" ht="409.5" x14ac:dyDescent="0.2">
      <c r="A20" s="368">
        <v>9</v>
      </c>
      <c r="B20" s="364" t="s">
        <v>49</v>
      </c>
      <c r="C20" s="364" t="s">
        <v>111</v>
      </c>
      <c r="D20" s="362" t="s">
        <v>43</v>
      </c>
      <c r="E20" s="372" t="s">
        <v>205</v>
      </c>
      <c r="F20" s="365" t="s">
        <v>59</v>
      </c>
      <c r="G20" s="46">
        <v>41506</v>
      </c>
      <c r="H20" s="592" t="s">
        <v>245</v>
      </c>
      <c r="I20" s="374" t="s">
        <v>78</v>
      </c>
      <c r="J20" s="374" t="s">
        <v>134</v>
      </c>
      <c r="K20" s="159" t="s">
        <v>79</v>
      </c>
      <c r="L20" s="46">
        <v>41513</v>
      </c>
      <c r="M20" s="364" t="s">
        <v>50</v>
      </c>
      <c r="N20" s="364" t="s">
        <v>115</v>
      </c>
      <c r="O20" s="588" t="s">
        <v>873</v>
      </c>
      <c r="P20" s="46">
        <v>42035</v>
      </c>
      <c r="Q20" s="364" t="s">
        <v>479</v>
      </c>
      <c r="R20" s="368" t="s">
        <v>55</v>
      </c>
      <c r="S20" s="46">
        <v>42733</v>
      </c>
      <c r="T20" s="499" t="s">
        <v>876</v>
      </c>
      <c r="U20" s="384">
        <f t="shared" si="4"/>
        <v>8</v>
      </c>
      <c r="V20" s="376" t="str">
        <f t="shared" si="6"/>
        <v>Inoportuno</v>
      </c>
      <c r="W20" s="384">
        <f t="shared" si="5"/>
        <v>690</v>
      </c>
      <c r="X20" s="379" t="s">
        <v>338</v>
      </c>
    </row>
    <row r="21" spans="1:24" ht="281.25" customHeight="1" x14ac:dyDescent="0.2">
      <c r="A21" s="368">
        <f t="shared" ref="A21:A66" si="7">+A20+1</f>
        <v>10</v>
      </c>
      <c r="B21" s="364" t="s">
        <v>49</v>
      </c>
      <c r="C21" s="364" t="s">
        <v>246</v>
      </c>
      <c r="D21" s="362" t="s">
        <v>46</v>
      </c>
      <c r="E21" s="372" t="s">
        <v>205</v>
      </c>
      <c r="F21" s="365" t="s">
        <v>59</v>
      </c>
      <c r="G21" s="46">
        <v>41313</v>
      </c>
      <c r="H21" s="592" t="s">
        <v>14</v>
      </c>
      <c r="I21" s="374" t="s">
        <v>78</v>
      </c>
      <c r="J21" s="374" t="s">
        <v>134</v>
      </c>
      <c r="K21" s="159" t="s">
        <v>79</v>
      </c>
      <c r="L21" s="46">
        <v>41324</v>
      </c>
      <c r="M21" s="364" t="s">
        <v>50</v>
      </c>
      <c r="N21" s="364" t="s">
        <v>113</v>
      </c>
      <c r="O21" s="588" t="s">
        <v>114</v>
      </c>
      <c r="P21" s="46">
        <v>42369</v>
      </c>
      <c r="Q21" s="367" t="s">
        <v>877</v>
      </c>
      <c r="R21" s="368" t="s">
        <v>55</v>
      </c>
      <c r="S21" s="46">
        <v>42509</v>
      </c>
      <c r="T21" s="368" t="s">
        <v>970</v>
      </c>
      <c r="U21" s="384">
        <f t="shared" si="4"/>
        <v>12</v>
      </c>
      <c r="V21" s="376" t="str">
        <f t="shared" si="6"/>
        <v>Inoportuno</v>
      </c>
      <c r="W21" s="384">
        <f t="shared" si="5"/>
        <v>140</v>
      </c>
      <c r="X21" s="379" t="s">
        <v>338</v>
      </c>
    </row>
    <row r="22" spans="1:24" ht="347.25" customHeight="1" x14ac:dyDescent="0.2">
      <c r="A22" s="368">
        <f t="shared" si="7"/>
        <v>11</v>
      </c>
      <c r="B22" s="364" t="s">
        <v>49</v>
      </c>
      <c r="C22" s="364" t="s">
        <v>7</v>
      </c>
      <c r="D22" s="362" t="s">
        <v>43</v>
      </c>
      <c r="E22" s="372" t="s">
        <v>205</v>
      </c>
      <c r="F22" s="365" t="s">
        <v>59</v>
      </c>
      <c r="G22" s="46">
        <v>41534</v>
      </c>
      <c r="H22" s="575" t="s">
        <v>19</v>
      </c>
      <c r="I22" s="374" t="s">
        <v>78</v>
      </c>
      <c r="J22" s="374" t="s">
        <v>134</v>
      </c>
      <c r="K22" s="159" t="s">
        <v>79</v>
      </c>
      <c r="L22" s="46">
        <v>41541</v>
      </c>
      <c r="M22" s="364" t="s">
        <v>50</v>
      </c>
      <c r="N22" s="364" t="s">
        <v>119</v>
      </c>
      <c r="O22" s="588" t="s">
        <v>118</v>
      </c>
      <c r="P22" s="46">
        <v>42094</v>
      </c>
      <c r="Q22" s="364" t="s">
        <v>685</v>
      </c>
      <c r="R22" s="368" t="s">
        <v>55</v>
      </c>
      <c r="S22" s="46">
        <v>42733</v>
      </c>
      <c r="T22" s="500" t="s">
        <v>879</v>
      </c>
      <c r="U22" s="384">
        <f t="shared" si="4"/>
        <v>8</v>
      </c>
      <c r="V22" s="376" t="str">
        <f t="shared" si="6"/>
        <v>Inoportuno</v>
      </c>
      <c r="W22" s="384">
        <f t="shared" si="5"/>
        <v>630</v>
      </c>
      <c r="X22" s="379" t="s">
        <v>338</v>
      </c>
    </row>
    <row r="23" spans="1:24" ht="336.75" customHeight="1" x14ac:dyDescent="0.2">
      <c r="A23" s="368">
        <f t="shared" si="7"/>
        <v>12</v>
      </c>
      <c r="B23" s="364" t="s">
        <v>49</v>
      </c>
      <c r="C23" s="364" t="s">
        <v>7</v>
      </c>
      <c r="D23" s="370" t="s">
        <v>43</v>
      </c>
      <c r="E23" s="372" t="s">
        <v>205</v>
      </c>
      <c r="F23" s="371" t="s">
        <v>59</v>
      </c>
      <c r="G23" s="183">
        <v>41534</v>
      </c>
      <c r="H23" s="593" t="s">
        <v>112</v>
      </c>
      <c r="I23" s="374" t="s">
        <v>78</v>
      </c>
      <c r="J23" s="374" t="s">
        <v>134</v>
      </c>
      <c r="K23" s="566" t="s">
        <v>79</v>
      </c>
      <c r="L23" s="46">
        <v>41541</v>
      </c>
      <c r="M23" s="364" t="s">
        <v>50</v>
      </c>
      <c r="N23" s="364" t="s">
        <v>117</v>
      </c>
      <c r="O23" s="588" t="s">
        <v>120</v>
      </c>
      <c r="P23" s="46">
        <v>42094</v>
      </c>
      <c r="Q23" s="364" t="s">
        <v>686</v>
      </c>
      <c r="R23" s="368" t="s">
        <v>55</v>
      </c>
      <c r="S23" s="46">
        <v>42733</v>
      </c>
      <c r="T23" s="500" t="s">
        <v>880</v>
      </c>
      <c r="U23" s="384">
        <f t="shared" si="4"/>
        <v>8</v>
      </c>
      <c r="V23" s="376" t="str">
        <f t="shared" si="6"/>
        <v>Inoportuno</v>
      </c>
      <c r="W23" s="384">
        <f t="shared" si="5"/>
        <v>630</v>
      </c>
      <c r="X23" s="377" t="s">
        <v>338</v>
      </c>
    </row>
    <row r="24" spans="1:24" ht="344.25" x14ac:dyDescent="0.2">
      <c r="A24" s="368">
        <f t="shared" si="7"/>
        <v>13</v>
      </c>
      <c r="B24" s="364" t="s">
        <v>49</v>
      </c>
      <c r="C24" s="364" t="s">
        <v>7</v>
      </c>
      <c r="D24" s="362" t="s">
        <v>43</v>
      </c>
      <c r="E24" s="372" t="s">
        <v>205</v>
      </c>
      <c r="F24" s="365" t="s">
        <v>59</v>
      </c>
      <c r="G24" s="46">
        <v>41534</v>
      </c>
      <c r="H24" s="575" t="s">
        <v>20</v>
      </c>
      <c r="I24" s="374" t="s">
        <v>78</v>
      </c>
      <c r="J24" s="374" t="s">
        <v>134</v>
      </c>
      <c r="K24" s="159" t="s">
        <v>79</v>
      </c>
      <c r="L24" s="46">
        <v>41541</v>
      </c>
      <c r="M24" s="364" t="s">
        <v>104</v>
      </c>
      <c r="N24" s="364" t="s">
        <v>116</v>
      </c>
      <c r="O24" s="588" t="s">
        <v>121</v>
      </c>
      <c r="P24" s="46">
        <v>42369</v>
      </c>
      <c r="Q24" s="364" t="s">
        <v>687</v>
      </c>
      <c r="R24" s="368" t="s">
        <v>55</v>
      </c>
      <c r="S24" s="46">
        <v>42733</v>
      </c>
      <c r="T24" s="500" t="s">
        <v>878</v>
      </c>
      <c r="U24" s="384">
        <f t="shared" si="4"/>
        <v>8</v>
      </c>
      <c r="V24" s="376" t="str">
        <f t="shared" si="6"/>
        <v>Inoportuno</v>
      </c>
      <c r="W24" s="384">
        <f t="shared" si="5"/>
        <v>360</v>
      </c>
      <c r="X24" s="379" t="s">
        <v>338</v>
      </c>
    </row>
    <row r="25" spans="1:24" ht="250.5" customHeight="1" x14ac:dyDescent="0.2">
      <c r="A25" s="368">
        <f t="shared" si="7"/>
        <v>14</v>
      </c>
      <c r="B25" s="364" t="s">
        <v>49</v>
      </c>
      <c r="C25" s="364" t="s">
        <v>7</v>
      </c>
      <c r="D25" s="362" t="s">
        <v>43</v>
      </c>
      <c r="E25" s="372" t="s">
        <v>205</v>
      </c>
      <c r="F25" s="365" t="s">
        <v>59</v>
      </c>
      <c r="G25" s="46">
        <v>41534</v>
      </c>
      <c r="H25" s="575" t="s">
        <v>21</v>
      </c>
      <c r="I25" s="374" t="s">
        <v>78</v>
      </c>
      <c r="J25" s="374" t="s">
        <v>134</v>
      </c>
      <c r="K25" s="159" t="s">
        <v>79</v>
      </c>
      <c r="L25" s="46">
        <v>41541</v>
      </c>
      <c r="M25" s="364" t="s">
        <v>104</v>
      </c>
      <c r="N25" s="364" t="s">
        <v>123</v>
      </c>
      <c r="O25" s="588" t="s">
        <v>122</v>
      </c>
      <c r="P25" s="46">
        <v>42185</v>
      </c>
      <c r="Q25" s="364" t="s">
        <v>881</v>
      </c>
      <c r="R25" s="368" t="s">
        <v>55</v>
      </c>
      <c r="S25" s="357">
        <v>42509</v>
      </c>
      <c r="T25" s="364" t="s">
        <v>688</v>
      </c>
      <c r="U25" s="384">
        <f t="shared" si="4"/>
        <v>8</v>
      </c>
      <c r="V25" s="376" t="str">
        <f t="shared" si="6"/>
        <v>Inoportuno</v>
      </c>
      <c r="W25" s="384">
        <f t="shared" si="5"/>
        <v>320</v>
      </c>
      <c r="X25" s="379" t="s">
        <v>338</v>
      </c>
    </row>
    <row r="26" spans="1:24" ht="335.25" customHeight="1" x14ac:dyDescent="0.2">
      <c r="A26" s="368">
        <f t="shared" si="7"/>
        <v>15</v>
      </c>
      <c r="B26" s="364" t="s">
        <v>49</v>
      </c>
      <c r="C26" s="364" t="s">
        <v>7</v>
      </c>
      <c r="D26" s="362" t="s">
        <v>43</v>
      </c>
      <c r="E26" s="372" t="s">
        <v>205</v>
      </c>
      <c r="F26" s="365" t="s">
        <v>59</v>
      </c>
      <c r="G26" s="46">
        <v>41534</v>
      </c>
      <c r="H26" s="575" t="s">
        <v>22</v>
      </c>
      <c r="I26" s="374" t="s">
        <v>78</v>
      </c>
      <c r="J26" s="374" t="s">
        <v>134</v>
      </c>
      <c r="K26" s="159" t="s">
        <v>79</v>
      </c>
      <c r="L26" s="46">
        <v>41541</v>
      </c>
      <c r="M26" s="364" t="s">
        <v>50</v>
      </c>
      <c r="N26" s="364" t="s">
        <v>124</v>
      </c>
      <c r="O26" s="588" t="s">
        <v>882</v>
      </c>
      <c r="P26" s="46">
        <v>42094</v>
      </c>
      <c r="Q26" s="364" t="s">
        <v>689</v>
      </c>
      <c r="R26" s="368" t="s">
        <v>55</v>
      </c>
      <c r="S26" s="46">
        <v>42733</v>
      </c>
      <c r="T26" s="500" t="s">
        <v>883</v>
      </c>
      <c r="U26" s="384">
        <f t="shared" si="4"/>
        <v>8</v>
      </c>
      <c r="V26" s="376" t="str">
        <f t="shared" si="6"/>
        <v>Inoportuno</v>
      </c>
      <c r="W26" s="384">
        <f t="shared" si="5"/>
        <v>630</v>
      </c>
      <c r="X26" s="379" t="s">
        <v>338</v>
      </c>
    </row>
    <row r="27" spans="1:24" ht="178.5" customHeight="1" x14ac:dyDescent="0.2">
      <c r="A27" s="368">
        <f t="shared" si="7"/>
        <v>16</v>
      </c>
      <c r="B27" s="364" t="s">
        <v>49</v>
      </c>
      <c r="C27" s="364" t="s">
        <v>7</v>
      </c>
      <c r="D27" s="362" t="s">
        <v>43</v>
      </c>
      <c r="E27" s="372" t="s">
        <v>205</v>
      </c>
      <c r="F27" s="365" t="s">
        <v>59</v>
      </c>
      <c r="G27" s="46">
        <v>41534</v>
      </c>
      <c r="H27" s="575" t="s">
        <v>23</v>
      </c>
      <c r="I27" s="374" t="s">
        <v>78</v>
      </c>
      <c r="J27" s="374" t="s">
        <v>134</v>
      </c>
      <c r="K27" s="159" t="s">
        <v>79</v>
      </c>
      <c r="L27" s="46">
        <v>41541</v>
      </c>
      <c r="M27" s="364" t="s">
        <v>104</v>
      </c>
      <c r="N27" s="364" t="s">
        <v>247</v>
      </c>
      <c r="O27" s="588" t="s">
        <v>125</v>
      </c>
      <c r="P27" s="46">
        <v>42185</v>
      </c>
      <c r="Q27" s="364" t="s">
        <v>690</v>
      </c>
      <c r="R27" s="368" t="s">
        <v>55</v>
      </c>
      <c r="S27" s="46">
        <v>42509</v>
      </c>
      <c r="T27" s="364" t="s">
        <v>691</v>
      </c>
      <c r="U27" s="384">
        <f t="shared" si="4"/>
        <v>8</v>
      </c>
      <c r="V27" s="376" t="str">
        <f t="shared" si="6"/>
        <v>Inoportuno</v>
      </c>
      <c r="W27" s="384">
        <f t="shared" si="5"/>
        <v>320</v>
      </c>
      <c r="X27" s="379" t="s">
        <v>338</v>
      </c>
    </row>
    <row r="28" spans="1:24" ht="175.5" customHeight="1" x14ac:dyDescent="0.2">
      <c r="A28" s="637">
        <v>17</v>
      </c>
      <c r="B28" s="639" t="s">
        <v>25</v>
      </c>
      <c r="C28" s="639" t="s">
        <v>191</v>
      </c>
      <c r="D28" s="646" t="s">
        <v>43</v>
      </c>
      <c r="E28" s="639" t="s">
        <v>0</v>
      </c>
      <c r="F28" s="676" t="s">
        <v>59</v>
      </c>
      <c r="G28" s="642">
        <v>41596</v>
      </c>
      <c r="H28" s="656" t="s">
        <v>543</v>
      </c>
      <c r="I28" s="653" t="s">
        <v>78</v>
      </c>
      <c r="J28" s="653" t="s">
        <v>134</v>
      </c>
      <c r="K28" s="637" t="s">
        <v>79</v>
      </c>
      <c r="L28" s="642">
        <v>42130</v>
      </c>
      <c r="M28" s="364" t="s">
        <v>50</v>
      </c>
      <c r="N28" s="226" t="s">
        <v>323</v>
      </c>
      <c r="O28" s="588" t="s">
        <v>332</v>
      </c>
      <c r="P28" s="214">
        <v>42185</v>
      </c>
      <c r="Q28" s="364" t="s">
        <v>656</v>
      </c>
      <c r="R28" s="368" t="s">
        <v>55</v>
      </c>
      <c r="S28" s="46">
        <v>42451</v>
      </c>
      <c r="T28" s="604" t="s">
        <v>657</v>
      </c>
      <c r="U28" s="580">
        <f t="shared" si="4"/>
        <v>529</v>
      </c>
      <c r="V28" s="376" t="str">
        <f t="shared" ref="V28:V30" si="8">IF(U28&gt;7,"Inoportuno",(IF(U28&lt;0,"No ha formulado PM","Oportuno")))</f>
        <v>Inoportuno</v>
      </c>
      <c r="W28" s="384">
        <f t="shared" ref="W28:W30" si="9">DAYS360(P28,S28,0)+1</f>
        <v>263</v>
      </c>
      <c r="X28" s="699" t="s">
        <v>338</v>
      </c>
    </row>
    <row r="29" spans="1:24" ht="192.75" customHeight="1" x14ac:dyDescent="0.2">
      <c r="A29" s="645"/>
      <c r="B29" s="641"/>
      <c r="C29" s="641"/>
      <c r="D29" s="647"/>
      <c r="E29" s="641"/>
      <c r="F29" s="677"/>
      <c r="G29" s="643"/>
      <c r="H29" s="657"/>
      <c r="I29" s="655"/>
      <c r="J29" s="655"/>
      <c r="K29" s="645"/>
      <c r="L29" s="643"/>
      <c r="M29" s="364" t="s">
        <v>50</v>
      </c>
      <c r="N29" s="18" t="s">
        <v>331</v>
      </c>
      <c r="O29" s="588" t="s">
        <v>333</v>
      </c>
      <c r="P29" s="214">
        <v>42185</v>
      </c>
      <c r="Q29" s="365" t="s">
        <v>658</v>
      </c>
      <c r="R29" s="368" t="s">
        <v>55</v>
      </c>
      <c r="S29" s="46">
        <v>42451</v>
      </c>
      <c r="T29" s="603" t="s">
        <v>657</v>
      </c>
      <c r="U29" s="384">
        <f t="shared" ref="U29:U30" si="10">DAYS360(G29,L29,0)+1</f>
        <v>1</v>
      </c>
      <c r="V29" s="376" t="str">
        <f t="shared" si="8"/>
        <v>Oportuno</v>
      </c>
      <c r="W29" s="384">
        <f t="shared" si="9"/>
        <v>263</v>
      </c>
      <c r="X29" s="699" t="s">
        <v>338</v>
      </c>
    </row>
    <row r="30" spans="1:24" ht="153" x14ac:dyDescent="0.2">
      <c r="A30" s="645"/>
      <c r="B30" s="641"/>
      <c r="C30" s="641"/>
      <c r="D30" s="647"/>
      <c r="E30" s="641"/>
      <c r="F30" s="677"/>
      <c r="G30" s="643"/>
      <c r="H30" s="657"/>
      <c r="I30" s="655"/>
      <c r="J30" s="655"/>
      <c r="K30" s="645"/>
      <c r="L30" s="643"/>
      <c r="M30" s="364" t="s">
        <v>50</v>
      </c>
      <c r="N30" s="18" t="s">
        <v>480</v>
      </c>
      <c r="O30" s="588" t="s">
        <v>539</v>
      </c>
      <c r="P30" s="214">
        <v>42185</v>
      </c>
      <c r="Q30" s="364" t="s">
        <v>659</v>
      </c>
      <c r="R30" s="368" t="s">
        <v>55</v>
      </c>
      <c r="S30" s="46">
        <v>42451</v>
      </c>
      <c r="T30" s="604" t="s">
        <v>657</v>
      </c>
      <c r="U30" s="384">
        <f t="shared" si="10"/>
        <v>1</v>
      </c>
      <c r="V30" s="376" t="str">
        <f t="shared" si="8"/>
        <v>Oportuno</v>
      </c>
      <c r="W30" s="384">
        <f t="shared" si="9"/>
        <v>263</v>
      </c>
      <c r="X30" s="699" t="s">
        <v>338</v>
      </c>
    </row>
    <row r="31" spans="1:24" ht="220.5" customHeight="1" x14ac:dyDescent="0.2">
      <c r="A31" s="638"/>
      <c r="B31" s="640"/>
      <c r="C31" s="640"/>
      <c r="D31" s="648"/>
      <c r="E31" s="640"/>
      <c r="F31" s="678"/>
      <c r="G31" s="644"/>
      <c r="H31" s="658"/>
      <c r="I31" s="654"/>
      <c r="J31" s="654"/>
      <c r="K31" s="638"/>
      <c r="L31" s="644"/>
      <c r="M31" s="364" t="s">
        <v>50</v>
      </c>
      <c r="N31" s="18" t="s">
        <v>326</v>
      </c>
      <c r="O31" s="588" t="s">
        <v>559</v>
      </c>
      <c r="P31" s="214">
        <v>42185</v>
      </c>
      <c r="Q31" s="364" t="s">
        <v>660</v>
      </c>
      <c r="R31" s="368" t="s">
        <v>55</v>
      </c>
      <c r="S31" s="46">
        <v>42451</v>
      </c>
      <c r="T31" s="604" t="s">
        <v>657</v>
      </c>
      <c r="U31" s="384">
        <f>DAYS360(G28,L28,0)+1</f>
        <v>529</v>
      </c>
      <c r="V31" s="376" t="str">
        <f t="shared" si="6"/>
        <v>Inoportuno</v>
      </c>
      <c r="W31" s="384">
        <f t="shared" si="5"/>
        <v>263</v>
      </c>
      <c r="X31" s="699" t="s">
        <v>338</v>
      </c>
    </row>
    <row r="32" spans="1:24" ht="409.5" x14ac:dyDescent="0.2">
      <c r="A32" s="368">
        <v>18</v>
      </c>
      <c r="B32" s="380" t="s">
        <v>64</v>
      </c>
      <c r="C32" s="364" t="s">
        <v>142</v>
      </c>
      <c r="D32" s="527" t="s">
        <v>43</v>
      </c>
      <c r="E32" s="501" t="s">
        <v>0</v>
      </c>
      <c r="F32" s="365" t="s">
        <v>107</v>
      </c>
      <c r="G32" s="404">
        <v>41135</v>
      </c>
      <c r="H32" s="594" t="s">
        <v>8</v>
      </c>
      <c r="I32" s="528" t="s">
        <v>78</v>
      </c>
      <c r="J32" s="513" t="s">
        <v>134</v>
      </c>
      <c r="K32" s="566" t="s">
        <v>79</v>
      </c>
      <c r="L32" s="229">
        <v>41165</v>
      </c>
      <c r="M32" s="364" t="s">
        <v>104</v>
      </c>
      <c r="N32" s="364" t="s">
        <v>143</v>
      </c>
      <c r="O32" s="588" t="s">
        <v>248</v>
      </c>
      <c r="P32" s="214">
        <v>41455</v>
      </c>
      <c r="Q32" s="364" t="s">
        <v>575</v>
      </c>
      <c r="R32" s="215" t="s">
        <v>55</v>
      </c>
      <c r="S32" s="214">
        <v>42508</v>
      </c>
      <c r="T32" s="364" t="s">
        <v>598</v>
      </c>
      <c r="U32" s="384">
        <f t="shared" ref="U32:U57" si="11">DAYS360(G32,L32,0)+1</f>
        <v>30</v>
      </c>
      <c r="V32" s="376" t="str">
        <f t="shared" si="6"/>
        <v>Inoportuno</v>
      </c>
      <c r="W32" s="384">
        <f t="shared" ref="W32:W58" si="12">DAYS360(P32,S32,0)+1</f>
        <v>1039</v>
      </c>
      <c r="X32" s="379" t="s">
        <v>338</v>
      </c>
    </row>
    <row r="33" spans="1:24" ht="39" customHeight="1" x14ac:dyDescent="0.2">
      <c r="A33" s="637">
        <v>19</v>
      </c>
      <c r="B33" s="659" t="s">
        <v>64</v>
      </c>
      <c r="C33" s="639" t="s">
        <v>142</v>
      </c>
      <c r="D33" s="646" t="s">
        <v>43</v>
      </c>
      <c r="E33" s="639" t="s">
        <v>0</v>
      </c>
      <c r="F33" s="676" t="s">
        <v>107</v>
      </c>
      <c r="G33" s="715">
        <v>42480</v>
      </c>
      <c r="H33" s="659" t="s">
        <v>599</v>
      </c>
      <c r="I33" s="653" t="s">
        <v>78</v>
      </c>
      <c r="J33" s="653" t="s">
        <v>133</v>
      </c>
      <c r="K33" s="637" t="s">
        <v>79</v>
      </c>
      <c r="L33" s="704">
        <v>42508</v>
      </c>
      <c r="M33" s="364" t="s">
        <v>50</v>
      </c>
      <c r="N33" s="364" t="s">
        <v>136</v>
      </c>
      <c r="O33" s="588" t="s">
        <v>600</v>
      </c>
      <c r="P33" s="214">
        <v>42735</v>
      </c>
      <c r="Q33" s="364"/>
      <c r="R33" s="215" t="s">
        <v>51</v>
      </c>
      <c r="S33" s="214"/>
      <c r="T33" s="215"/>
      <c r="U33" s="580">
        <f t="shared" si="11"/>
        <v>29</v>
      </c>
      <c r="V33" s="376" t="str">
        <f t="shared" ref="V33:V35" si="13">IF(U33&gt;7,"Inoportuno",(IF(U33&lt;0,"No ha formulado PM","Oportuno")))</f>
        <v>Inoportuno</v>
      </c>
      <c r="W33" s="384">
        <f t="shared" ref="W33:W35" si="14">DAYS360(P33,S33,0)+1</f>
        <v>-42119</v>
      </c>
      <c r="X33" s="379" t="s">
        <v>338</v>
      </c>
    </row>
    <row r="34" spans="1:24" ht="30" customHeight="1" x14ac:dyDescent="0.2">
      <c r="A34" s="645"/>
      <c r="B34" s="660"/>
      <c r="C34" s="641"/>
      <c r="D34" s="647"/>
      <c r="E34" s="641"/>
      <c r="F34" s="677"/>
      <c r="G34" s="716"/>
      <c r="H34" s="660"/>
      <c r="I34" s="655"/>
      <c r="J34" s="655"/>
      <c r="K34" s="645"/>
      <c r="L34" s="705"/>
      <c r="M34" s="364" t="s">
        <v>50</v>
      </c>
      <c r="N34" s="364" t="s">
        <v>136</v>
      </c>
      <c r="O34" s="588" t="s">
        <v>601</v>
      </c>
      <c r="P34" s="214">
        <v>42735</v>
      </c>
      <c r="Q34" s="364"/>
      <c r="R34" s="215" t="s">
        <v>51</v>
      </c>
      <c r="S34" s="214"/>
      <c r="T34" s="215"/>
      <c r="U34" s="384">
        <f t="shared" ref="U34" si="15">DAYS360(G34,L34,0)+1</f>
        <v>1</v>
      </c>
      <c r="V34" s="376" t="str">
        <f t="shared" si="13"/>
        <v>Oportuno</v>
      </c>
      <c r="W34" s="384">
        <f t="shared" si="14"/>
        <v>-42119</v>
      </c>
      <c r="X34" s="379" t="s">
        <v>338</v>
      </c>
    </row>
    <row r="35" spans="1:24" ht="30" customHeight="1" x14ac:dyDescent="0.2">
      <c r="A35" s="638"/>
      <c r="B35" s="661"/>
      <c r="C35" s="640"/>
      <c r="D35" s="648"/>
      <c r="E35" s="640"/>
      <c r="F35" s="678"/>
      <c r="G35" s="717"/>
      <c r="H35" s="661"/>
      <c r="I35" s="654"/>
      <c r="J35" s="654"/>
      <c r="K35" s="638"/>
      <c r="L35" s="706"/>
      <c r="M35" s="364" t="s">
        <v>50</v>
      </c>
      <c r="N35" s="364" t="s">
        <v>136</v>
      </c>
      <c r="O35" s="588" t="s">
        <v>602</v>
      </c>
      <c r="P35" s="214">
        <v>42735</v>
      </c>
      <c r="Q35" s="364"/>
      <c r="R35" s="215" t="s">
        <v>51</v>
      </c>
      <c r="S35" s="214"/>
      <c r="T35" s="215"/>
      <c r="U35" s="384">
        <f>DAYS360(G33,L33,0)+1</f>
        <v>29</v>
      </c>
      <c r="V35" s="376" t="str">
        <f t="shared" si="13"/>
        <v>Inoportuno</v>
      </c>
      <c r="W35" s="384">
        <f t="shared" si="14"/>
        <v>-42119</v>
      </c>
      <c r="X35" s="379" t="s">
        <v>338</v>
      </c>
    </row>
    <row r="36" spans="1:24" ht="342" customHeight="1" x14ac:dyDescent="0.2">
      <c r="A36" s="368">
        <v>20</v>
      </c>
      <c r="B36" s="364" t="s">
        <v>64</v>
      </c>
      <c r="C36" s="364" t="s">
        <v>214</v>
      </c>
      <c r="D36" s="361" t="s">
        <v>43</v>
      </c>
      <c r="E36" s="372" t="s">
        <v>0</v>
      </c>
      <c r="F36" s="365" t="s">
        <v>58</v>
      </c>
      <c r="G36" s="46">
        <v>41425</v>
      </c>
      <c r="H36" s="422" t="s">
        <v>135</v>
      </c>
      <c r="I36" s="374" t="s">
        <v>78</v>
      </c>
      <c r="J36" s="374" t="s">
        <v>134</v>
      </c>
      <c r="K36" s="159" t="s">
        <v>79</v>
      </c>
      <c r="L36" s="46">
        <v>41457</v>
      </c>
      <c r="M36" s="364" t="s">
        <v>104</v>
      </c>
      <c r="N36" s="364" t="s">
        <v>136</v>
      </c>
      <c r="O36" s="588" t="s">
        <v>301</v>
      </c>
      <c r="P36" s="214">
        <v>42369</v>
      </c>
      <c r="Q36" s="364" t="s">
        <v>576</v>
      </c>
      <c r="R36" s="215" t="s">
        <v>55</v>
      </c>
      <c r="S36" s="214">
        <v>42480</v>
      </c>
      <c r="T36" s="364" t="s">
        <v>577</v>
      </c>
      <c r="U36" s="384">
        <f t="shared" si="11"/>
        <v>33</v>
      </c>
      <c r="V36" s="376" t="str">
        <f t="shared" si="6"/>
        <v>Inoportuno</v>
      </c>
      <c r="W36" s="384">
        <f t="shared" si="12"/>
        <v>111</v>
      </c>
      <c r="X36" s="379" t="s">
        <v>338</v>
      </c>
    </row>
    <row r="37" spans="1:24" ht="149.25" customHeight="1" x14ac:dyDescent="0.2">
      <c r="A37" s="368">
        <f t="shared" si="7"/>
        <v>21</v>
      </c>
      <c r="B37" s="364" t="s">
        <v>64</v>
      </c>
      <c r="C37" s="364" t="s">
        <v>214</v>
      </c>
      <c r="D37" s="361" t="s">
        <v>43</v>
      </c>
      <c r="E37" s="372" t="s">
        <v>0</v>
      </c>
      <c r="F37" s="365" t="s">
        <v>58</v>
      </c>
      <c r="G37" s="46">
        <v>41425</v>
      </c>
      <c r="H37" s="592" t="s">
        <v>215</v>
      </c>
      <c r="I37" s="374" t="s">
        <v>78</v>
      </c>
      <c r="J37" s="374" t="s">
        <v>133</v>
      </c>
      <c r="K37" s="159" t="s">
        <v>79</v>
      </c>
      <c r="L37" s="46">
        <v>41457</v>
      </c>
      <c r="M37" s="364" t="s">
        <v>50</v>
      </c>
      <c r="N37" s="364" t="s">
        <v>137</v>
      </c>
      <c r="O37" s="588" t="s">
        <v>993</v>
      </c>
      <c r="P37" s="214">
        <v>42531</v>
      </c>
      <c r="Q37" s="364" t="s">
        <v>829</v>
      </c>
      <c r="R37" s="215" t="s">
        <v>51</v>
      </c>
      <c r="S37" s="214"/>
      <c r="T37" s="215"/>
      <c r="U37" s="384">
        <f t="shared" si="11"/>
        <v>33</v>
      </c>
      <c r="V37" s="376" t="str">
        <f t="shared" si="6"/>
        <v>Inoportuno</v>
      </c>
      <c r="W37" s="384">
        <f t="shared" si="12"/>
        <v>-41919</v>
      </c>
      <c r="X37" s="379" t="s">
        <v>338</v>
      </c>
    </row>
    <row r="38" spans="1:24" ht="216.75" customHeight="1" x14ac:dyDescent="0.2">
      <c r="A38" s="368">
        <f t="shared" si="7"/>
        <v>22</v>
      </c>
      <c r="B38" s="380" t="s">
        <v>64</v>
      </c>
      <c r="C38" s="364" t="s">
        <v>214</v>
      </c>
      <c r="D38" s="361" t="s">
        <v>43</v>
      </c>
      <c r="E38" s="372" t="s">
        <v>0</v>
      </c>
      <c r="F38" s="365" t="s">
        <v>58</v>
      </c>
      <c r="G38" s="46">
        <v>41425</v>
      </c>
      <c r="H38" s="422" t="s">
        <v>216</v>
      </c>
      <c r="I38" s="374" t="s">
        <v>78</v>
      </c>
      <c r="J38" s="374" t="s">
        <v>134</v>
      </c>
      <c r="K38" s="159" t="s">
        <v>79</v>
      </c>
      <c r="L38" s="46">
        <v>41457</v>
      </c>
      <c r="M38" s="364" t="s">
        <v>50</v>
      </c>
      <c r="N38" s="364" t="s">
        <v>136</v>
      </c>
      <c r="O38" s="588" t="s">
        <v>213</v>
      </c>
      <c r="P38" s="214">
        <v>41639</v>
      </c>
      <c r="Q38" s="364" t="s">
        <v>578</v>
      </c>
      <c r="R38" s="215" t="s">
        <v>55</v>
      </c>
      <c r="S38" s="214">
        <v>42480</v>
      </c>
      <c r="T38" s="217" t="s">
        <v>579</v>
      </c>
      <c r="U38" s="384">
        <f t="shared" si="11"/>
        <v>33</v>
      </c>
      <c r="V38" s="376" t="str">
        <f t="shared" si="6"/>
        <v>Inoportuno</v>
      </c>
      <c r="W38" s="384">
        <f t="shared" si="12"/>
        <v>831</v>
      </c>
      <c r="X38" s="379" t="s">
        <v>338</v>
      </c>
    </row>
    <row r="39" spans="1:24" ht="127.5" customHeight="1" x14ac:dyDescent="0.2">
      <c r="A39" s="368">
        <f t="shared" si="7"/>
        <v>23</v>
      </c>
      <c r="B39" s="380" t="s">
        <v>64</v>
      </c>
      <c r="C39" s="364" t="s">
        <v>214</v>
      </c>
      <c r="D39" s="361" t="s">
        <v>43</v>
      </c>
      <c r="E39" s="372" t="s">
        <v>0</v>
      </c>
      <c r="F39" s="365" t="s">
        <v>58</v>
      </c>
      <c r="G39" s="46">
        <v>41425</v>
      </c>
      <c r="H39" s="422" t="s">
        <v>12</v>
      </c>
      <c r="I39" s="374" t="s">
        <v>78</v>
      </c>
      <c r="J39" s="374" t="s">
        <v>134</v>
      </c>
      <c r="K39" s="159" t="s">
        <v>79</v>
      </c>
      <c r="L39" s="46">
        <v>41457</v>
      </c>
      <c r="M39" s="364" t="s">
        <v>104</v>
      </c>
      <c r="N39" s="364" t="s">
        <v>136</v>
      </c>
      <c r="O39" s="588" t="s">
        <v>138</v>
      </c>
      <c r="P39" s="214">
        <v>41517</v>
      </c>
      <c r="Q39" s="364" t="s">
        <v>580</v>
      </c>
      <c r="R39" s="215" t="s">
        <v>55</v>
      </c>
      <c r="S39" s="214">
        <v>42480</v>
      </c>
      <c r="T39" s="364" t="s">
        <v>581</v>
      </c>
      <c r="U39" s="384">
        <f t="shared" si="11"/>
        <v>33</v>
      </c>
      <c r="V39" s="376" t="str">
        <f t="shared" si="6"/>
        <v>Inoportuno</v>
      </c>
      <c r="W39" s="384">
        <f t="shared" si="12"/>
        <v>951</v>
      </c>
      <c r="X39" s="379" t="s">
        <v>338</v>
      </c>
    </row>
    <row r="40" spans="1:24" ht="187.5" customHeight="1" x14ac:dyDescent="0.2">
      <c r="A40" s="368">
        <f t="shared" si="7"/>
        <v>24</v>
      </c>
      <c r="B40" s="364" t="s">
        <v>64</v>
      </c>
      <c r="C40" s="364" t="s">
        <v>214</v>
      </c>
      <c r="D40" s="361" t="s">
        <v>43</v>
      </c>
      <c r="E40" s="372" t="s">
        <v>0</v>
      </c>
      <c r="F40" s="365" t="s">
        <v>58</v>
      </c>
      <c r="G40" s="46">
        <v>41425</v>
      </c>
      <c r="H40" s="592" t="s">
        <v>217</v>
      </c>
      <c r="I40" s="374" t="s">
        <v>78</v>
      </c>
      <c r="J40" s="374" t="s">
        <v>133</v>
      </c>
      <c r="K40" s="159" t="s">
        <v>79</v>
      </c>
      <c r="L40" s="46">
        <v>41457</v>
      </c>
      <c r="M40" s="364" t="s">
        <v>50</v>
      </c>
      <c r="N40" s="364" t="s">
        <v>136</v>
      </c>
      <c r="O40" s="588" t="s">
        <v>603</v>
      </c>
      <c r="P40" s="214">
        <v>42735</v>
      </c>
      <c r="Q40" s="364" t="s">
        <v>604</v>
      </c>
      <c r="R40" s="215" t="s">
        <v>51</v>
      </c>
      <c r="S40" s="214"/>
      <c r="T40" s="364"/>
      <c r="U40" s="384">
        <f t="shared" si="11"/>
        <v>33</v>
      </c>
      <c r="V40" s="376" t="str">
        <f t="shared" si="6"/>
        <v>Inoportuno</v>
      </c>
      <c r="W40" s="384">
        <f t="shared" si="12"/>
        <v>-42119</v>
      </c>
      <c r="X40" s="379" t="s">
        <v>338</v>
      </c>
    </row>
    <row r="41" spans="1:24" ht="147.75" customHeight="1" x14ac:dyDescent="0.2">
      <c r="A41" s="368">
        <f t="shared" si="7"/>
        <v>25</v>
      </c>
      <c r="B41" s="369" t="s">
        <v>64</v>
      </c>
      <c r="C41" s="369" t="s">
        <v>214</v>
      </c>
      <c r="D41" s="361" t="s">
        <v>43</v>
      </c>
      <c r="E41" s="372" t="s">
        <v>0</v>
      </c>
      <c r="F41" s="382" t="s">
        <v>58</v>
      </c>
      <c r="G41" s="183">
        <v>41425</v>
      </c>
      <c r="H41" s="582" t="s">
        <v>218</v>
      </c>
      <c r="I41" s="374" t="s">
        <v>78</v>
      </c>
      <c r="J41" s="374" t="s">
        <v>133</v>
      </c>
      <c r="K41" s="569" t="s">
        <v>79</v>
      </c>
      <c r="L41" s="46">
        <v>41457</v>
      </c>
      <c r="M41" s="364" t="s">
        <v>50</v>
      </c>
      <c r="N41" s="364" t="s">
        <v>139</v>
      </c>
      <c r="O41" s="588" t="s">
        <v>219</v>
      </c>
      <c r="P41" s="214">
        <v>42735</v>
      </c>
      <c r="Q41" s="364" t="s">
        <v>605</v>
      </c>
      <c r="R41" s="215" t="s">
        <v>51</v>
      </c>
      <c r="S41" s="214"/>
      <c r="T41" s="215"/>
      <c r="U41" s="384">
        <f t="shared" si="11"/>
        <v>33</v>
      </c>
      <c r="V41" s="376" t="str">
        <f t="shared" si="6"/>
        <v>Inoportuno</v>
      </c>
      <c r="W41" s="384">
        <f t="shared" si="12"/>
        <v>-42119</v>
      </c>
      <c r="X41" s="379" t="s">
        <v>338</v>
      </c>
    </row>
    <row r="42" spans="1:24" ht="203.25" customHeight="1" x14ac:dyDescent="0.2">
      <c r="A42" s="368" t="e">
        <f>+#REF!+1</f>
        <v>#REF!</v>
      </c>
      <c r="B42" s="372" t="s">
        <v>337</v>
      </c>
      <c r="C42" s="372" t="s">
        <v>30</v>
      </c>
      <c r="D42" s="361" t="s">
        <v>43</v>
      </c>
      <c r="E42" s="372" t="s">
        <v>0</v>
      </c>
      <c r="F42" s="371" t="s">
        <v>107</v>
      </c>
      <c r="G42" s="183">
        <v>41638</v>
      </c>
      <c r="H42" s="591" t="s">
        <v>28</v>
      </c>
      <c r="I42" s="374" t="s">
        <v>78</v>
      </c>
      <c r="J42" s="405" t="s">
        <v>134</v>
      </c>
      <c r="K42" s="569" t="s">
        <v>79</v>
      </c>
      <c r="L42" s="46">
        <v>42551</v>
      </c>
      <c r="M42" s="364" t="s">
        <v>50</v>
      </c>
      <c r="N42" s="364" t="s">
        <v>144</v>
      </c>
      <c r="O42" s="588" t="s">
        <v>746</v>
      </c>
      <c r="P42" s="214">
        <v>42750</v>
      </c>
      <c r="Q42" s="364" t="s">
        <v>747</v>
      </c>
      <c r="R42" s="215" t="s">
        <v>55</v>
      </c>
      <c r="S42" s="214">
        <v>42663</v>
      </c>
      <c r="T42" s="444" t="s">
        <v>748</v>
      </c>
      <c r="U42" s="384">
        <f t="shared" si="11"/>
        <v>901</v>
      </c>
      <c r="V42" s="376" t="str">
        <f t="shared" si="6"/>
        <v>Inoportuno</v>
      </c>
      <c r="W42" s="384">
        <f t="shared" si="12"/>
        <v>-84</v>
      </c>
      <c r="X42" s="379" t="s">
        <v>338</v>
      </c>
    </row>
    <row r="43" spans="1:24" ht="222.75" customHeight="1" x14ac:dyDescent="0.2">
      <c r="A43" s="368" t="e">
        <f t="shared" si="7"/>
        <v>#REF!</v>
      </c>
      <c r="B43" s="372" t="s">
        <v>337</v>
      </c>
      <c r="C43" s="372" t="s">
        <v>30</v>
      </c>
      <c r="D43" s="361" t="s">
        <v>43</v>
      </c>
      <c r="E43" s="372" t="s">
        <v>0</v>
      </c>
      <c r="F43" s="371" t="s">
        <v>107</v>
      </c>
      <c r="G43" s="183">
        <v>41638</v>
      </c>
      <c r="H43" s="591" t="s">
        <v>29</v>
      </c>
      <c r="I43" s="374" t="s">
        <v>78</v>
      </c>
      <c r="J43" s="405" t="s">
        <v>134</v>
      </c>
      <c r="K43" s="569" t="s">
        <v>79</v>
      </c>
      <c r="L43" s="46">
        <v>42537</v>
      </c>
      <c r="M43" s="364" t="s">
        <v>104</v>
      </c>
      <c r="N43" s="364"/>
      <c r="O43" s="588" t="s">
        <v>715</v>
      </c>
      <c r="P43" s="214">
        <v>42537</v>
      </c>
      <c r="Q43" s="364" t="s">
        <v>716</v>
      </c>
      <c r="R43" s="215" t="s">
        <v>55</v>
      </c>
      <c r="S43" s="214">
        <v>42551</v>
      </c>
      <c r="T43" s="222" t="s">
        <v>717</v>
      </c>
      <c r="U43" s="384">
        <f t="shared" si="11"/>
        <v>887</v>
      </c>
      <c r="V43" s="376" t="str">
        <f t="shared" si="6"/>
        <v>Inoportuno</v>
      </c>
      <c r="W43" s="384">
        <f t="shared" si="12"/>
        <v>15</v>
      </c>
      <c r="X43" s="379" t="s">
        <v>338</v>
      </c>
    </row>
    <row r="44" spans="1:24" ht="137.25" customHeight="1" x14ac:dyDescent="0.2">
      <c r="A44" s="368" t="e">
        <f t="shared" si="7"/>
        <v>#REF!</v>
      </c>
      <c r="B44" s="372" t="s">
        <v>337</v>
      </c>
      <c r="C44" s="372" t="s">
        <v>30</v>
      </c>
      <c r="D44" s="361" t="s">
        <v>43</v>
      </c>
      <c r="E44" s="372" t="s">
        <v>0</v>
      </c>
      <c r="F44" s="371" t="s">
        <v>107</v>
      </c>
      <c r="G44" s="183">
        <v>41638</v>
      </c>
      <c r="H44" s="591" t="s">
        <v>27</v>
      </c>
      <c r="I44" s="374" t="s">
        <v>78</v>
      </c>
      <c r="J44" s="405" t="s">
        <v>133</v>
      </c>
      <c r="K44" s="569" t="s">
        <v>79</v>
      </c>
      <c r="L44" s="46">
        <v>42581</v>
      </c>
      <c r="M44" s="364" t="s">
        <v>50</v>
      </c>
      <c r="N44" s="364" t="s">
        <v>144</v>
      </c>
      <c r="O44" s="588" t="s">
        <v>749</v>
      </c>
      <c r="P44" s="214">
        <v>42612</v>
      </c>
      <c r="Q44" s="265" t="s">
        <v>764</v>
      </c>
      <c r="R44" s="215" t="s">
        <v>51</v>
      </c>
      <c r="S44" s="214"/>
      <c r="T44" s="215"/>
      <c r="U44" s="384">
        <f t="shared" si="11"/>
        <v>931</v>
      </c>
      <c r="V44" s="376" t="str">
        <f t="shared" si="6"/>
        <v>Inoportuno</v>
      </c>
      <c r="W44" s="384">
        <f t="shared" si="12"/>
        <v>-41999</v>
      </c>
      <c r="X44" s="379" t="s">
        <v>338</v>
      </c>
    </row>
    <row r="45" spans="1:24" ht="351" customHeight="1" x14ac:dyDescent="0.2">
      <c r="A45" s="459" t="e">
        <f t="shared" si="7"/>
        <v>#REF!</v>
      </c>
      <c r="B45" s="372" t="s">
        <v>337</v>
      </c>
      <c r="C45" s="372" t="s">
        <v>140</v>
      </c>
      <c r="D45" s="370" t="s">
        <v>43</v>
      </c>
      <c r="E45" s="372" t="s">
        <v>0</v>
      </c>
      <c r="F45" s="371" t="s">
        <v>107</v>
      </c>
      <c r="G45" s="183">
        <v>41243</v>
      </c>
      <c r="H45" s="595" t="s">
        <v>5</v>
      </c>
      <c r="I45" s="374" t="s">
        <v>78</v>
      </c>
      <c r="J45" s="374" t="s">
        <v>134</v>
      </c>
      <c r="K45" s="159" t="s">
        <v>79</v>
      </c>
      <c r="L45" s="46">
        <v>41318</v>
      </c>
      <c r="M45" s="364" t="s">
        <v>104</v>
      </c>
      <c r="N45" s="364" t="s">
        <v>144</v>
      </c>
      <c r="O45" s="588" t="s">
        <v>145</v>
      </c>
      <c r="P45" s="214">
        <v>41455</v>
      </c>
      <c r="Q45" s="367" t="s">
        <v>464</v>
      </c>
      <c r="R45" s="215" t="s">
        <v>55</v>
      </c>
      <c r="S45" s="214">
        <v>42381</v>
      </c>
      <c r="T45" s="217" t="s">
        <v>481</v>
      </c>
      <c r="U45" s="384">
        <f t="shared" si="11"/>
        <v>74</v>
      </c>
      <c r="V45" s="376" t="str">
        <f t="shared" si="6"/>
        <v>Inoportuno</v>
      </c>
      <c r="W45" s="384">
        <f t="shared" si="12"/>
        <v>913</v>
      </c>
      <c r="X45" s="379" t="s">
        <v>338</v>
      </c>
    </row>
    <row r="46" spans="1:24" ht="217.5" customHeight="1" x14ac:dyDescent="0.2">
      <c r="A46" s="459" t="e">
        <f t="shared" si="7"/>
        <v>#REF!</v>
      </c>
      <c r="B46" s="372" t="s">
        <v>337</v>
      </c>
      <c r="C46" s="372" t="s">
        <v>140</v>
      </c>
      <c r="D46" s="370" t="s">
        <v>43</v>
      </c>
      <c r="E46" s="372" t="s">
        <v>0</v>
      </c>
      <c r="F46" s="371" t="s">
        <v>107</v>
      </c>
      <c r="G46" s="183">
        <v>41243</v>
      </c>
      <c r="H46" s="595" t="s">
        <v>6</v>
      </c>
      <c r="I46" s="374" t="s">
        <v>78</v>
      </c>
      <c r="J46" s="374" t="s">
        <v>134</v>
      </c>
      <c r="K46" s="159" t="s">
        <v>79</v>
      </c>
      <c r="L46" s="46">
        <v>41318</v>
      </c>
      <c r="M46" s="364" t="s">
        <v>104</v>
      </c>
      <c r="N46" s="364" t="s">
        <v>144</v>
      </c>
      <c r="O46" s="588" t="s">
        <v>220</v>
      </c>
      <c r="P46" s="214">
        <v>41455</v>
      </c>
      <c r="Q46" s="367" t="s">
        <v>482</v>
      </c>
      <c r="R46" s="215" t="s">
        <v>55</v>
      </c>
      <c r="S46" s="214">
        <v>42381</v>
      </c>
      <c r="T46" s="217" t="s">
        <v>483</v>
      </c>
      <c r="U46" s="384">
        <f t="shared" si="11"/>
        <v>74</v>
      </c>
      <c r="V46" s="376" t="str">
        <f t="shared" si="6"/>
        <v>Inoportuno</v>
      </c>
      <c r="W46" s="384">
        <f t="shared" si="12"/>
        <v>913</v>
      </c>
      <c r="X46" s="379" t="s">
        <v>338</v>
      </c>
    </row>
    <row r="47" spans="1:24" ht="237" customHeight="1" x14ac:dyDescent="0.2">
      <c r="A47" s="459" t="e">
        <f t="shared" si="7"/>
        <v>#REF!</v>
      </c>
      <c r="B47" s="372" t="s">
        <v>337</v>
      </c>
      <c r="C47" s="372" t="s">
        <v>140</v>
      </c>
      <c r="D47" s="370" t="s">
        <v>43</v>
      </c>
      <c r="E47" s="372" t="s">
        <v>0</v>
      </c>
      <c r="F47" s="371" t="s">
        <v>107</v>
      </c>
      <c r="G47" s="183">
        <v>41243</v>
      </c>
      <c r="H47" s="595" t="s">
        <v>146</v>
      </c>
      <c r="I47" s="374" t="s">
        <v>78</v>
      </c>
      <c r="J47" s="374" t="s">
        <v>133</v>
      </c>
      <c r="K47" s="159" t="s">
        <v>79</v>
      </c>
      <c r="L47" s="46">
        <v>41318</v>
      </c>
      <c r="M47" s="364" t="s">
        <v>50</v>
      </c>
      <c r="N47" s="364" t="s">
        <v>144</v>
      </c>
      <c r="O47" s="588" t="s">
        <v>763</v>
      </c>
      <c r="P47" s="214">
        <v>42612</v>
      </c>
      <c r="Q47" s="367" t="s">
        <v>765</v>
      </c>
      <c r="R47" s="215" t="s">
        <v>51</v>
      </c>
      <c r="S47" s="214"/>
      <c r="T47" s="215"/>
      <c r="U47" s="384">
        <f t="shared" si="11"/>
        <v>74</v>
      </c>
      <c r="V47" s="376" t="str">
        <f t="shared" si="6"/>
        <v>Inoportuno</v>
      </c>
      <c r="W47" s="384">
        <f t="shared" si="12"/>
        <v>-41999</v>
      </c>
      <c r="X47" s="379" t="s">
        <v>338</v>
      </c>
    </row>
    <row r="48" spans="1:24" ht="140.25" customHeight="1" x14ac:dyDescent="0.2">
      <c r="A48" s="459" t="e">
        <f t="shared" si="7"/>
        <v>#REF!</v>
      </c>
      <c r="B48" s="372" t="s">
        <v>62</v>
      </c>
      <c r="C48" s="372" t="s">
        <v>221</v>
      </c>
      <c r="D48" s="370" t="s">
        <v>46</v>
      </c>
      <c r="E48" s="372" t="s">
        <v>205</v>
      </c>
      <c r="F48" s="371" t="s">
        <v>58</v>
      </c>
      <c r="G48" s="183">
        <v>41697</v>
      </c>
      <c r="H48" s="595" t="s">
        <v>149</v>
      </c>
      <c r="I48" s="374" t="s">
        <v>78</v>
      </c>
      <c r="J48" s="374" t="s">
        <v>133</v>
      </c>
      <c r="K48" s="159" t="s">
        <v>79</v>
      </c>
      <c r="L48" s="46">
        <v>41726</v>
      </c>
      <c r="M48" s="364" t="s">
        <v>50</v>
      </c>
      <c r="N48" s="364" t="s">
        <v>150</v>
      </c>
      <c r="O48" s="588" t="s">
        <v>222</v>
      </c>
      <c r="P48" s="46">
        <v>42004</v>
      </c>
      <c r="Q48" s="364" t="s">
        <v>484</v>
      </c>
      <c r="R48" s="368" t="s">
        <v>51</v>
      </c>
      <c r="S48" s="46"/>
      <c r="T48" s="368"/>
      <c r="U48" s="384">
        <f t="shared" si="11"/>
        <v>32</v>
      </c>
      <c r="V48" s="376" t="str">
        <f t="shared" si="6"/>
        <v>Inoportuno</v>
      </c>
      <c r="W48" s="384">
        <f t="shared" si="12"/>
        <v>-41399</v>
      </c>
      <c r="X48" s="379" t="s">
        <v>338</v>
      </c>
    </row>
    <row r="49" spans="1:24" ht="258.75" customHeight="1" x14ac:dyDescent="0.2">
      <c r="A49" s="637" t="e">
        <f>+A48+1</f>
        <v>#REF!</v>
      </c>
      <c r="B49" s="639" t="s">
        <v>49</v>
      </c>
      <c r="C49" s="639" t="s">
        <v>157</v>
      </c>
      <c r="D49" s="646" t="s">
        <v>46</v>
      </c>
      <c r="E49" s="639" t="s">
        <v>205</v>
      </c>
      <c r="F49" s="676" t="s">
        <v>59</v>
      </c>
      <c r="G49" s="642">
        <v>41684</v>
      </c>
      <c r="H49" s="649" t="s">
        <v>180</v>
      </c>
      <c r="I49" s="663" t="s">
        <v>78</v>
      </c>
      <c r="J49" s="663" t="s">
        <v>134</v>
      </c>
      <c r="K49" s="651" t="s">
        <v>79</v>
      </c>
      <c r="L49" s="642">
        <v>41753</v>
      </c>
      <c r="M49" s="364" t="s">
        <v>50</v>
      </c>
      <c r="N49" s="364" t="s">
        <v>115</v>
      </c>
      <c r="O49" s="588" t="s">
        <v>181</v>
      </c>
      <c r="P49" s="46">
        <v>42063</v>
      </c>
      <c r="Q49" s="364" t="s">
        <v>692</v>
      </c>
      <c r="R49" s="368" t="s">
        <v>55</v>
      </c>
      <c r="S49" s="46">
        <v>42509</v>
      </c>
      <c r="T49" s="364" t="s">
        <v>693</v>
      </c>
      <c r="U49" s="580">
        <f t="shared" si="11"/>
        <v>71</v>
      </c>
      <c r="V49" s="376" t="str">
        <f t="shared" si="6"/>
        <v>Inoportuno</v>
      </c>
      <c r="W49" s="384">
        <f t="shared" si="12"/>
        <v>440</v>
      </c>
      <c r="X49" s="699" t="s">
        <v>338</v>
      </c>
    </row>
    <row r="50" spans="1:24" ht="45" customHeight="1" x14ac:dyDescent="0.2">
      <c r="A50" s="645"/>
      <c r="B50" s="641"/>
      <c r="C50" s="641"/>
      <c r="D50" s="647"/>
      <c r="E50" s="641"/>
      <c r="F50" s="677"/>
      <c r="G50" s="643"/>
      <c r="H50" s="662"/>
      <c r="I50" s="663"/>
      <c r="J50" s="663"/>
      <c r="K50" s="703"/>
      <c r="L50" s="643"/>
      <c r="M50" s="364" t="s">
        <v>50</v>
      </c>
      <c r="N50" s="364" t="s">
        <v>115</v>
      </c>
      <c r="O50" s="588" t="s">
        <v>223</v>
      </c>
      <c r="P50" s="46">
        <v>42063</v>
      </c>
      <c r="Q50" s="364" t="s">
        <v>694</v>
      </c>
      <c r="R50" s="368" t="s">
        <v>55</v>
      </c>
      <c r="S50" s="46">
        <v>42509</v>
      </c>
      <c r="T50" s="576" t="s">
        <v>693</v>
      </c>
      <c r="U50" s="384">
        <f t="shared" si="11"/>
        <v>1</v>
      </c>
      <c r="V50" s="376" t="str">
        <f t="shared" si="6"/>
        <v>Oportuno</v>
      </c>
      <c r="W50" s="384">
        <f t="shared" si="12"/>
        <v>440</v>
      </c>
      <c r="X50" s="699" t="s">
        <v>338</v>
      </c>
    </row>
    <row r="51" spans="1:24" ht="189.75" customHeight="1" x14ac:dyDescent="0.2">
      <c r="A51" s="645"/>
      <c r="B51" s="641"/>
      <c r="C51" s="641"/>
      <c r="D51" s="647"/>
      <c r="E51" s="641"/>
      <c r="F51" s="677"/>
      <c r="G51" s="643"/>
      <c r="H51" s="662"/>
      <c r="I51" s="663"/>
      <c r="J51" s="663"/>
      <c r="K51" s="703"/>
      <c r="L51" s="643"/>
      <c r="M51" s="364" t="s">
        <v>50</v>
      </c>
      <c r="N51" s="364" t="s">
        <v>115</v>
      </c>
      <c r="O51" s="588" t="s">
        <v>182</v>
      </c>
      <c r="P51" s="46">
        <v>41805</v>
      </c>
      <c r="Q51" s="364" t="s">
        <v>695</v>
      </c>
      <c r="R51" s="368" t="s">
        <v>55</v>
      </c>
      <c r="S51" s="46">
        <v>42509</v>
      </c>
      <c r="T51" s="368" t="s">
        <v>983</v>
      </c>
      <c r="U51" s="384">
        <f t="shared" si="11"/>
        <v>1</v>
      </c>
      <c r="V51" s="376" t="str">
        <f t="shared" si="6"/>
        <v>Oportuno</v>
      </c>
      <c r="W51" s="384">
        <f t="shared" si="12"/>
        <v>695</v>
      </c>
      <c r="X51" s="699" t="s">
        <v>338</v>
      </c>
    </row>
    <row r="52" spans="1:24" ht="267.75" customHeight="1" x14ac:dyDescent="0.2">
      <c r="A52" s="638"/>
      <c r="B52" s="640"/>
      <c r="C52" s="640"/>
      <c r="D52" s="648"/>
      <c r="E52" s="640"/>
      <c r="F52" s="678"/>
      <c r="G52" s="644"/>
      <c r="H52" s="650"/>
      <c r="I52" s="663"/>
      <c r="J52" s="663"/>
      <c r="K52" s="652"/>
      <c r="L52" s="644"/>
      <c r="M52" s="364" t="s">
        <v>50</v>
      </c>
      <c r="N52" s="364" t="s">
        <v>115</v>
      </c>
      <c r="O52" s="588" t="s">
        <v>183</v>
      </c>
      <c r="P52" s="46">
        <v>41789</v>
      </c>
      <c r="Q52" s="364" t="s">
        <v>908</v>
      </c>
      <c r="R52" s="368" t="s">
        <v>55</v>
      </c>
      <c r="S52" s="46">
        <v>42733</v>
      </c>
      <c r="T52" s="502" t="s">
        <v>909</v>
      </c>
      <c r="U52" s="384">
        <f>DAYS360(G49,L49,0)+1</f>
        <v>71</v>
      </c>
      <c r="V52" s="376" t="str">
        <f t="shared" si="6"/>
        <v>Inoportuno</v>
      </c>
      <c r="W52" s="384">
        <f t="shared" si="12"/>
        <v>930</v>
      </c>
      <c r="X52" s="699" t="s">
        <v>338</v>
      </c>
    </row>
    <row r="53" spans="1:24" ht="236.25" customHeight="1" x14ac:dyDescent="0.2">
      <c r="A53" s="637">
        <v>35</v>
      </c>
      <c r="B53" s="639" t="s">
        <v>65</v>
      </c>
      <c r="C53" s="639" t="s">
        <v>158</v>
      </c>
      <c r="D53" s="646" t="s">
        <v>46</v>
      </c>
      <c r="E53" s="639" t="s">
        <v>205</v>
      </c>
      <c r="F53" s="676" t="s">
        <v>59</v>
      </c>
      <c r="G53" s="642">
        <v>41704</v>
      </c>
      <c r="H53" s="639" t="s">
        <v>165</v>
      </c>
      <c r="I53" s="663" t="s">
        <v>78</v>
      </c>
      <c r="J53" s="663" t="s">
        <v>134</v>
      </c>
      <c r="K53" s="651" t="s">
        <v>79</v>
      </c>
      <c r="L53" s="642">
        <v>41737</v>
      </c>
      <c r="M53" s="364" t="s">
        <v>104</v>
      </c>
      <c r="N53" s="364" t="s">
        <v>59</v>
      </c>
      <c r="O53" s="588" t="s">
        <v>224</v>
      </c>
      <c r="P53" s="46">
        <v>42078</v>
      </c>
      <c r="Q53" s="364" t="s">
        <v>630</v>
      </c>
      <c r="R53" s="368" t="s">
        <v>55</v>
      </c>
      <c r="S53" s="46"/>
      <c r="T53" s="364" t="s">
        <v>631</v>
      </c>
      <c r="U53" s="580">
        <f>DAYS360(G50,L50,0)+1</f>
        <v>1</v>
      </c>
      <c r="V53" s="376" t="str">
        <f t="shared" si="6"/>
        <v>Oportuno</v>
      </c>
      <c r="W53" s="384">
        <f t="shared" si="12"/>
        <v>-41474</v>
      </c>
      <c r="X53" s="699" t="s">
        <v>338</v>
      </c>
    </row>
    <row r="54" spans="1:24" ht="408.75" customHeight="1" x14ac:dyDescent="0.2">
      <c r="A54" s="638"/>
      <c r="B54" s="640"/>
      <c r="C54" s="640"/>
      <c r="D54" s="647"/>
      <c r="E54" s="641"/>
      <c r="F54" s="678"/>
      <c r="G54" s="644"/>
      <c r="H54" s="640"/>
      <c r="I54" s="663"/>
      <c r="J54" s="663"/>
      <c r="K54" s="703"/>
      <c r="L54" s="644"/>
      <c r="M54" s="364" t="s">
        <v>50</v>
      </c>
      <c r="N54" s="364" t="s">
        <v>59</v>
      </c>
      <c r="O54" s="588" t="s">
        <v>166</v>
      </c>
      <c r="P54" s="46">
        <v>42078</v>
      </c>
      <c r="Q54" s="365" t="s">
        <v>632</v>
      </c>
      <c r="R54" s="368" t="s">
        <v>55</v>
      </c>
      <c r="S54" s="46">
        <v>42467</v>
      </c>
      <c r="T54" s="364" t="s">
        <v>631</v>
      </c>
      <c r="U54" s="384">
        <f>DAYS360(G53,L53,0)+1</f>
        <v>33</v>
      </c>
      <c r="V54" s="376" t="str">
        <f t="shared" si="6"/>
        <v>Inoportuno</v>
      </c>
      <c r="W54" s="384">
        <f t="shared" si="12"/>
        <v>383</v>
      </c>
      <c r="X54" s="699" t="s">
        <v>338</v>
      </c>
    </row>
    <row r="55" spans="1:24" ht="165" customHeight="1" x14ac:dyDescent="0.2">
      <c r="A55" s="637">
        <v>36</v>
      </c>
      <c r="B55" s="639" t="s">
        <v>63</v>
      </c>
      <c r="C55" s="639" t="s">
        <v>225</v>
      </c>
      <c r="D55" s="646" t="s">
        <v>46</v>
      </c>
      <c r="E55" s="639" t="s">
        <v>205</v>
      </c>
      <c r="F55" s="676" t="s">
        <v>59</v>
      </c>
      <c r="G55" s="642">
        <v>41714</v>
      </c>
      <c r="H55" s="639" t="s">
        <v>152</v>
      </c>
      <c r="I55" s="653" t="s">
        <v>78</v>
      </c>
      <c r="J55" s="653" t="s">
        <v>133</v>
      </c>
      <c r="K55" s="637" t="s">
        <v>79</v>
      </c>
      <c r="L55" s="642">
        <v>41726</v>
      </c>
      <c r="M55" s="364" t="s">
        <v>50</v>
      </c>
      <c r="N55" s="364" t="s">
        <v>150</v>
      </c>
      <c r="O55" s="588" t="s">
        <v>153</v>
      </c>
      <c r="P55" s="46">
        <v>42004</v>
      </c>
      <c r="Q55" s="364" t="s">
        <v>485</v>
      </c>
      <c r="R55" s="368" t="s">
        <v>51</v>
      </c>
      <c r="S55" s="46"/>
      <c r="T55" s="368"/>
      <c r="U55" s="580">
        <f>DAYS360(G54,L54,0)+1</f>
        <v>1</v>
      </c>
      <c r="V55" s="376" t="str">
        <f t="shared" si="6"/>
        <v>Oportuno</v>
      </c>
      <c r="W55" s="384">
        <f t="shared" si="12"/>
        <v>-41399</v>
      </c>
      <c r="X55" s="699" t="s">
        <v>338</v>
      </c>
    </row>
    <row r="56" spans="1:24" ht="166.5" customHeight="1" x14ac:dyDescent="0.2">
      <c r="A56" s="645"/>
      <c r="B56" s="641"/>
      <c r="C56" s="641"/>
      <c r="D56" s="647"/>
      <c r="E56" s="641"/>
      <c r="F56" s="677"/>
      <c r="G56" s="643"/>
      <c r="H56" s="641"/>
      <c r="I56" s="655"/>
      <c r="J56" s="655"/>
      <c r="K56" s="645"/>
      <c r="L56" s="643"/>
      <c r="M56" s="364" t="s">
        <v>50</v>
      </c>
      <c r="N56" s="364" t="s">
        <v>150</v>
      </c>
      <c r="O56" s="588" t="s">
        <v>154</v>
      </c>
      <c r="P56" s="46">
        <v>42004</v>
      </c>
      <c r="Q56" s="364" t="s">
        <v>486</v>
      </c>
      <c r="R56" s="368" t="s">
        <v>51</v>
      </c>
      <c r="S56" s="46"/>
      <c r="T56" s="368"/>
      <c r="U56" s="384">
        <f t="shared" si="11"/>
        <v>1</v>
      </c>
      <c r="V56" s="376" t="str">
        <f t="shared" si="6"/>
        <v>Oportuno</v>
      </c>
      <c r="W56" s="384">
        <f t="shared" si="12"/>
        <v>-41399</v>
      </c>
      <c r="X56" s="699" t="s">
        <v>338</v>
      </c>
    </row>
    <row r="57" spans="1:24" ht="89.25" customHeight="1" x14ac:dyDescent="0.2">
      <c r="A57" s="645"/>
      <c r="B57" s="641"/>
      <c r="C57" s="641"/>
      <c r="D57" s="647"/>
      <c r="E57" s="641"/>
      <c r="F57" s="677"/>
      <c r="G57" s="643"/>
      <c r="H57" s="641"/>
      <c r="I57" s="655"/>
      <c r="J57" s="655"/>
      <c r="K57" s="645"/>
      <c r="L57" s="643"/>
      <c r="M57" s="364" t="s">
        <v>50</v>
      </c>
      <c r="N57" s="364" t="s">
        <v>150</v>
      </c>
      <c r="O57" s="588" t="s">
        <v>155</v>
      </c>
      <c r="P57" s="46">
        <v>42004</v>
      </c>
      <c r="Q57" s="364" t="s">
        <v>426</v>
      </c>
      <c r="R57" s="368" t="s">
        <v>51</v>
      </c>
      <c r="S57" s="46"/>
      <c r="T57" s="368"/>
      <c r="U57" s="384">
        <f t="shared" si="11"/>
        <v>1</v>
      </c>
      <c r="V57" s="376" t="str">
        <f t="shared" si="6"/>
        <v>Oportuno</v>
      </c>
      <c r="W57" s="384">
        <f t="shared" si="12"/>
        <v>-41399</v>
      </c>
      <c r="X57" s="699" t="s">
        <v>338</v>
      </c>
    </row>
    <row r="58" spans="1:24" ht="63.75" customHeight="1" x14ac:dyDescent="0.2">
      <c r="A58" s="638"/>
      <c r="B58" s="640"/>
      <c r="C58" s="640"/>
      <c r="D58" s="648"/>
      <c r="E58" s="640"/>
      <c r="F58" s="678"/>
      <c r="G58" s="644"/>
      <c r="H58" s="640"/>
      <c r="I58" s="654"/>
      <c r="J58" s="654"/>
      <c r="K58" s="638"/>
      <c r="L58" s="644"/>
      <c r="M58" s="364" t="s">
        <v>50</v>
      </c>
      <c r="N58" s="364" t="s">
        <v>150</v>
      </c>
      <c r="O58" s="588" t="s">
        <v>226</v>
      </c>
      <c r="P58" s="46">
        <v>42004</v>
      </c>
      <c r="Q58" s="364"/>
      <c r="R58" s="368" t="s">
        <v>51</v>
      </c>
      <c r="S58" s="46"/>
      <c r="T58" s="368"/>
      <c r="U58" s="384">
        <f>DAYS360(G55,L55,0)+1</f>
        <v>13</v>
      </c>
      <c r="V58" s="376" t="str">
        <f t="shared" si="6"/>
        <v>Inoportuno</v>
      </c>
      <c r="W58" s="384">
        <f t="shared" si="12"/>
        <v>-41399</v>
      </c>
      <c r="X58" s="699" t="s">
        <v>338</v>
      </c>
    </row>
    <row r="59" spans="1:24" ht="168.75" customHeight="1" x14ac:dyDescent="0.2">
      <c r="A59" s="637">
        <v>37</v>
      </c>
      <c r="B59" s="639" t="s">
        <v>337</v>
      </c>
      <c r="C59" s="729" t="s">
        <v>184</v>
      </c>
      <c r="D59" s="646" t="s">
        <v>184</v>
      </c>
      <c r="E59" s="639" t="s">
        <v>0</v>
      </c>
      <c r="F59" s="676" t="s">
        <v>107</v>
      </c>
      <c r="G59" s="726">
        <v>41901</v>
      </c>
      <c r="H59" s="672" t="s">
        <v>233</v>
      </c>
      <c r="I59" s="663" t="s">
        <v>78</v>
      </c>
      <c r="J59" s="663" t="s">
        <v>134</v>
      </c>
      <c r="K59" s="651" t="s">
        <v>79</v>
      </c>
      <c r="L59" s="642">
        <v>41933</v>
      </c>
      <c r="M59" s="364" t="s">
        <v>104</v>
      </c>
      <c r="N59" s="364" t="s">
        <v>144</v>
      </c>
      <c r="O59" s="588" t="s">
        <v>753</v>
      </c>
      <c r="P59" s="214">
        <v>42612</v>
      </c>
      <c r="Q59" s="364" t="s">
        <v>754</v>
      </c>
      <c r="R59" s="215" t="s">
        <v>51</v>
      </c>
      <c r="S59" s="214">
        <v>42381</v>
      </c>
      <c r="T59" s="217" t="s">
        <v>755</v>
      </c>
      <c r="U59" s="580">
        <f>DAYS360(G56,L56,0)+1</f>
        <v>1</v>
      </c>
      <c r="V59" s="376" t="str">
        <f t="shared" si="6"/>
        <v>Oportuno</v>
      </c>
      <c r="W59" s="384">
        <f>DAYS360(P59,S59,0)+1</f>
        <v>-227</v>
      </c>
      <c r="X59" s="699" t="s">
        <v>338</v>
      </c>
    </row>
    <row r="60" spans="1:24" ht="117.75" customHeight="1" x14ac:dyDescent="0.2">
      <c r="A60" s="645"/>
      <c r="B60" s="641"/>
      <c r="C60" s="673"/>
      <c r="D60" s="647"/>
      <c r="E60" s="641"/>
      <c r="F60" s="677"/>
      <c r="G60" s="727"/>
      <c r="H60" s="673"/>
      <c r="I60" s="663"/>
      <c r="J60" s="663"/>
      <c r="K60" s="703"/>
      <c r="L60" s="643"/>
      <c r="M60" s="364" t="s">
        <v>50</v>
      </c>
      <c r="N60" s="364" t="s">
        <v>249</v>
      </c>
      <c r="O60" s="588" t="s">
        <v>250</v>
      </c>
      <c r="P60" s="214">
        <v>42216</v>
      </c>
      <c r="Q60" s="364" t="s">
        <v>465</v>
      </c>
      <c r="R60" s="215" t="s">
        <v>55</v>
      </c>
      <c r="S60" s="214">
        <v>42381</v>
      </c>
      <c r="T60" s="217" t="s">
        <v>466</v>
      </c>
      <c r="U60" s="384">
        <f t="shared" ref="U60:U64" si="16">DAYS360(G60,L60,0)+1</f>
        <v>1</v>
      </c>
      <c r="V60" s="376" t="str">
        <f t="shared" si="6"/>
        <v>Oportuno</v>
      </c>
      <c r="W60" s="384">
        <f t="shared" ref="W60:W63" si="17">DAYS360(P60,S60,0)+1</f>
        <v>163</v>
      </c>
      <c r="X60" s="699" t="s">
        <v>338</v>
      </c>
    </row>
    <row r="61" spans="1:24" ht="84.75" customHeight="1" x14ac:dyDescent="0.2">
      <c r="A61" s="645"/>
      <c r="B61" s="641"/>
      <c r="C61" s="673"/>
      <c r="D61" s="647"/>
      <c r="E61" s="641"/>
      <c r="F61" s="677"/>
      <c r="G61" s="727"/>
      <c r="H61" s="673"/>
      <c r="I61" s="663"/>
      <c r="J61" s="663"/>
      <c r="K61" s="703"/>
      <c r="L61" s="643"/>
      <c r="M61" s="364" t="s">
        <v>104</v>
      </c>
      <c r="N61" s="217" t="s">
        <v>235</v>
      </c>
      <c r="O61" s="588" t="s">
        <v>234</v>
      </c>
      <c r="P61" s="214">
        <v>42004</v>
      </c>
      <c r="Q61" s="364" t="s">
        <v>467</v>
      </c>
      <c r="R61" s="215" t="s">
        <v>55</v>
      </c>
      <c r="S61" s="214">
        <v>42381</v>
      </c>
      <c r="T61" s="217" t="s">
        <v>466</v>
      </c>
      <c r="U61" s="384">
        <f t="shared" si="16"/>
        <v>1</v>
      </c>
      <c r="V61" s="376" t="str">
        <f t="shared" si="6"/>
        <v>Oportuno</v>
      </c>
      <c r="W61" s="384">
        <f t="shared" si="17"/>
        <v>373</v>
      </c>
      <c r="X61" s="699" t="s">
        <v>338</v>
      </c>
    </row>
    <row r="62" spans="1:24" ht="201" customHeight="1" x14ac:dyDescent="0.2">
      <c r="A62" s="645"/>
      <c r="B62" s="641"/>
      <c r="C62" s="673"/>
      <c r="D62" s="647"/>
      <c r="E62" s="641"/>
      <c r="F62" s="677"/>
      <c r="G62" s="727"/>
      <c r="H62" s="673"/>
      <c r="I62" s="663"/>
      <c r="J62" s="663"/>
      <c r="K62" s="703"/>
      <c r="L62" s="643"/>
      <c r="M62" s="364" t="s">
        <v>104</v>
      </c>
      <c r="N62" s="217" t="s">
        <v>235</v>
      </c>
      <c r="O62" s="588" t="s">
        <v>302</v>
      </c>
      <c r="P62" s="214">
        <v>42004</v>
      </c>
      <c r="Q62" s="365" t="s">
        <v>718</v>
      </c>
      <c r="R62" s="215" t="s">
        <v>55</v>
      </c>
      <c r="S62" s="214">
        <v>42537</v>
      </c>
      <c r="T62" s="576" t="s">
        <v>984</v>
      </c>
      <c r="U62" s="384">
        <f t="shared" si="16"/>
        <v>1</v>
      </c>
      <c r="V62" s="376" t="str">
        <f t="shared" ref="V62:V84" si="18">IF(U62&gt;7,"Inoportuno",(IF(U62&lt;0,"No ha formulado PM","Oportuno")))</f>
        <v>Oportuno</v>
      </c>
      <c r="W62" s="384">
        <f t="shared" si="17"/>
        <v>527</v>
      </c>
      <c r="X62" s="699" t="s">
        <v>338</v>
      </c>
    </row>
    <row r="63" spans="1:24" ht="193.5" customHeight="1" x14ac:dyDescent="0.2">
      <c r="A63" s="638"/>
      <c r="B63" s="640"/>
      <c r="C63" s="674"/>
      <c r="D63" s="648"/>
      <c r="E63" s="640"/>
      <c r="F63" s="678"/>
      <c r="G63" s="728"/>
      <c r="H63" s="674"/>
      <c r="I63" s="663"/>
      <c r="J63" s="663"/>
      <c r="K63" s="652"/>
      <c r="L63" s="644"/>
      <c r="M63" s="364" t="s">
        <v>50</v>
      </c>
      <c r="N63" s="217" t="s">
        <v>235</v>
      </c>
      <c r="O63" s="588" t="s">
        <v>750</v>
      </c>
      <c r="P63" s="214">
        <v>42612</v>
      </c>
      <c r="Q63" s="445" t="s">
        <v>751</v>
      </c>
      <c r="R63" s="215" t="s">
        <v>55</v>
      </c>
      <c r="S63" s="214"/>
      <c r="T63" s="217" t="s">
        <v>487</v>
      </c>
      <c r="U63" s="384">
        <f>DAYS360(G59,L59,0)+1</f>
        <v>33</v>
      </c>
      <c r="V63" s="376" t="str">
        <f t="shared" si="18"/>
        <v>Inoportuno</v>
      </c>
      <c r="W63" s="384">
        <f t="shared" si="17"/>
        <v>-41999</v>
      </c>
      <c r="X63" s="699" t="s">
        <v>338</v>
      </c>
    </row>
    <row r="64" spans="1:24" ht="293.25" customHeight="1" x14ac:dyDescent="0.2">
      <c r="A64" s="368">
        <v>38</v>
      </c>
      <c r="B64" s="364" t="s">
        <v>10</v>
      </c>
      <c r="C64" s="364" t="s">
        <v>190</v>
      </c>
      <c r="D64" s="361" t="s">
        <v>43</v>
      </c>
      <c r="E64" s="363" t="s">
        <v>0</v>
      </c>
      <c r="F64" s="365" t="s">
        <v>59</v>
      </c>
      <c r="G64" s="46">
        <v>41778</v>
      </c>
      <c r="H64" s="422" t="s">
        <v>251</v>
      </c>
      <c r="I64" s="366" t="s">
        <v>78</v>
      </c>
      <c r="J64" s="366" t="s">
        <v>134</v>
      </c>
      <c r="K64" s="564" t="s">
        <v>79</v>
      </c>
      <c r="L64" s="46">
        <v>41816</v>
      </c>
      <c r="M64" s="364" t="s">
        <v>50</v>
      </c>
      <c r="N64" s="364" t="s">
        <v>252</v>
      </c>
      <c r="O64" s="588" t="s">
        <v>253</v>
      </c>
      <c r="P64" s="46">
        <v>41881</v>
      </c>
      <c r="Q64" s="364" t="s">
        <v>725</v>
      </c>
      <c r="R64" s="368" t="s">
        <v>55</v>
      </c>
      <c r="S64" s="46">
        <v>42820</v>
      </c>
      <c r="T64" s="607" t="s">
        <v>995</v>
      </c>
      <c r="U64" s="384">
        <f t="shared" si="16"/>
        <v>38</v>
      </c>
      <c r="V64" s="376" t="str">
        <f t="shared" si="18"/>
        <v>Inoportuno</v>
      </c>
      <c r="W64" s="384">
        <f t="shared" ref="W64" si="19">DAYS360(P64,S64,0)+1</f>
        <v>927</v>
      </c>
      <c r="X64" s="379" t="s">
        <v>338</v>
      </c>
    </row>
    <row r="65" spans="1:24" ht="409.5" customHeight="1" x14ac:dyDescent="0.2">
      <c r="A65" s="368">
        <f t="shared" si="7"/>
        <v>39</v>
      </c>
      <c r="B65" s="364" t="s">
        <v>49</v>
      </c>
      <c r="C65" s="364" t="s">
        <v>192</v>
      </c>
      <c r="D65" s="362" t="s">
        <v>46</v>
      </c>
      <c r="E65" s="372" t="s">
        <v>205</v>
      </c>
      <c r="F65" s="365" t="s">
        <v>59</v>
      </c>
      <c r="G65" s="46">
        <v>41848</v>
      </c>
      <c r="H65" s="422" t="s">
        <v>254</v>
      </c>
      <c r="I65" s="374" t="s">
        <v>78</v>
      </c>
      <c r="J65" s="374" t="s">
        <v>134</v>
      </c>
      <c r="K65" s="159" t="s">
        <v>79</v>
      </c>
      <c r="L65" s="46">
        <v>41964</v>
      </c>
      <c r="M65" s="364" t="s">
        <v>104</v>
      </c>
      <c r="N65" s="364" t="s">
        <v>363</v>
      </c>
      <c r="O65" s="588" t="s">
        <v>885</v>
      </c>
      <c r="P65" s="46">
        <v>41942</v>
      </c>
      <c r="Q65" s="364" t="s">
        <v>488</v>
      </c>
      <c r="R65" s="368" t="s">
        <v>55</v>
      </c>
      <c r="S65" s="46"/>
      <c r="T65" s="500" t="s">
        <v>884</v>
      </c>
      <c r="U65" s="384">
        <f t="shared" ref="U65:U77" si="20">DAYS360(G65,L65,0)+1</f>
        <v>114</v>
      </c>
      <c r="V65" s="376" t="str">
        <f t="shared" si="18"/>
        <v>Inoportuno</v>
      </c>
      <c r="W65" s="384">
        <f t="shared" ref="W65:W79" si="21">DAYS360(P65,S65,0)+1</f>
        <v>-41339</v>
      </c>
      <c r="X65" s="379" t="s">
        <v>338</v>
      </c>
    </row>
    <row r="66" spans="1:24" ht="129" customHeight="1" x14ac:dyDescent="0.2">
      <c r="A66" s="368">
        <f t="shared" si="7"/>
        <v>40</v>
      </c>
      <c r="B66" s="364" t="s">
        <v>49</v>
      </c>
      <c r="C66" s="364" t="s">
        <v>192</v>
      </c>
      <c r="D66" s="362" t="s">
        <v>46</v>
      </c>
      <c r="E66" s="372" t="s">
        <v>205</v>
      </c>
      <c r="F66" s="365" t="s">
        <v>59</v>
      </c>
      <c r="G66" s="46">
        <v>41848</v>
      </c>
      <c r="H66" s="422" t="s">
        <v>193</v>
      </c>
      <c r="I66" s="374" t="s">
        <v>78</v>
      </c>
      <c r="J66" s="200" t="s">
        <v>134</v>
      </c>
      <c r="K66" s="159" t="s">
        <v>79</v>
      </c>
      <c r="L66" s="46">
        <v>41964</v>
      </c>
      <c r="M66" s="364" t="s">
        <v>104</v>
      </c>
      <c r="N66" s="364" t="s">
        <v>364</v>
      </c>
      <c r="O66" s="588" t="s">
        <v>886</v>
      </c>
      <c r="P66" s="46">
        <v>41912</v>
      </c>
      <c r="Q66" s="364" t="s">
        <v>696</v>
      </c>
      <c r="R66" s="368" t="s">
        <v>55</v>
      </c>
      <c r="S66" s="46">
        <v>42733</v>
      </c>
      <c r="T66" s="500" t="s">
        <v>887</v>
      </c>
      <c r="U66" s="384">
        <f t="shared" si="20"/>
        <v>114</v>
      </c>
      <c r="V66" s="376" t="str">
        <f t="shared" si="18"/>
        <v>Inoportuno</v>
      </c>
      <c r="W66" s="384">
        <f t="shared" si="21"/>
        <v>810</v>
      </c>
      <c r="X66" s="379" t="s">
        <v>338</v>
      </c>
    </row>
    <row r="67" spans="1:24" ht="236.25" customHeight="1" x14ac:dyDescent="0.2">
      <c r="A67" s="637">
        <v>41</v>
      </c>
      <c r="B67" s="639" t="s">
        <v>49</v>
      </c>
      <c r="C67" s="639" t="s">
        <v>192</v>
      </c>
      <c r="D67" s="646" t="s">
        <v>46</v>
      </c>
      <c r="E67" s="639" t="s">
        <v>205</v>
      </c>
      <c r="F67" s="676" t="s">
        <v>59</v>
      </c>
      <c r="G67" s="642">
        <v>41848</v>
      </c>
      <c r="H67" s="639" t="s">
        <v>194</v>
      </c>
      <c r="I67" s="663" t="s">
        <v>78</v>
      </c>
      <c r="J67" s="663" t="s">
        <v>134</v>
      </c>
      <c r="K67" s="651" t="s">
        <v>79</v>
      </c>
      <c r="L67" s="642">
        <v>41964</v>
      </c>
      <c r="M67" s="364" t="s">
        <v>104</v>
      </c>
      <c r="N67" s="196" t="s">
        <v>236</v>
      </c>
      <c r="O67" s="588" t="s">
        <v>237</v>
      </c>
      <c r="P67" s="46">
        <v>42063</v>
      </c>
      <c r="Q67" s="364" t="s">
        <v>697</v>
      </c>
      <c r="R67" s="368" t="s">
        <v>55</v>
      </c>
      <c r="S67" s="46">
        <v>42509</v>
      </c>
      <c r="T67" s="364" t="s">
        <v>971</v>
      </c>
      <c r="U67" s="580">
        <f t="shared" si="20"/>
        <v>114</v>
      </c>
      <c r="V67" s="376" t="str">
        <f t="shared" si="18"/>
        <v>Inoportuno</v>
      </c>
      <c r="W67" s="384">
        <f t="shared" si="21"/>
        <v>440</v>
      </c>
      <c r="X67" s="699" t="s">
        <v>338</v>
      </c>
    </row>
    <row r="68" spans="1:24" ht="215.25" customHeight="1" x14ac:dyDescent="0.2">
      <c r="A68" s="638"/>
      <c r="B68" s="640"/>
      <c r="C68" s="640"/>
      <c r="D68" s="648"/>
      <c r="E68" s="640"/>
      <c r="F68" s="678"/>
      <c r="G68" s="644"/>
      <c r="H68" s="640"/>
      <c r="I68" s="663"/>
      <c r="J68" s="663"/>
      <c r="K68" s="652"/>
      <c r="L68" s="644"/>
      <c r="M68" s="364" t="s">
        <v>50</v>
      </c>
      <c r="N68" s="196" t="s">
        <v>236</v>
      </c>
      <c r="O68" s="588" t="s">
        <v>255</v>
      </c>
      <c r="P68" s="46">
        <v>42063</v>
      </c>
      <c r="Q68" s="423" t="s">
        <v>698</v>
      </c>
      <c r="R68" s="358" t="s">
        <v>55</v>
      </c>
      <c r="S68" s="359">
        <v>42531</v>
      </c>
      <c r="T68" s="368"/>
      <c r="U68" s="384">
        <f>DAYS360(G67,L67,0)+1</f>
        <v>114</v>
      </c>
      <c r="V68" s="376" t="str">
        <f t="shared" si="18"/>
        <v>Inoportuno</v>
      </c>
      <c r="W68" s="384">
        <f t="shared" si="21"/>
        <v>461</v>
      </c>
      <c r="X68" s="699" t="s">
        <v>338</v>
      </c>
    </row>
    <row r="69" spans="1:24" ht="357" customHeight="1" x14ac:dyDescent="0.2">
      <c r="A69" s="637">
        <v>42</v>
      </c>
      <c r="B69" s="639" t="s">
        <v>49</v>
      </c>
      <c r="C69" s="639" t="s">
        <v>192</v>
      </c>
      <c r="D69" s="646" t="s">
        <v>46</v>
      </c>
      <c r="E69" s="639" t="s">
        <v>205</v>
      </c>
      <c r="F69" s="676" t="s">
        <v>59</v>
      </c>
      <c r="G69" s="642">
        <v>41848</v>
      </c>
      <c r="H69" s="639" t="s">
        <v>195</v>
      </c>
      <c r="I69" s="663" t="s">
        <v>78</v>
      </c>
      <c r="J69" s="663" t="s">
        <v>134</v>
      </c>
      <c r="K69" s="651" t="s">
        <v>79</v>
      </c>
      <c r="L69" s="642">
        <v>41964</v>
      </c>
      <c r="M69" s="364" t="s">
        <v>104</v>
      </c>
      <c r="N69" s="364" t="s">
        <v>236</v>
      </c>
      <c r="O69" s="588" t="s">
        <v>888</v>
      </c>
      <c r="P69" s="46">
        <v>42063</v>
      </c>
      <c r="Q69" s="424" t="s">
        <v>699</v>
      </c>
      <c r="R69" s="368" t="s">
        <v>55</v>
      </c>
      <c r="S69" s="46">
        <v>42733</v>
      </c>
      <c r="T69" s="500" t="s">
        <v>889</v>
      </c>
      <c r="U69" s="580">
        <f>DAYS360(G68,L68,0)+1</f>
        <v>1</v>
      </c>
      <c r="V69" s="376" t="str">
        <f t="shared" si="18"/>
        <v>Oportuno</v>
      </c>
      <c r="W69" s="384">
        <f t="shared" si="21"/>
        <v>660</v>
      </c>
      <c r="X69" s="699" t="s">
        <v>338</v>
      </c>
    </row>
    <row r="70" spans="1:24" ht="357" customHeight="1" x14ac:dyDescent="0.2">
      <c r="A70" s="638"/>
      <c r="B70" s="640"/>
      <c r="C70" s="640"/>
      <c r="D70" s="648"/>
      <c r="E70" s="640"/>
      <c r="F70" s="678"/>
      <c r="G70" s="644"/>
      <c r="H70" s="640"/>
      <c r="I70" s="663"/>
      <c r="J70" s="663"/>
      <c r="K70" s="652"/>
      <c r="L70" s="644"/>
      <c r="M70" s="364" t="s">
        <v>50</v>
      </c>
      <c r="N70" s="364" t="s">
        <v>236</v>
      </c>
      <c r="O70" s="588" t="s">
        <v>255</v>
      </c>
      <c r="P70" s="46">
        <v>42063</v>
      </c>
      <c r="Q70" s="423" t="s">
        <v>700</v>
      </c>
      <c r="R70" s="368" t="s">
        <v>55</v>
      </c>
      <c r="S70" s="46">
        <v>42733</v>
      </c>
      <c r="T70" s="500" t="s">
        <v>890</v>
      </c>
      <c r="U70" s="384">
        <f>DAYS360(G69,L69,0)+1</f>
        <v>114</v>
      </c>
      <c r="V70" s="376" t="str">
        <f t="shared" si="18"/>
        <v>Inoportuno</v>
      </c>
      <c r="W70" s="384">
        <f t="shared" si="21"/>
        <v>660</v>
      </c>
      <c r="X70" s="699" t="s">
        <v>338</v>
      </c>
    </row>
    <row r="71" spans="1:24" ht="408" x14ac:dyDescent="0.2">
      <c r="A71" s="368">
        <v>43</v>
      </c>
      <c r="B71" s="364" t="s">
        <v>49</v>
      </c>
      <c r="C71" s="364" t="s">
        <v>192</v>
      </c>
      <c r="D71" s="362" t="s">
        <v>46</v>
      </c>
      <c r="E71" s="372" t="s">
        <v>205</v>
      </c>
      <c r="F71" s="365" t="s">
        <v>59</v>
      </c>
      <c r="G71" s="46">
        <v>41848</v>
      </c>
      <c r="H71" s="422" t="s">
        <v>196</v>
      </c>
      <c r="I71" s="374" t="s">
        <v>78</v>
      </c>
      <c r="J71" s="374" t="s">
        <v>134</v>
      </c>
      <c r="K71" s="159" t="s">
        <v>79</v>
      </c>
      <c r="L71" s="46">
        <v>41964</v>
      </c>
      <c r="M71" s="364" t="s">
        <v>50</v>
      </c>
      <c r="N71" s="196" t="s">
        <v>238</v>
      </c>
      <c r="O71" s="588" t="s">
        <v>891</v>
      </c>
      <c r="P71" s="46">
        <v>42124</v>
      </c>
      <c r="Q71" s="423" t="s">
        <v>700</v>
      </c>
      <c r="R71" s="368" t="s">
        <v>55</v>
      </c>
      <c r="S71" s="46"/>
      <c r="T71" s="500" t="s">
        <v>892</v>
      </c>
      <c r="U71" s="384">
        <f t="shared" si="20"/>
        <v>114</v>
      </c>
      <c r="V71" s="376" t="str">
        <f t="shared" si="18"/>
        <v>Inoportuno</v>
      </c>
      <c r="W71" s="384">
        <f t="shared" si="21"/>
        <v>-41519</v>
      </c>
      <c r="X71" s="379" t="s">
        <v>338</v>
      </c>
    </row>
    <row r="72" spans="1:24" ht="319.5" customHeight="1" x14ac:dyDescent="0.2">
      <c r="A72" s="368">
        <f t="shared" ref="A72:A116" si="22">+A71+1</f>
        <v>44</v>
      </c>
      <c r="B72" s="364" t="s">
        <v>49</v>
      </c>
      <c r="C72" s="364" t="s">
        <v>192</v>
      </c>
      <c r="D72" s="362" t="s">
        <v>46</v>
      </c>
      <c r="E72" s="372" t="s">
        <v>205</v>
      </c>
      <c r="F72" s="365" t="s">
        <v>59</v>
      </c>
      <c r="G72" s="46">
        <v>41848</v>
      </c>
      <c r="H72" s="422" t="s">
        <v>197</v>
      </c>
      <c r="I72" s="374" t="s">
        <v>78</v>
      </c>
      <c r="J72" s="374" t="s">
        <v>134</v>
      </c>
      <c r="K72" s="159" t="s">
        <v>79</v>
      </c>
      <c r="L72" s="46">
        <v>41964</v>
      </c>
      <c r="M72" s="364" t="s">
        <v>50</v>
      </c>
      <c r="N72" s="196" t="s">
        <v>240</v>
      </c>
      <c r="O72" s="588" t="s">
        <v>239</v>
      </c>
      <c r="P72" s="46">
        <v>42004</v>
      </c>
      <c r="Q72" s="364"/>
      <c r="R72" s="368" t="s">
        <v>55</v>
      </c>
      <c r="S72" s="46">
        <v>42733</v>
      </c>
      <c r="T72" s="500" t="s">
        <v>893</v>
      </c>
      <c r="U72" s="384">
        <f t="shared" si="20"/>
        <v>114</v>
      </c>
      <c r="V72" s="376" t="str">
        <f t="shared" si="18"/>
        <v>Inoportuno</v>
      </c>
      <c r="W72" s="384">
        <f t="shared" si="21"/>
        <v>720</v>
      </c>
      <c r="X72" s="379" t="s">
        <v>338</v>
      </c>
    </row>
    <row r="73" spans="1:24" ht="55.5" customHeight="1" x14ac:dyDescent="0.2">
      <c r="A73" s="637">
        <v>45</v>
      </c>
      <c r="B73" s="639" t="s">
        <v>49</v>
      </c>
      <c r="C73" s="639" t="s">
        <v>192</v>
      </c>
      <c r="D73" s="646" t="s">
        <v>46</v>
      </c>
      <c r="E73" s="639" t="s">
        <v>205</v>
      </c>
      <c r="F73" s="676" t="s">
        <v>59</v>
      </c>
      <c r="G73" s="642">
        <v>41848</v>
      </c>
      <c r="H73" s="639" t="s">
        <v>198</v>
      </c>
      <c r="I73" s="663" t="s">
        <v>78</v>
      </c>
      <c r="J73" s="663" t="s">
        <v>134</v>
      </c>
      <c r="K73" s="651" t="s">
        <v>79</v>
      </c>
      <c r="L73" s="642">
        <v>41964</v>
      </c>
      <c r="M73" s="364" t="s">
        <v>104</v>
      </c>
      <c r="N73" s="364" t="s">
        <v>236</v>
      </c>
      <c r="O73" s="588" t="s">
        <v>894</v>
      </c>
      <c r="P73" s="192">
        <v>41942</v>
      </c>
      <c r="Q73" s="364"/>
      <c r="R73" s="368" t="s">
        <v>55</v>
      </c>
      <c r="S73" s="642">
        <v>42733</v>
      </c>
      <c r="T73" s="639" t="s">
        <v>972</v>
      </c>
      <c r="U73" s="580">
        <f t="shared" si="20"/>
        <v>114</v>
      </c>
      <c r="V73" s="376" t="str">
        <f t="shared" si="18"/>
        <v>Inoportuno</v>
      </c>
      <c r="W73" s="384">
        <f t="shared" si="21"/>
        <v>780</v>
      </c>
      <c r="X73" s="699" t="s">
        <v>338</v>
      </c>
    </row>
    <row r="74" spans="1:24" ht="389.25" customHeight="1" x14ac:dyDescent="0.2">
      <c r="A74" s="638"/>
      <c r="B74" s="640"/>
      <c r="C74" s="640"/>
      <c r="D74" s="648"/>
      <c r="E74" s="640"/>
      <c r="F74" s="678"/>
      <c r="G74" s="644"/>
      <c r="H74" s="640"/>
      <c r="I74" s="663"/>
      <c r="J74" s="663"/>
      <c r="K74" s="652"/>
      <c r="L74" s="644"/>
      <c r="M74" s="364" t="s">
        <v>50</v>
      </c>
      <c r="N74" s="364" t="s">
        <v>236</v>
      </c>
      <c r="O74" s="588" t="s">
        <v>895</v>
      </c>
      <c r="P74" s="192">
        <v>42124</v>
      </c>
      <c r="Q74" s="364"/>
      <c r="R74" s="368" t="s">
        <v>55</v>
      </c>
      <c r="S74" s="644"/>
      <c r="T74" s="638"/>
      <c r="U74" s="384">
        <f>DAYS360(G73,L73,0)+1</f>
        <v>114</v>
      </c>
      <c r="V74" s="376" t="str">
        <f t="shared" si="18"/>
        <v>Inoportuno</v>
      </c>
      <c r="W74" s="384">
        <f t="shared" ref="W74" si="23">DAYS360(P74,S74,0)+1</f>
        <v>-41519</v>
      </c>
      <c r="X74" s="699" t="s">
        <v>338</v>
      </c>
    </row>
    <row r="75" spans="1:24" ht="198" customHeight="1" x14ac:dyDescent="0.2">
      <c r="A75" s="637">
        <v>46</v>
      </c>
      <c r="B75" s="639" t="s">
        <v>61</v>
      </c>
      <c r="C75" s="639" t="s">
        <v>207</v>
      </c>
      <c r="D75" s="646" t="s">
        <v>43</v>
      </c>
      <c r="E75" s="639" t="s">
        <v>0</v>
      </c>
      <c r="F75" s="676" t="s">
        <v>58</v>
      </c>
      <c r="G75" s="642">
        <v>41880</v>
      </c>
      <c r="H75" s="639" t="s">
        <v>208</v>
      </c>
      <c r="I75" s="653" t="s">
        <v>78</v>
      </c>
      <c r="J75" s="653" t="s">
        <v>133</v>
      </c>
      <c r="K75" s="637" t="s">
        <v>79</v>
      </c>
      <c r="L75" s="642">
        <v>41921</v>
      </c>
      <c r="M75" s="364" t="s">
        <v>50</v>
      </c>
      <c r="N75" s="364" t="s">
        <v>229</v>
      </c>
      <c r="O75" s="588" t="s">
        <v>256</v>
      </c>
      <c r="P75" s="46">
        <v>41973</v>
      </c>
      <c r="Q75" s="364" t="s">
        <v>489</v>
      </c>
      <c r="R75" s="368" t="s">
        <v>51</v>
      </c>
      <c r="S75" s="46"/>
      <c r="T75" s="368"/>
      <c r="U75" s="580">
        <f>DAYS360(G74,L74,0)+1</f>
        <v>1</v>
      </c>
      <c r="V75" s="376" t="str">
        <f t="shared" ref="V75" si="24">IF(U75&gt;7,"Inoportuno",(IF(U75&lt;0,"No ha formulado PM","Oportuno")))</f>
        <v>Oportuno</v>
      </c>
      <c r="W75" s="384">
        <f t="shared" si="21"/>
        <v>-41369</v>
      </c>
      <c r="X75" s="699" t="s">
        <v>338</v>
      </c>
    </row>
    <row r="76" spans="1:24" ht="186" customHeight="1" x14ac:dyDescent="0.2">
      <c r="A76" s="638"/>
      <c r="B76" s="640"/>
      <c r="C76" s="640"/>
      <c r="D76" s="648"/>
      <c r="E76" s="640"/>
      <c r="F76" s="678"/>
      <c r="G76" s="644"/>
      <c r="H76" s="640"/>
      <c r="I76" s="654"/>
      <c r="J76" s="654"/>
      <c r="K76" s="638"/>
      <c r="L76" s="644"/>
      <c r="M76" s="364" t="s">
        <v>50</v>
      </c>
      <c r="N76" s="364" t="s">
        <v>227</v>
      </c>
      <c r="O76" s="588" t="s">
        <v>228</v>
      </c>
      <c r="P76" s="46">
        <v>42369</v>
      </c>
      <c r="Q76" s="364" t="s">
        <v>490</v>
      </c>
      <c r="R76" s="368" t="s">
        <v>51</v>
      </c>
      <c r="S76" s="46"/>
      <c r="T76" s="368"/>
      <c r="U76" s="384">
        <f>DAYS360(G75,L75,0)+1</f>
        <v>41</v>
      </c>
      <c r="V76" s="376" t="str">
        <f t="shared" ref="V76" si="25">IF(U76&gt;7,"Inoportuno",(IF(U76&lt;0,"No ha formulado PM","Oportuno")))</f>
        <v>Inoportuno</v>
      </c>
      <c r="W76" s="384">
        <f t="shared" ref="W76" si="26">DAYS360(P76,S76,0)+1</f>
        <v>-41759</v>
      </c>
      <c r="X76" s="699" t="s">
        <v>338</v>
      </c>
    </row>
    <row r="77" spans="1:24" ht="141.75" customHeight="1" x14ac:dyDescent="0.2">
      <c r="A77" s="368">
        <f>+A75+1</f>
        <v>47</v>
      </c>
      <c r="B77" s="372" t="s">
        <v>335</v>
      </c>
      <c r="C77" s="364" t="s">
        <v>209</v>
      </c>
      <c r="D77" s="362" t="s">
        <v>43</v>
      </c>
      <c r="E77" s="372" t="s">
        <v>0</v>
      </c>
      <c r="F77" s="365" t="s">
        <v>107</v>
      </c>
      <c r="G77" s="46">
        <v>41908</v>
      </c>
      <c r="H77" s="422" t="s">
        <v>210</v>
      </c>
      <c r="I77" s="374" t="s">
        <v>78</v>
      </c>
      <c r="J77" s="374" t="s">
        <v>134</v>
      </c>
      <c r="K77" s="159" t="s">
        <v>79</v>
      </c>
      <c r="L77" s="46">
        <v>41942</v>
      </c>
      <c r="M77" s="364" t="s">
        <v>50</v>
      </c>
      <c r="N77" s="217" t="s">
        <v>230</v>
      </c>
      <c r="O77" s="588" t="s">
        <v>257</v>
      </c>
      <c r="P77" s="214">
        <v>41988</v>
      </c>
      <c r="Q77" s="364" t="s">
        <v>582</v>
      </c>
      <c r="R77" s="215" t="s">
        <v>55</v>
      </c>
      <c r="S77" s="214">
        <v>42480</v>
      </c>
      <c r="T77" s="217" t="s">
        <v>583</v>
      </c>
      <c r="U77" s="384">
        <f t="shared" si="20"/>
        <v>35</v>
      </c>
      <c r="V77" s="376" t="str">
        <f t="shared" si="18"/>
        <v>Inoportuno</v>
      </c>
      <c r="W77" s="384">
        <f t="shared" si="21"/>
        <v>486</v>
      </c>
      <c r="X77" s="379" t="s">
        <v>338</v>
      </c>
    </row>
    <row r="78" spans="1:24" ht="144" customHeight="1" x14ac:dyDescent="0.2">
      <c r="A78" s="368">
        <f t="shared" si="22"/>
        <v>48</v>
      </c>
      <c r="B78" s="372" t="s">
        <v>335</v>
      </c>
      <c r="C78" s="364" t="s">
        <v>209</v>
      </c>
      <c r="D78" s="362" t="s">
        <v>43</v>
      </c>
      <c r="E78" s="372" t="s">
        <v>0</v>
      </c>
      <c r="F78" s="365" t="s">
        <v>107</v>
      </c>
      <c r="G78" s="46">
        <v>41908</v>
      </c>
      <c r="H78" s="422" t="s">
        <v>405</v>
      </c>
      <c r="I78" s="374" t="s">
        <v>78</v>
      </c>
      <c r="J78" s="374" t="s">
        <v>134</v>
      </c>
      <c r="K78" s="159" t="s">
        <v>79</v>
      </c>
      <c r="L78" s="46">
        <v>41942</v>
      </c>
      <c r="M78" s="364" t="s">
        <v>50</v>
      </c>
      <c r="N78" s="217" t="s">
        <v>230</v>
      </c>
      <c r="O78" s="588" t="s">
        <v>258</v>
      </c>
      <c r="P78" s="214">
        <v>41958</v>
      </c>
      <c r="Q78" s="364" t="s">
        <v>584</v>
      </c>
      <c r="R78" s="215" t="s">
        <v>55</v>
      </c>
      <c r="S78" s="214">
        <v>42480</v>
      </c>
      <c r="T78" s="217" t="s">
        <v>585</v>
      </c>
      <c r="U78" s="384">
        <f t="shared" ref="U78:U79" si="27">DAYS360(G78,L78,0)+1</f>
        <v>35</v>
      </c>
      <c r="V78" s="376" t="str">
        <f t="shared" si="18"/>
        <v>Inoportuno</v>
      </c>
      <c r="W78" s="384">
        <f t="shared" ref="W78" si="28">DAYS360(P78,S78,0)+1</f>
        <v>516</v>
      </c>
      <c r="X78" s="379" t="s">
        <v>338</v>
      </c>
    </row>
    <row r="79" spans="1:24" ht="248.25" customHeight="1" x14ac:dyDescent="0.2">
      <c r="A79" s="637">
        <v>49</v>
      </c>
      <c r="B79" s="639" t="s">
        <v>335</v>
      </c>
      <c r="C79" s="639" t="s">
        <v>209</v>
      </c>
      <c r="D79" s="646" t="s">
        <v>43</v>
      </c>
      <c r="E79" s="639" t="s">
        <v>0</v>
      </c>
      <c r="F79" s="676" t="s">
        <v>58</v>
      </c>
      <c r="G79" s="642">
        <v>42480</v>
      </c>
      <c r="H79" s="659" t="s">
        <v>339</v>
      </c>
      <c r="I79" s="653" t="s">
        <v>78</v>
      </c>
      <c r="J79" s="653" t="s">
        <v>133</v>
      </c>
      <c r="K79" s="637" t="s">
        <v>79</v>
      </c>
      <c r="L79" s="46">
        <v>42142</v>
      </c>
      <c r="M79" s="364" t="s">
        <v>50</v>
      </c>
      <c r="N79" s="217" t="s">
        <v>136</v>
      </c>
      <c r="O79" s="588" t="s">
        <v>607</v>
      </c>
      <c r="P79" s="216">
        <v>42531</v>
      </c>
      <c r="Q79" s="364" t="s">
        <v>606</v>
      </c>
      <c r="R79" s="215" t="s">
        <v>51</v>
      </c>
      <c r="S79" s="214"/>
      <c r="T79" s="215"/>
      <c r="U79" s="580">
        <f t="shared" si="27"/>
        <v>-331</v>
      </c>
      <c r="V79" s="376" t="s">
        <v>988</v>
      </c>
      <c r="W79" s="384">
        <f t="shared" si="21"/>
        <v>-41919</v>
      </c>
      <c r="X79" s="379" t="s">
        <v>338</v>
      </c>
    </row>
    <row r="80" spans="1:24" ht="248.25" customHeight="1" x14ac:dyDescent="0.2">
      <c r="A80" s="638"/>
      <c r="B80" s="640"/>
      <c r="C80" s="640"/>
      <c r="D80" s="648"/>
      <c r="E80" s="640"/>
      <c r="F80" s="678"/>
      <c r="G80" s="644"/>
      <c r="H80" s="661"/>
      <c r="I80" s="654"/>
      <c r="J80" s="654"/>
      <c r="K80" s="638"/>
      <c r="L80" s="46">
        <v>42508</v>
      </c>
      <c r="M80" s="364" t="s">
        <v>50</v>
      </c>
      <c r="N80" s="217" t="s">
        <v>136</v>
      </c>
      <c r="O80" s="588" t="s">
        <v>828</v>
      </c>
      <c r="P80" s="216">
        <v>42531</v>
      </c>
      <c r="Q80" s="468" t="s">
        <v>830</v>
      </c>
      <c r="R80" s="215" t="s">
        <v>55</v>
      </c>
      <c r="S80" s="214">
        <v>42706</v>
      </c>
      <c r="T80" s="215"/>
      <c r="U80" s="384">
        <f>DAYS360(G79,L80,0)+1</f>
        <v>29</v>
      </c>
      <c r="V80" s="376" t="str">
        <f t="shared" ref="V80" si="29">IF(U80&gt;7,"Inoportuno",(IF(U80&lt;0,"No ha formulado PM","Oportuno")))</f>
        <v>Inoportuno</v>
      </c>
      <c r="W80" s="384">
        <f t="shared" ref="W80" si="30">DAYS360(P80,S80,0)+1</f>
        <v>173</v>
      </c>
      <c r="X80" s="379" t="s">
        <v>338</v>
      </c>
    </row>
    <row r="81" spans="1:24" ht="234" customHeight="1" x14ac:dyDescent="0.2">
      <c r="A81" s="368">
        <f>+A79+1</f>
        <v>50</v>
      </c>
      <c r="B81" s="372" t="s">
        <v>335</v>
      </c>
      <c r="C81" s="364" t="s">
        <v>209</v>
      </c>
      <c r="D81" s="362" t="s">
        <v>43</v>
      </c>
      <c r="E81" s="372" t="s">
        <v>0</v>
      </c>
      <c r="F81" s="365" t="s">
        <v>107</v>
      </c>
      <c r="G81" s="46">
        <v>41908</v>
      </c>
      <c r="H81" s="422" t="s">
        <v>259</v>
      </c>
      <c r="I81" s="374" t="s">
        <v>78</v>
      </c>
      <c r="J81" s="374" t="s">
        <v>134</v>
      </c>
      <c r="K81" s="159" t="s">
        <v>79</v>
      </c>
      <c r="L81" s="46">
        <v>41942</v>
      </c>
      <c r="M81" s="364" t="s">
        <v>50</v>
      </c>
      <c r="N81" s="217" t="s">
        <v>232</v>
      </c>
      <c r="O81" s="588" t="s">
        <v>231</v>
      </c>
      <c r="P81" s="214">
        <v>42003</v>
      </c>
      <c r="Q81" s="364" t="s">
        <v>586</v>
      </c>
      <c r="R81" s="215" t="s">
        <v>55</v>
      </c>
      <c r="S81" s="214">
        <v>42472</v>
      </c>
      <c r="T81" s="364" t="s">
        <v>587</v>
      </c>
      <c r="U81" s="384">
        <f t="shared" ref="U81" si="31">DAYS360(G81,L81,0)+1</f>
        <v>35</v>
      </c>
      <c r="V81" s="376" t="str">
        <f t="shared" si="18"/>
        <v>Inoportuno</v>
      </c>
      <c r="W81" s="384">
        <f t="shared" ref="W81" si="32">DAYS360(P81,S81,0)+1</f>
        <v>463</v>
      </c>
      <c r="X81" s="379" t="s">
        <v>338</v>
      </c>
    </row>
    <row r="82" spans="1:24" ht="281.25" customHeight="1" x14ac:dyDescent="0.2">
      <c r="A82" s="472">
        <f>+A81+1</f>
        <v>51</v>
      </c>
      <c r="B82" s="364" t="s">
        <v>63</v>
      </c>
      <c r="C82" s="364" t="s">
        <v>211</v>
      </c>
      <c r="D82" s="361" t="s">
        <v>43</v>
      </c>
      <c r="E82" s="363" t="s">
        <v>0</v>
      </c>
      <c r="F82" s="365" t="s">
        <v>59</v>
      </c>
      <c r="G82" s="46">
        <v>41878</v>
      </c>
      <c r="H82" s="596" t="s">
        <v>212</v>
      </c>
      <c r="I82" s="366" t="s">
        <v>78</v>
      </c>
      <c r="J82" s="366" t="s">
        <v>133</v>
      </c>
      <c r="K82" s="564" t="s">
        <v>79</v>
      </c>
      <c r="L82" s="46">
        <v>42130</v>
      </c>
      <c r="M82" s="364" t="s">
        <v>104</v>
      </c>
      <c r="N82" s="364" t="s">
        <v>150</v>
      </c>
      <c r="O82" s="588" t="s">
        <v>314</v>
      </c>
      <c r="P82" s="46">
        <v>42369</v>
      </c>
      <c r="Q82" s="610" t="s">
        <v>896</v>
      </c>
      <c r="R82" s="368" t="s">
        <v>51</v>
      </c>
      <c r="S82" s="46"/>
      <c r="T82" s="368"/>
      <c r="U82" s="384">
        <f t="shared" ref="U82" si="33">DAYS360(G82,L82,0)+1</f>
        <v>250</v>
      </c>
      <c r="V82" s="376" t="str">
        <f t="shared" ref="V82" si="34">IF(U82&gt;7,"Inoportuno",(IF(U82&lt;0,"No ha formulado PM","Oportuno")))</f>
        <v>Inoportuno</v>
      </c>
      <c r="W82" s="384">
        <f t="shared" ref="W82" si="35">DAYS360(P82,S82,0)+1</f>
        <v>-41759</v>
      </c>
      <c r="X82" s="378" t="s">
        <v>338</v>
      </c>
    </row>
    <row r="83" spans="1:24" ht="244.5" customHeight="1" x14ac:dyDescent="0.2">
      <c r="A83" s="472">
        <f>+A82+1</f>
        <v>52</v>
      </c>
      <c r="B83" s="364" t="s">
        <v>49</v>
      </c>
      <c r="C83" s="364" t="s">
        <v>265</v>
      </c>
      <c r="D83" s="361" t="s">
        <v>43</v>
      </c>
      <c r="E83" s="363" t="s">
        <v>205</v>
      </c>
      <c r="F83" s="365" t="s">
        <v>59</v>
      </c>
      <c r="G83" s="46">
        <v>41969</v>
      </c>
      <c r="H83" s="592" t="s">
        <v>264</v>
      </c>
      <c r="I83" s="366" t="s">
        <v>78</v>
      </c>
      <c r="J83" s="366" t="s">
        <v>134</v>
      </c>
      <c r="K83" s="564" t="s">
        <v>79</v>
      </c>
      <c r="L83" s="46">
        <v>42228</v>
      </c>
      <c r="M83" s="364" t="s">
        <v>54</v>
      </c>
      <c r="N83" s="364" t="s">
        <v>340</v>
      </c>
      <c r="O83" s="588" t="s">
        <v>391</v>
      </c>
      <c r="P83" s="46">
        <v>42369</v>
      </c>
      <c r="Q83" s="364" t="s">
        <v>701</v>
      </c>
      <c r="R83" s="368" t="s">
        <v>55</v>
      </c>
      <c r="S83" s="46">
        <v>42733</v>
      </c>
      <c r="T83" s="500" t="s">
        <v>897</v>
      </c>
      <c r="U83" s="384">
        <f t="shared" ref="U83:U84" si="36">DAYS360(G83,L83,0)+1</f>
        <v>257</v>
      </c>
      <c r="V83" s="376" t="str">
        <f t="shared" ref="V83" si="37">IF(U83&gt;7,"Inoportuno",(IF(U83&lt;0,"No ha formulado PM","Oportuno")))</f>
        <v>Inoportuno</v>
      </c>
      <c r="W83" s="384">
        <f t="shared" ref="W83" si="38">DAYS360(P83,S83,0)+1</f>
        <v>360</v>
      </c>
      <c r="X83" s="379" t="s">
        <v>338</v>
      </c>
    </row>
    <row r="84" spans="1:24" ht="384" customHeight="1" x14ac:dyDescent="0.2">
      <c r="A84" s="637">
        <v>53</v>
      </c>
      <c r="B84" s="639" t="s">
        <v>49</v>
      </c>
      <c r="C84" s="639" t="s">
        <v>265</v>
      </c>
      <c r="D84" s="646" t="s">
        <v>43</v>
      </c>
      <c r="E84" s="639" t="s">
        <v>205</v>
      </c>
      <c r="F84" s="676" t="s">
        <v>59</v>
      </c>
      <c r="G84" s="642">
        <v>41969</v>
      </c>
      <c r="H84" s="659" t="s">
        <v>491</v>
      </c>
      <c r="I84" s="653" t="s">
        <v>78</v>
      </c>
      <c r="J84" s="653" t="s">
        <v>134</v>
      </c>
      <c r="K84" s="637" t="s">
        <v>79</v>
      </c>
      <c r="L84" s="642">
        <v>42228</v>
      </c>
      <c r="M84" s="364" t="s">
        <v>104</v>
      </c>
      <c r="N84" s="364" t="s">
        <v>351</v>
      </c>
      <c r="O84" s="588" t="s">
        <v>392</v>
      </c>
      <c r="P84" s="46">
        <v>42277</v>
      </c>
      <c r="Q84" s="367" t="s">
        <v>702</v>
      </c>
      <c r="R84" s="358" t="s">
        <v>55</v>
      </c>
      <c r="S84" s="359">
        <v>42531</v>
      </c>
      <c r="T84" s="368" t="s">
        <v>973</v>
      </c>
      <c r="U84" s="580">
        <f t="shared" si="36"/>
        <v>257</v>
      </c>
      <c r="V84" s="376" t="str">
        <f t="shared" si="18"/>
        <v>Inoportuno</v>
      </c>
      <c r="W84" s="384">
        <f t="shared" ref="W84:W115" si="39">DAYS360(P84,S84,0)+1</f>
        <v>251</v>
      </c>
      <c r="X84" s="379" t="s">
        <v>338</v>
      </c>
    </row>
    <row r="85" spans="1:24" ht="285.75" customHeight="1" x14ac:dyDescent="0.2">
      <c r="A85" s="638"/>
      <c r="B85" s="640"/>
      <c r="C85" s="640"/>
      <c r="D85" s="648"/>
      <c r="E85" s="640"/>
      <c r="F85" s="678"/>
      <c r="G85" s="644"/>
      <c r="H85" s="661"/>
      <c r="I85" s="654"/>
      <c r="J85" s="654"/>
      <c r="K85" s="638"/>
      <c r="L85" s="644"/>
      <c r="M85" s="364" t="s">
        <v>54</v>
      </c>
      <c r="N85" s="364" t="s">
        <v>351</v>
      </c>
      <c r="O85" s="588" t="s">
        <v>352</v>
      </c>
      <c r="P85" s="46">
        <v>42277</v>
      </c>
      <c r="Q85" s="364" t="s">
        <v>703</v>
      </c>
      <c r="R85" s="358" t="s">
        <v>55</v>
      </c>
      <c r="S85" s="359">
        <v>42509</v>
      </c>
      <c r="T85" s="360" t="s">
        <v>704</v>
      </c>
      <c r="U85" s="384">
        <f>DAYS360(G84,L84,0)+1</f>
        <v>257</v>
      </c>
      <c r="V85" s="376" t="str">
        <f t="shared" ref="V85:V89" si="40">IF(U85&gt;7,"Inoportuno",(IF(U85&lt;0,"No ha formulado PM","Oportuno")))</f>
        <v>Inoportuno</v>
      </c>
      <c r="W85" s="384">
        <f t="shared" ref="W85:W89" si="41">DAYS360(P85,S85,0)+1</f>
        <v>230</v>
      </c>
      <c r="X85" s="379" t="s">
        <v>338</v>
      </c>
    </row>
    <row r="86" spans="1:24" ht="356.25" customHeight="1" x14ac:dyDescent="0.2">
      <c r="A86" s="368">
        <v>54</v>
      </c>
      <c r="B86" s="364" t="s">
        <v>49</v>
      </c>
      <c r="C86" s="364" t="s">
        <v>265</v>
      </c>
      <c r="D86" s="646" t="s">
        <v>43</v>
      </c>
      <c r="E86" s="639" t="s">
        <v>205</v>
      </c>
      <c r="F86" s="365" t="s">
        <v>59</v>
      </c>
      <c r="G86" s="577">
        <v>41969</v>
      </c>
      <c r="H86" s="592" t="s">
        <v>395</v>
      </c>
      <c r="I86" s="653" t="s">
        <v>78</v>
      </c>
      <c r="J86" s="653" t="s">
        <v>134</v>
      </c>
      <c r="K86" s="637" t="s">
        <v>79</v>
      </c>
      <c r="L86" s="46">
        <v>42228</v>
      </c>
      <c r="M86" s="364" t="s">
        <v>104</v>
      </c>
      <c r="N86" s="364" t="s">
        <v>342</v>
      </c>
      <c r="O86" s="588" t="s">
        <v>343</v>
      </c>
      <c r="P86" s="229">
        <v>42369</v>
      </c>
      <c r="Q86" s="364" t="s">
        <v>705</v>
      </c>
      <c r="R86" s="368" t="s">
        <v>55</v>
      </c>
      <c r="S86" s="46">
        <v>42541</v>
      </c>
      <c r="T86" s="364" t="s">
        <v>706</v>
      </c>
      <c r="U86" s="580">
        <f>DAYS360(G85,L85,0)+1</f>
        <v>1</v>
      </c>
      <c r="V86" s="376" t="str">
        <f t="shared" ref="V86:V88" si="42">IF(U86&gt;7,"Inoportuno",(IF(U86&lt;0,"No ha formulado PM","Oportuno")))</f>
        <v>Oportuno</v>
      </c>
      <c r="W86" s="384">
        <f t="shared" ref="W86:W88" si="43">DAYS360(P86,S86,0)+1</f>
        <v>171</v>
      </c>
      <c r="X86" s="379" t="s">
        <v>338</v>
      </c>
    </row>
    <row r="87" spans="1:24" ht="356.25" customHeight="1" x14ac:dyDescent="0.2">
      <c r="A87" s="637">
        <v>55</v>
      </c>
      <c r="B87" s="639" t="s">
        <v>49</v>
      </c>
      <c r="C87" s="639" t="s">
        <v>265</v>
      </c>
      <c r="D87" s="647"/>
      <c r="E87" s="641"/>
      <c r="F87" s="365" t="s">
        <v>59</v>
      </c>
      <c r="G87" s="606">
        <v>42116</v>
      </c>
      <c r="H87" s="659" t="s">
        <v>347</v>
      </c>
      <c r="I87" s="655"/>
      <c r="J87" s="655"/>
      <c r="K87" s="645"/>
      <c r="L87" s="542">
        <v>42228</v>
      </c>
      <c r="M87" s="364" t="s">
        <v>50</v>
      </c>
      <c r="N87" s="364" t="s">
        <v>342</v>
      </c>
      <c r="O87" s="588" t="s">
        <v>344</v>
      </c>
      <c r="P87" s="46">
        <v>42369</v>
      </c>
      <c r="Q87" s="364" t="s">
        <v>707</v>
      </c>
      <c r="R87" s="368" t="s">
        <v>55</v>
      </c>
      <c r="S87" s="46">
        <v>42541</v>
      </c>
      <c r="T87" s="368"/>
      <c r="U87" s="580">
        <f>DAYS360(G86,L86,0)+1</f>
        <v>257</v>
      </c>
      <c r="V87" s="376" t="str">
        <f t="shared" si="42"/>
        <v>Inoportuno</v>
      </c>
      <c r="W87" s="384">
        <f t="shared" si="43"/>
        <v>171</v>
      </c>
      <c r="X87" s="379" t="s">
        <v>338</v>
      </c>
    </row>
    <row r="88" spans="1:24" ht="356.25" customHeight="1" x14ac:dyDescent="0.2">
      <c r="A88" s="638"/>
      <c r="B88" s="640"/>
      <c r="C88" s="640"/>
      <c r="D88" s="648"/>
      <c r="E88" s="640"/>
      <c r="F88" s="365" t="s">
        <v>59</v>
      </c>
      <c r="G88" s="606">
        <v>42116</v>
      </c>
      <c r="H88" s="661"/>
      <c r="I88" s="654"/>
      <c r="J88" s="654"/>
      <c r="K88" s="638"/>
      <c r="L88" s="605"/>
      <c r="M88" s="364" t="s">
        <v>50</v>
      </c>
      <c r="N88" s="364" t="s">
        <v>342</v>
      </c>
      <c r="O88" s="588" t="s">
        <v>345</v>
      </c>
      <c r="P88" s="46">
        <v>42369</v>
      </c>
      <c r="Q88" s="364" t="s">
        <v>708</v>
      </c>
      <c r="R88" s="368" t="s">
        <v>55</v>
      </c>
      <c r="S88" s="46">
        <v>42541</v>
      </c>
      <c r="T88" s="368"/>
      <c r="U88" s="384">
        <f>DAYS360(G87,L87,0)+1</f>
        <v>111</v>
      </c>
      <c r="V88" s="376" t="str">
        <f t="shared" si="42"/>
        <v>Inoportuno</v>
      </c>
      <c r="W88" s="384">
        <f t="shared" si="43"/>
        <v>171</v>
      </c>
      <c r="X88" s="379" t="s">
        <v>338</v>
      </c>
    </row>
    <row r="89" spans="1:24" ht="371.25" customHeight="1" x14ac:dyDescent="0.2">
      <c r="A89" s="368">
        <f>+A87+1</f>
        <v>56</v>
      </c>
      <c r="B89" s="364" t="s">
        <v>49</v>
      </c>
      <c r="C89" s="364" t="s">
        <v>265</v>
      </c>
      <c r="D89" s="361" t="s">
        <v>43</v>
      </c>
      <c r="E89" s="363" t="s">
        <v>205</v>
      </c>
      <c r="F89" s="365" t="s">
        <v>59</v>
      </c>
      <c r="G89" s="46">
        <v>41969</v>
      </c>
      <c r="H89" s="592" t="s">
        <v>266</v>
      </c>
      <c r="I89" s="366" t="s">
        <v>78</v>
      </c>
      <c r="J89" s="366" t="s">
        <v>134</v>
      </c>
      <c r="K89" s="564" t="s">
        <v>79</v>
      </c>
      <c r="L89" s="46">
        <v>42228</v>
      </c>
      <c r="M89" s="364" t="s">
        <v>50</v>
      </c>
      <c r="N89" s="364" t="s">
        <v>346</v>
      </c>
      <c r="O89" s="588" t="s">
        <v>898</v>
      </c>
      <c r="P89" s="229">
        <v>42004</v>
      </c>
      <c r="Q89" s="578" t="s">
        <v>985</v>
      </c>
      <c r="R89" s="368" t="s">
        <v>55</v>
      </c>
      <c r="S89" s="46">
        <v>42733</v>
      </c>
      <c r="T89" s="500" t="s">
        <v>899</v>
      </c>
      <c r="U89" s="384">
        <f t="shared" ref="U89" si="44">DAYS360(G89,L89,0)+1</f>
        <v>257</v>
      </c>
      <c r="V89" s="376" t="str">
        <f t="shared" si="40"/>
        <v>Inoportuno</v>
      </c>
      <c r="W89" s="384">
        <f t="shared" si="41"/>
        <v>720</v>
      </c>
      <c r="X89" s="379" t="s">
        <v>338</v>
      </c>
    </row>
    <row r="90" spans="1:24" ht="107.25" customHeight="1" x14ac:dyDescent="0.2">
      <c r="A90" s="368">
        <f t="shared" si="22"/>
        <v>57</v>
      </c>
      <c r="B90" s="364" t="s">
        <v>267</v>
      </c>
      <c r="C90" s="364" t="s">
        <v>267</v>
      </c>
      <c r="D90" s="361" t="s">
        <v>43</v>
      </c>
      <c r="E90" s="372" t="s">
        <v>0</v>
      </c>
      <c r="F90" s="365" t="s">
        <v>56</v>
      </c>
      <c r="G90" s="46">
        <v>41999</v>
      </c>
      <c r="H90" s="579" t="s">
        <v>268</v>
      </c>
      <c r="I90" s="374" t="s">
        <v>78</v>
      </c>
      <c r="J90" s="366" t="s">
        <v>133</v>
      </c>
      <c r="K90" s="564" t="s">
        <v>79</v>
      </c>
      <c r="L90" s="46">
        <v>42052</v>
      </c>
      <c r="M90" s="364" t="s">
        <v>50</v>
      </c>
      <c r="N90" s="364" t="s">
        <v>366</v>
      </c>
      <c r="O90" s="588" t="s">
        <v>290</v>
      </c>
      <c r="P90" s="46">
        <v>42369</v>
      </c>
      <c r="Q90" s="364" t="s">
        <v>365</v>
      </c>
      <c r="R90" s="368" t="s">
        <v>51</v>
      </c>
      <c r="S90" s="46"/>
      <c r="T90" s="368"/>
      <c r="U90" s="384">
        <f t="shared" ref="U90:U115" si="45">DAYS360(G90,L90,0)+1</f>
        <v>52</v>
      </c>
      <c r="V90" s="376" t="str">
        <f t="shared" ref="V90:V115" si="46">IF(U90&gt;7,"Inoportuno",(IF(U90&lt;0,"No ha formulado PM","Oportuno")))</f>
        <v>Inoportuno</v>
      </c>
      <c r="W90" s="384">
        <f t="shared" si="39"/>
        <v>-41759</v>
      </c>
      <c r="X90" s="378" t="s">
        <v>338</v>
      </c>
    </row>
    <row r="91" spans="1:24" ht="138.75" customHeight="1" x14ac:dyDescent="0.2">
      <c r="A91" s="368">
        <f t="shared" si="22"/>
        <v>58</v>
      </c>
      <c r="B91" s="364" t="s">
        <v>63</v>
      </c>
      <c r="C91" s="364" t="s">
        <v>269</v>
      </c>
      <c r="D91" s="370" t="s">
        <v>43</v>
      </c>
      <c r="E91" s="363" t="s">
        <v>0</v>
      </c>
      <c r="F91" s="365" t="s">
        <v>59</v>
      </c>
      <c r="G91" s="46">
        <v>41995</v>
      </c>
      <c r="H91" s="422" t="s">
        <v>270</v>
      </c>
      <c r="I91" s="366" t="s">
        <v>78</v>
      </c>
      <c r="J91" s="366" t="s">
        <v>133</v>
      </c>
      <c r="K91" s="564" t="s">
        <v>79</v>
      </c>
      <c r="L91" s="46">
        <v>42010</v>
      </c>
      <c r="M91" s="364" t="s">
        <v>50</v>
      </c>
      <c r="N91" s="367" t="s">
        <v>282</v>
      </c>
      <c r="O91" s="588" t="s">
        <v>283</v>
      </c>
      <c r="P91" s="46">
        <v>42369</v>
      </c>
      <c r="Q91" s="364" t="s">
        <v>428</v>
      </c>
      <c r="R91" s="368" t="s">
        <v>51</v>
      </c>
      <c r="S91" s="46"/>
      <c r="T91" s="368"/>
      <c r="U91" s="384">
        <f t="shared" ref="U91" si="47">DAYS360(G91,L91,0)+1</f>
        <v>15</v>
      </c>
      <c r="V91" s="376" t="str">
        <f t="shared" si="46"/>
        <v>Inoportuno</v>
      </c>
      <c r="W91" s="384">
        <f t="shared" ref="W91" si="48">DAYS360(P91,S91,0)+1</f>
        <v>-41759</v>
      </c>
      <c r="X91" s="379" t="s">
        <v>338</v>
      </c>
    </row>
    <row r="92" spans="1:24" ht="149.25" customHeight="1" x14ac:dyDescent="0.2">
      <c r="A92" s="368">
        <f t="shared" si="22"/>
        <v>59</v>
      </c>
      <c r="B92" s="364" t="s">
        <v>63</v>
      </c>
      <c r="C92" s="364" t="s">
        <v>269</v>
      </c>
      <c r="D92" s="362" t="s">
        <v>43</v>
      </c>
      <c r="E92" s="372" t="s">
        <v>0</v>
      </c>
      <c r="F92" s="365" t="s">
        <v>59</v>
      </c>
      <c r="G92" s="46">
        <v>41995</v>
      </c>
      <c r="H92" s="422" t="s">
        <v>271</v>
      </c>
      <c r="I92" s="374" t="s">
        <v>78</v>
      </c>
      <c r="J92" s="374" t="s">
        <v>133</v>
      </c>
      <c r="K92" s="159" t="s">
        <v>80</v>
      </c>
      <c r="L92" s="46"/>
      <c r="M92" s="364"/>
      <c r="N92" s="364"/>
      <c r="O92" s="588"/>
      <c r="P92" s="46"/>
      <c r="Q92" s="364"/>
      <c r="R92" s="368"/>
      <c r="S92" s="46"/>
      <c r="T92" s="368"/>
      <c r="U92" s="384">
        <f t="shared" si="45"/>
        <v>-41391</v>
      </c>
      <c r="V92" s="376" t="str">
        <f t="shared" si="46"/>
        <v>No ha formulado PM</v>
      </c>
      <c r="W92" s="384">
        <f t="shared" si="39"/>
        <v>1</v>
      </c>
      <c r="X92" s="379" t="s">
        <v>338</v>
      </c>
    </row>
    <row r="93" spans="1:24" ht="102.75" customHeight="1" x14ac:dyDescent="0.2">
      <c r="A93" s="637">
        <v>60</v>
      </c>
      <c r="B93" s="639" t="s">
        <v>63</v>
      </c>
      <c r="C93" s="639" t="s">
        <v>269</v>
      </c>
      <c r="D93" s="646" t="s">
        <v>43</v>
      </c>
      <c r="E93" s="639" t="s">
        <v>0</v>
      </c>
      <c r="F93" s="676" t="s">
        <v>59</v>
      </c>
      <c r="G93" s="642">
        <v>41995</v>
      </c>
      <c r="H93" s="639" t="s">
        <v>272</v>
      </c>
      <c r="I93" s="653" t="s">
        <v>78</v>
      </c>
      <c r="J93" s="653" t="s">
        <v>133</v>
      </c>
      <c r="K93" s="637" t="s">
        <v>79</v>
      </c>
      <c r="L93" s="642">
        <v>42010</v>
      </c>
      <c r="M93" s="364" t="s">
        <v>104</v>
      </c>
      <c r="N93" s="367" t="s">
        <v>286</v>
      </c>
      <c r="O93" s="588" t="s">
        <v>284</v>
      </c>
      <c r="P93" s="46">
        <v>42369</v>
      </c>
      <c r="Q93" s="364" t="s">
        <v>492</v>
      </c>
      <c r="R93" s="368" t="s">
        <v>51</v>
      </c>
      <c r="S93" s="46"/>
      <c r="T93" s="368"/>
      <c r="U93" s="580">
        <f t="shared" si="45"/>
        <v>15</v>
      </c>
      <c r="V93" s="376" t="str">
        <f t="shared" si="46"/>
        <v>Inoportuno</v>
      </c>
      <c r="W93" s="384">
        <f t="shared" ref="W93:W96" si="49">DAYS360(P93,S93,0)+1</f>
        <v>-41759</v>
      </c>
      <c r="X93" s="699" t="s">
        <v>338</v>
      </c>
    </row>
    <row r="94" spans="1:24" ht="131.25" customHeight="1" x14ac:dyDescent="0.2">
      <c r="A94" s="645"/>
      <c r="B94" s="641"/>
      <c r="C94" s="641"/>
      <c r="D94" s="647"/>
      <c r="E94" s="641"/>
      <c r="F94" s="677"/>
      <c r="G94" s="643"/>
      <c r="H94" s="641"/>
      <c r="I94" s="655"/>
      <c r="J94" s="655"/>
      <c r="K94" s="645"/>
      <c r="L94" s="643"/>
      <c r="M94" s="364" t="s">
        <v>104</v>
      </c>
      <c r="N94" s="367" t="s">
        <v>286</v>
      </c>
      <c r="O94" s="588" t="s">
        <v>285</v>
      </c>
      <c r="P94" s="46">
        <v>42369</v>
      </c>
      <c r="Q94" s="364" t="s">
        <v>493</v>
      </c>
      <c r="R94" s="368" t="s">
        <v>51</v>
      </c>
      <c r="S94" s="46"/>
      <c r="T94" s="368"/>
      <c r="U94" s="384">
        <f t="shared" ref="U94:U95" si="50">DAYS360(G94,L94,0)+1</f>
        <v>1</v>
      </c>
      <c r="V94" s="376" t="str">
        <f t="shared" si="46"/>
        <v>Oportuno</v>
      </c>
      <c r="W94" s="384">
        <f t="shared" si="49"/>
        <v>-41759</v>
      </c>
      <c r="X94" s="699" t="s">
        <v>338</v>
      </c>
    </row>
    <row r="95" spans="1:24" ht="220.5" customHeight="1" x14ac:dyDescent="0.2">
      <c r="A95" s="645"/>
      <c r="B95" s="641"/>
      <c r="C95" s="641"/>
      <c r="D95" s="647"/>
      <c r="E95" s="641"/>
      <c r="F95" s="677"/>
      <c r="G95" s="643"/>
      <c r="H95" s="641"/>
      <c r="I95" s="655"/>
      <c r="J95" s="655"/>
      <c r="K95" s="645"/>
      <c r="L95" s="643"/>
      <c r="M95" s="364" t="s">
        <v>50</v>
      </c>
      <c r="N95" s="367" t="s">
        <v>286</v>
      </c>
      <c r="O95" s="588" t="s">
        <v>494</v>
      </c>
      <c r="P95" s="46">
        <v>42369</v>
      </c>
      <c r="Q95" s="367" t="s">
        <v>495</v>
      </c>
      <c r="R95" s="368" t="s">
        <v>51</v>
      </c>
      <c r="S95" s="46"/>
      <c r="T95" s="368"/>
      <c r="U95" s="384">
        <f t="shared" si="50"/>
        <v>1</v>
      </c>
      <c r="V95" s="376" t="str">
        <f t="shared" si="46"/>
        <v>Oportuno</v>
      </c>
      <c r="W95" s="384">
        <f t="shared" si="49"/>
        <v>-41759</v>
      </c>
      <c r="X95" s="699" t="s">
        <v>338</v>
      </c>
    </row>
    <row r="96" spans="1:24" ht="96" customHeight="1" x14ac:dyDescent="0.2">
      <c r="A96" s="638"/>
      <c r="B96" s="640"/>
      <c r="C96" s="640"/>
      <c r="D96" s="648"/>
      <c r="E96" s="640"/>
      <c r="F96" s="678"/>
      <c r="G96" s="644"/>
      <c r="H96" s="640"/>
      <c r="I96" s="654"/>
      <c r="J96" s="654"/>
      <c r="K96" s="638"/>
      <c r="L96" s="644"/>
      <c r="M96" s="364" t="s">
        <v>50</v>
      </c>
      <c r="N96" s="367" t="s">
        <v>286</v>
      </c>
      <c r="O96" s="588" t="s">
        <v>287</v>
      </c>
      <c r="P96" s="46">
        <v>42369</v>
      </c>
      <c r="Q96" s="364" t="s">
        <v>496</v>
      </c>
      <c r="R96" s="368" t="s">
        <v>51</v>
      </c>
      <c r="S96" s="46"/>
      <c r="T96" s="368"/>
      <c r="U96" s="384">
        <f>DAYS360(G93,L93,0)+1</f>
        <v>15</v>
      </c>
      <c r="V96" s="376" t="str">
        <f t="shared" si="46"/>
        <v>Inoportuno</v>
      </c>
      <c r="W96" s="384">
        <f t="shared" si="49"/>
        <v>-41759</v>
      </c>
      <c r="X96" s="699" t="s">
        <v>338</v>
      </c>
    </row>
    <row r="97" spans="1:24" ht="238.5" customHeight="1" x14ac:dyDescent="0.2">
      <c r="A97" s="368">
        <f>+A93+1</f>
        <v>61</v>
      </c>
      <c r="B97" s="364" t="s">
        <v>63</v>
      </c>
      <c r="C97" s="364" t="s">
        <v>269</v>
      </c>
      <c r="D97" s="370" t="s">
        <v>43</v>
      </c>
      <c r="E97" s="363" t="s">
        <v>0</v>
      </c>
      <c r="F97" s="365" t="s">
        <v>59</v>
      </c>
      <c r="G97" s="46">
        <v>41995</v>
      </c>
      <c r="H97" s="422" t="s">
        <v>273</v>
      </c>
      <c r="I97" s="374" t="s">
        <v>78</v>
      </c>
      <c r="J97" s="374" t="s">
        <v>133</v>
      </c>
      <c r="K97" s="569" t="s">
        <v>79</v>
      </c>
      <c r="L97" s="46">
        <v>42010</v>
      </c>
      <c r="M97" s="364" t="s">
        <v>104</v>
      </c>
      <c r="N97" s="367" t="s">
        <v>286</v>
      </c>
      <c r="O97" s="588" t="s">
        <v>315</v>
      </c>
      <c r="P97" s="46">
        <v>42277</v>
      </c>
      <c r="Q97" s="367" t="s">
        <v>497</v>
      </c>
      <c r="R97" s="368" t="s">
        <v>51</v>
      </c>
      <c r="S97" s="46"/>
      <c r="T97" s="368"/>
      <c r="U97" s="384">
        <f t="shared" si="45"/>
        <v>15</v>
      </c>
      <c r="V97" s="376" t="str">
        <f t="shared" si="46"/>
        <v>Inoportuno</v>
      </c>
      <c r="W97" s="384">
        <f t="shared" si="39"/>
        <v>-41669</v>
      </c>
      <c r="X97" s="379" t="s">
        <v>338</v>
      </c>
    </row>
    <row r="98" spans="1:24" ht="216.75" customHeight="1" x14ac:dyDescent="0.2">
      <c r="A98" s="637">
        <v>62</v>
      </c>
      <c r="B98" s="639" t="s">
        <v>337</v>
      </c>
      <c r="C98" s="688" t="s">
        <v>498</v>
      </c>
      <c r="D98" s="646" t="s">
        <v>43</v>
      </c>
      <c r="E98" s="639" t="s">
        <v>0</v>
      </c>
      <c r="F98" s="676" t="s">
        <v>60</v>
      </c>
      <c r="G98" s="642">
        <v>41985</v>
      </c>
      <c r="H98" s="639" t="s">
        <v>274</v>
      </c>
      <c r="I98" s="653" t="s">
        <v>78</v>
      </c>
      <c r="J98" s="653" t="s">
        <v>134</v>
      </c>
      <c r="K98" s="637" t="s">
        <v>79</v>
      </c>
      <c r="L98" s="642">
        <v>42023</v>
      </c>
      <c r="M98" s="364" t="s">
        <v>104</v>
      </c>
      <c r="N98" s="217" t="s">
        <v>291</v>
      </c>
      <c r="O98" s="588" t="s">
        <v>756</v>
      </c>
      <c r="P98" s="214">
        <v>42612</v>
      </c>
      <c r="Q98" s="364" t="s">
        <v>757</v>
      </c>
      <c r="R98" s="215" t="s">
        <v>55</v>
      </c>
      <c r="S98" s="214">
        <v>42663</v>
      </c>
      <c r="T98" s="217" t="s">
        <v>758</v>
      </c>
      <c r="U98" s="580">
        <f t="shared" si="45"/>
        <v>38</v>
      </c>
      <c r="V98" s="376" t="str">
        <f t="shared" si="46"/>
        <v>Inoportuno</v>
      </c>
      <c r="W98" s="384">
        <f t="shared" si="39"/>
        <v>51</v>
      </c>
      <c r="X98" s="700" t="s">
        <v>338</v>
      </c>
    </row>
    <row r="99" spans="1:24" ht="196.5" customHeight="1" x14ac:dyDescent="0.2">
      <c r="A99" s="638"/>
      <c r="B99" s="640"/>
      <c r="C99" s="640"/>
      <c r="D99" s="648"/>
      <c r="E99" s="640"/>
      <c r="F99" s="678"/>
      <c r="G99" s="644"/>
      <c r="H99" s="640"/>
      <c r="I99" s="654"/>
      <c r="J99" s="654"/>
      <c r="K99" s="638"/>
      <c r="L99" s="644"/>
      <c r="M99" s="364" t="s">
        <v>50</v>
      </c>
      <c r="N99" s="217" t="s">
        <v>291</v>
      </c>
      <c r="O99" s="588" t="s">
        <v>752</v>
      </c>
      <c r="P99" s="214">
        <v>42551</v>
      </c>
      <c r="Q99" s="578" t="s">
        <v>986</v>
      </c>
      <c r="R99" s="215" t="s">
        <v>55</v>
      </c>
      <c r="S99" s="214">
        <v>42663</v>
      </c>
      <c r="T99" s="215" t="s">
        <v>987</v>
      </c>
      <c r="U99" s="384">
        <f>DAYS360(G98,L98,0)+1</f>
        <v>38</v>
      </c>
      <c r="V99" s="376" t="str">
        <f t="shared" si="46"/>
        <v>Inoportuno</v>
      </c>
      <c r="W99" s="384">
        <f t="shared" ref="W99" si="51">DAYS360(P99,S99,0)+1</f>
        <v>111</v>
      </c>
      <c r="X99" s="702" t="s">
        <v>338</v>
      </c>
    </row>
    <row r="100" spans="1:24" ht="174.75" customHeight="1" x14ac:dyDescent="0.2">
      <c r="A100" s="368">
        <f>+A98+1</f>
        <v>63</v>
      </c>
      <c r="B100" s="372" t="s">
        <v>337</v>
      </c>
      <c r="C100" s="364" t="s">
        <v>498</v>
      </c>
      <c r="D100" s="362" t="s">
        <v>43</v>
      </c>
      <c r="E100" s="372" t="s">
        <v>0</v>
      </c>
      <c r="F100" s="365" t="s">
        <v>60</v>
      </c>
      <c r="G100" s="46">
        <v>41985</v>
      </c>
      <c r="H100" s="422" t="s">
        <v>499</v>
      </c>
      <c r="I100" s="374" t="s">
        <v>78</v>
      </c>
      <c r="J100" s="374" t="s">
        <v>134</v>
      </c>
      <c r="K100" s="159" t="s">
        <v>79</v>
      </c>
      <c r="L100" s="46">
        <v>42023</v>
      </c>
      <c r="M100" s="364" t="s">
        <v>104</v>
      </c>
      <c r="N100" s="364" t="s">
        <v>136</v>
      </c>
      <c r="O100" s="588" t="s">
        <v>759</v>
      </c>
      <c r="P100" s="46">
        <v>42612</v>
      </c>
      <c r="Q100" s="364" t="s">
        <v>760</v>
      </c>
      <c r="R100" s="368" t="s">
        <v>55</v>
      </c>
      <c r="S100" s="46">
        <v>42663</v>
      </c>
      <c r="T100" s="217" t="s">
        <v>748</v>
      </c>
      <c r="U100" s="384">
        <f t="shared" si="45"/>
        <v>38</v>
      </c>
      <c r="V100" s="376" t="str">
        <f t="shared" si="46"/>
        <v>Inoportuno</v>
      </c>
      <c r="W100" s="384">
        <f t="shared" si="39"/>
        <v>51</v>
      </c>
      <c r="X100" s="379" t="s">
        <v>338</v>
      </c>
    </row>
    <row r="101" spans="1:24" ht="92.25" customHeight="1" x14ac:dyDescent="0.2">
      <c r="A101" s="368">
        <f t="shared" si="22"/>
        <v>64</v>
      </c>
      <c r="B101" s="372" t="s">
        <v>337</v>
      </c>
      <c r="C101" s="364" t="s">
        <v>498</v>
      </c>
      <c r="D101" s="362" t="s">
        <v>43</v>
      </c>
      <c r="E101" s="372" t="s">
        <v>0</v>
      </c>
      <c r="F101" s="365" t="s">
        <v>60</v>
      </c>
      <c r="G101" s="46">
        <v>41985</v>
      </c>
      <c r="H101" s="422" t="s">
        <v>275</v>
      </c>
      <c r="I101" s="374" t="s">
        <v>78</v>
      </c>
      <c r="J101" s="374" t="s">
        <v>134</v>
      </c>
      <c r="K101" s="159" t="s">
        <v>79</v>
      </c>
      <c r="L101" s="46">
        <v>42023</v>
      </c>
      <c r="M101" s="364" t="s">
        <v>104</v>
      </c>
      <c r="N101" s="364" t="s">
        <v>136</v>
      </c>
      <c r="O101" s="588" t="s">
        <v>292</v>
      </c>
      <c r="P101" s="46">
        <v>42093</v>
      </c>
      <c r="Q101" s="364" t="s">
        <v>719</v>
      </c>
      <c r="R101" s="368" t="s">
        <v>55</v>
      </c>
      <c r="S101" s="46">
        <v>42537</v>
      </c>
      <c r="T101" s="368" t="s">
        <v>974</v>
      </c>
      <c r="U101" s="384">
        <f t="shared" si="45"/>
        <v>38</v>
      </c>
      <c r="V101" s="376" t="str">
        <f t="shared" si="46"/>
        <v>Inoportuno</v>
      </c>
      <c r="W101" s="384">
        <f t="shared" si="39"/>
        <v>437</v>
      </c>
      <c r="X101" s="379" t="s">
        <v>338</v>
      </c>
    </row>
    <row r="102" spans="1:24" ht="162.75" customHeight="1" x14ac:dyDescent="0.2">
      <c r="A102" s="637">
        <v>65</v>
      </c>
      <c r="B102" s="639" t="s">
        <v>337</v>
      </c>
      <c r="C102" s="639" t="s">
        <v>498</v>
      </c>
      <c r="D102" s="646" t="s">
        <v>43</v>
      </c>
      <c r="E102" s="639" t="s">
        <v>0</v>
      </c>
      <c r="F102" s="676" t="s">
        <v>60</v>
      </c>
      <c r="G102" s="642">
        <v>41985</v>
      </c>
      <c r="H102" s="639" t="s">
        <v>276</v>
      </c>
      <c r="I102" s="653" t="s">
        <v>78</v>
      </c>
      <c r="J102" s="653" t="s">
        <v>133</v>
      </c>
      <c r="K102" s="637" t="s">
        <v>79</v>
      </c>
      <c r="L102" s="642">
        <v>42023</v>
      </c>
      <c r="M102" s="364" t="s">
        <v>104</v>
      </c>
      <c r="N102" s="364" t="s">
        <v>136</v>
      </c>
      <c r="O102" s="588" t="s">
        <v>762</v>
      </c>
      <c r="P102" s="46">
        <v>42368</v>
      </c>
      <c r="Q102" s="364" t="s">
        <v>761</v>
      </c>
      <c r="R102" s="368" t="s">
        <v>51</v>
      </c>
      <c r="S102" s="46">
        <v>42885</v>
      </c>
      <c r="T102" s="217"/>
      <c r="U102" s="580">
        <f t="shared" si="45"/>
        <v>38</v>
      </c>
      <c r="V102" s="376" t="str">
        <f t="shared" si="46"/>
        <v>Inoportuno</v>
      </c>
      <c r="W102" s="384">
        <f t="shared" si="39"/>
        <v>511</v>
      </c>
      <c r="X102" s="700" t="s">
        <v>338</v>
      </c>
    </row>
    <row r="103" spans="1:24" ht="92.25" customHeight="1" x14ac:dyDescent="0.2">
      <c r="A103" s="645"/>
      <c r="B103" s="641"/>
      <c r="C103" s="641"/>
      <c r="D103" s="647"/>
      <c r="E103" s="641"/>
      <c r="F103" s="677"/>
      <c r="G103" s="643"/>
      <c r="H103" s="641"/>
      <c r="I103" s="655"/>
      <c r="J103" s="655"/>
      <c r="K103" s="645"/>
      <c r="L103" s="643"/>
      <c r="M103" s="364" t="s">
        <v>104</v>
      </c>
      <c r="N103" s="364" t="s">
        <v>136</v>
      </c>
      <c r="O103" s="588" t="s">
        <v>500</v>
      </c>
      <c r="P103" s="46">
        <v>42368</v>
      </c>
      <c r="Q103" s="364" t="s">
        <v>766</v>
      </c>
      <c r="R103" s="368" t="s">
        <v>55</v>
      </c>
      <c r="S103" s="46">
        <v>42381</v>
      </c>
      <c r="T103" s="217" t="s">
        <v>466</v>
      </c>
      <c r="U103" s="384">
        <f t="shared" ref="U103:U104" si="52">DAYS360(G103,L103,0)+1</f>
        <v>1</v>
      </c>
      <c r="V103" s="376" t="str">
        <f t="shared" si="46"/>
        <v>Oportuno</v>
      </c>
      <c r="W103" s="384">
        <f t="shared" ref="W103:W105" si="53">DAYS360(P103,S103,0)+1</f>
        <v>13</v>
      </c>
      <c r="X103" s="701" t="s">
        <v>338</v>
      </c>
    </row>
    <row r="104" spans="1:24" ht="143.25" customHeight="1" x14ac:dyDescent="0.2">
      <c r="A104" s="645"/>
      <c r="B104" s="641"/>
      <c r="C104" s="641"/>
      <c r="D104" s="647"/>
      <c r="E104" s="641"/>
      <c r="F104" s="677"/>
      <c r="G104" s="643"/>
      <c r="H104" s="641"/>
      <c r="I104" s="655"/>
      <c r="J104" s="655"/>
      <c r="K104" s="645"/>
      <c r="L104" s="643"/>
      <c r="M104" s="364" t="s">
        <v>50</v>
      </c>
      <c r="N104" s="364" t="s">
        <v>136</v>
      </c>
      <c r="O104" s="588" t="s">
        <v>293</v>
      </c>
      <c r="P104" s="46">
        <v>42368</v>
      </c>
      <c r="Q104" s="364" t="s">
        <v>720</v>
      </c>
      <c r="R104" s="368" t="s">
        <v>51</v>
      </c>
      <c r="S104" s="46"/>
      <c r="T104" s="368"/>
      <c r="U104" s="384">
        <f t="shared" si="52"/>
        <v>1</v>
      </c>
      <c r="V104" s="376" t="str">
        <f t="shared" si="46"/>
        <v>Oportuno</v>
      </c>
      <c r="W104" s="384">
        <f t="shared" si="53"/>
        <v>-41759</v>
      </c>
      <c r="X104" s="701" t="s">
        <v>338</v>
      </c>
    </row>
    <row r="105" spans="1:24" ht="175.5" customHeight="1" x14ac:dyDescent="0.2">
      <c r="A105" s="638"/>
      <c r="B105" s="640"/>
      <c r="C105" s="640"/>
      <c r="D105" s="648"/>
      <c r="E105" s="640"/>
      <c r="F105" s="678"/>
      <c r="G105" s="644"/>
      <c r="H105" s="640"/>
      <c r="I105" s="654"/>
      <c r="J105" s="654"/>
      <c r="K105" s="638"/>
      <c r="L105" s="644"/>
      <c r="M105" s="364" t="s">
        <v>50</v>
      </c>
      <c r="N105" s="364" t="s">
        <v>136</v>
      </c>
      <c r="O105" s="588" t="s">
        <v>501</v>
      </c>
      <c r="P105" s="46">
        <v>42368</v>
      </c>
      <c r="Q105" s="367" t="s">
        <v>721</v>
      </c>
      <c r="R105" s="368" t="s">
        <v>51</v>
      </c>
      <c r="S105" s="46"/>
      <c r="T105" s="368"/>
      <c r="U105" s="384">
        <f>DAYS360(G102,L102,0)+1</f>
        <v>38</v>
      </c>
      <c r="V105" s="376" t="str">
        <f t="shared" si="46"/>
        <v>Inoportuno</v>
      </c>
      <c r="W105" s="384">
        <f t="shared" si="53"/>
        <v>-41759</v>
      </c>
      <c r="X105" s="702" t="s">
        <v>338</v>
      </c>
    </row>
    <row r="106" spans="1:24" ht="193.5" customHeight="1" x14ac:dyDescent="0.2">
      <c r="A106" s="637">
        <v>66</v>
      </c>
      <c r="B106" s="639" t="s">
        <v>337</v>
      </c>
      <c r="C106" s="639" t="s">
        <v>498</v>
      </c>
      <c r="D106" s="646" t="s">
        <v>43</v>
      </c>
      <c r="E106" s="639" t="s">
        <v>0</v>
      </c>
      <c r="F106" s="676" t="s">
        <v>60</v>
      </c>
      <c r="G106" s="642">
        <v>41985</v>
      </c>
      <c r="H106" s="639" t="s">
        <v>277</v>
      </c>
      <c r="I106" s="653" t="s">
        <v>78</v>
      </c>
      <c r="J106" s="653" t="s">
        <v>134</v>
      </c>
      <c r="K106" s="637" t="s">
        <v>79</v>
      </c>
      <c r="L106" s="642">
        <v>42023</v>
      </c>
      <c r="M106" s="364" t="s">
        <v>104</v>
      </c>
      <c r="N106" s="364" t="s">
        <v>136</v>
      </c>
      <c r="O106" s="588" t="s">
        <v>294</v>
      </c>
      <c r="P106" s="46">
        <v>42368</v>
      </c>
      <c r="Q106" s="425" t="s">
        <v>468</v>
      </c>
      <c r="R106" s="368" t="s">
        <v>55</v>
      </c>
      <c r="S106" s="46">
        <v>42381</v>
      </c>
      <c r="T106" s="217" t="s">
        <v>466</v>
      </c>
      <c r="U106" s="580">
        <f>DAYS360(G103,L103,0)+1</f>
        <v>1</v>
      </c>
      <c r="V106" s="376" t="str">
        <f t="shared" si="46"/>
        <v>Oportuno</v>
      </c>
      <c r="W106" s="384">
        <f t="shared" si="39"/>
        <v>13</v>
      </c>
      <c r="X106" s="700" t="s">
        <v>338</v>
      </c>
    </row>
    <row r="107" spans="1:24" ht="157.5" customHeight="1" x14ac:dyDescent="0.2">
      <c r="A107" s="645"/>
      <c r="B107" s="641"/>
      <c r="C107" s="641"/>
      <c r="D107" s="647"/>
      <c r="E107" s="641"/>
      <c r="F107" s="677"/>
      <c r="G107" s="643"/>
      <c r="H107" s="641"/>
      <c r="I107" s="655"/>
      <c r="J107" s="655"/>
      <c r="K107" s="645"/>
      <c r="L107" s="643"/>
      <c r="M107" s="364" t="s">
        <v>104</v>
      </c>
      <c r="N107" s="364" t="s">
        <v>136</v>
      </c>
      <c r="O107" s="588" t="s">
        <v>295</v>
      </c>
      <c r="P107" s="46">
        <v>42368</v>
      </c>
      <c r="Q107" s="364" t="s">
        <v>469</v>
      </c>
      <c r="R107" s="368" t="s">
        <v>55</v>
      </c>
      <c r="S107" s="46">
        <v>42381</v>
      </c>
      <c r="T107" s="217" t="s">
        <v>466</v>
      </c>
      <c r="U107" s="384">
        <f t="shared" ref="U107" si="54">DAYS360(G107,L107,0)+1</f>
        <v>1</v>
      </c>
      <c r="V107" s="376" t="str">
        <f t="shared" si="46"/>
        <v>Oportuno</v>
      </c>
      <c r="W107" s="384">
        <f t="shared" ref="W107:W108" si="55">DAYS360(P107,S107,0)+1</f>
        <v>13</v>
      </c>
      <c r="X107" s="701" t="s">
        <v>338</v>
      </c>
    </row>
    <row r="108" spans="1:24" ht="194.25" customHeight="1" x14ac:dyDescent="0.2">
      <c r="A108" s="638"/>
      <c r="B108" s="640"/>
      <c r="C108" s="640"/>
      <c r="D108" s="648"/>
      <c r="E108" s="640"/>
      <c r="F108" s="678"/>
      <c r="G108" s="644"/>
      <c r="H108" s="640"/>
      <c r="I108" s="654"/>
      <c r="J108" s="654"/>
      <c r="K108" s="638"/>
      <c r="L108" s="644"/>
      <c r="M108" s="364" t="s">
        <v>104</v>
      </c>
      <c r="N108" s="364" t="s">
        <v>136</v>
      </c>
      <c r="O108" s="588" t="s">
        <v>296</v>
      </c>
      <c r="P108" s="46">
        <v>42368</v>
      </c>
      <c r="Q108" s="364" t="s">
        <v>469</v>
      </c>
      <c r="R108" s="368" t="s">
        <v>55</v>
      </c>
      <c r="S108" s="46">
        <v>42381</v>
      </c>
      <c r="T108" s="217" t="s">
        <v>466</v>
      </c>
      <c r="U108" s="384">
        <f>DAYS360(G106,L106,0)+1</f>
        <v>38</v>
      </c>
      <c r="V108" s="376" t="str">
        <f t="shared" si="46"/>
        <v>Inoportuno</v>
      </c>
      <c r="W108" s="384">
        <f t="shared" si="55"/>
        <v>13</v>
      </c>
      <c r="X108" s="702" t="s">
        <v>338</v>
      </c>
    </row>
    <row r="109" spans="1:24" ht="177" customHeight="1" x14ac:dyDescent="0.2">
      <c r="A109" s="637">
        <v>67</v>
      </c>
      <c r="B109" s="639" t="s">
        <v>337</v>
      </c>
      <c r="C109" s="639" t="s">
        <v>498</v>
      </c>
      <c r="D109" s="646" t="s">
        <v>43</v>
      </c>
      <c r="E109" s="639" t="s">
        <v>0</v>
      </c>
      <c r="F109" s="676" t="s">
        <v>60</v>
      </c>
      <c r="G109" s="642">
        <v>41985</v>
      </c>
      <c r="H109" s="665" t="s">
        <v>300</v>
      </c>
      <c r="I109" s="653" t="s">
        <v>78</v>
      </c>
      <c r="J109" s="653" t="s">
        <v>133</v>
      </c>
      <c r="K109" s="637" t="s">
        <v>79</v>
      </c>
      <c r="L109" s="642">
        <v>42023</v>
      </c>
      <c r="M109" s="364" t="s">
        <v>104</v>
      </c>
      <c r="N109" s="364" t="s">
        <v>136</v>
      </c>
      <c r="O109" s="588" t="s">
        <v>297</v>
      </c>
      <c r="P109" s="46">
        <v>42368</v>
      </c>
      <c r="Q109" s="364" t="s">
        <v>470</v>
      </c>
      <c r="R109" s="368" t="s">
        <v>55</v>
      </c>
      <c r="S109" s="46">
        <v>42381</v>
      </c>
      <c r="T109" s="217" t="s">
        <v>466</v>
      </c>
      <c r="U109" s="580">
        <f>DAYS360(G107,L107,0)+1</f>
        <v>1</v>
      </c>
      <c r="V109" s="376" t="str">
        <f t="shared" si="46"/>
        <v>Oportuno</v>
      </c>
      <c r="W109" s="384">
        <f t="shared" si="39"/>
        <v>13</v>
      </c>
      <c r="X109" s="700" t="s">
        <v>338</v>
      </c>
    </row>
    <row r="110" spans="1:24" ht="111" customHeight="1" x14ac:dyDescent="0.2">
      <c r="A110" s="645"/>
      <c r="B110" s="641"/>
      <c r="C110" s="641"/>
      <c r="D110" s="647"/>
      <c r="E110" s="641"/>
      <c r="F110" s="677"/>
      <c r="G110" s="643"/>
      <c r="H110" s="666"/>
      <c r="I110" s="655"/>
      <c r="J110" s="655"/>
      <c r="K110" s="645"/>
      <c r="L110" s="643"/>
      <c r="M110" s="364" t="s">
        <v>104</v>
      </c>
      <c r="N110" s="364" t="s">
        <v>136</v>
      </c>
      <c r="O110" s="588" t="s">
        <v>502</v>
      </c>
      <c r="P110" s="46">
        <v>42368</v>
      </c>
      <c r="Q110" s="364" t="s">
        <v>471</v>
      </c>
      <c r="R110" s="368" t="s">
        <v>55</v>
      </c>
      <c r="S110" s="46">
        <v>42381</v>
      </c>
      <c r="T110" s="217" t="s">
        <v>466</v>
      </c>
      <c r="U110" s="384">
        <f t="shared" ref="U110:U112" si="56">DAYS360(G110,L110,0)+1</f>
        <v>1</v>
      </c>
      <c r="V110" s="376" t="str">
        <f t="shared" si="46"/>
        <v>Oportuno</v>
      </c>
      <c r="W110" s="384">
        <f t="shared" ref="W110:W114" si="57">DAYS360(P110,S110,0)+1</f>
        <v>13</v>
      </c>
      <c r="X110" s="701" t="s">
        <v>338</v>
      </c>
    </row>
    <row r="111" spans="1:24" ht="156.75" customHeight="1" x14ac:dyDescent="0.2">
      <c r="A111" s="645"/>
      <c r="B111" s="641"/>
      <c r="C111" s="641"/>
      <c r="D111" s="647"/>
      <c r="E111" s="641"/>
      <c r="F111" s="677"/>
      <c r="G111" s="643"/>
      <c r="H111" s="666"/>
      <c r="I111" s="655"/>
      <c r="J111" s="655"/>
      <c r="K111" s="645"/>
      <c r="L111" s="643"/>
      <c r="M111" s="364" t="s">
        <v>104</v>
      </c>
      <c r="N111" s="364" t="s">
        <v>136</v>
      </c>
      <c r="O111" s="588" t="s">
        <v>298</v>
      </c>
      <c r="P111" s="46">
        <v>42368</v>
      </c>
      <c r="Q111" s="367" t="s">
        <v>722</v>
      </c>
      <c r="R111" s="368" t="s">
        <v>51</v>
      </c>
      <c r="S111" s="46"/>
      <c r="T111" s="368"/>
      <c r="U111" s="384">
        <f t="shared" si="56"/>
        <v>1</v>
      </c>
      <c r="V111" s="376" t="str">
        <f t="shared" si="46"/>
        <v>Oportuno</v>
      </c>
      <c r="W111" s="384">
        <f t="shared" si="57"/>
        <v>-41759</v>
      </c>
      <c r="X111" s="701" t="s">
        <v>338</v>
      </c>
    </row>
    <row r="112" spans="1:24" ht="159" customHeight="1" x14ac:dyDescent="0.2">
      <c r="A112" s="645"/>
      <c r="B112" s="641"/>
      <c r="C112" s="641"/>
      <c r="D112" s="647"/>
      <c r="E112" s="641"/>
      <c r="F112" s="677"/>
      <c r="G112" s="643"/>
      <c r="H112" s="666"/>
      <c r="I112" s="655"/>
      <c r="J112" s="655"/>
      <c r="K112" s="645"/>
      <c r="L112" s="643"/>
      <c r="M112" s="364" t="s">
        <v>50</v>
      </c>
      <c r="N112" s="364" t="s">
        <v>136</v>
      </c>
      <c r="O112" s="588" t="s">
        <v>299</v>
      </c>
      <c r="P112" s="46">
        <v>42368</v>
      </c>
      <c r="Q112" s="364" t="s">
        <v>472</v>
      </c>
      <c r="R112" s="368" t="s">
        <v>55</v>
      </c>
      <c r="S112" s="46">
        <v>42381</v>
      </c>
      <c r="T112" s="217" t="s">
        <v>466</v>
      </c>
      <c r="U112" s="384">
        <f t="shared" si="56"/>
        <v>1</v>
      </c>
      <c r="V112" s="376" t="str">
        <f t="shared" si="46"/>
        <v>Oportuno</v>
      </c>
      <c r="W112" s="384">
        <f t="shared" si="57"/>
        <v>13</v>
      </c>
      <c r="X112" s="701" t="s">
        <v>338</v>
      </c>
    </row>
    <row r="113" spans="1:24" ht="112.5" customHeight="1" x14ac:dyDescent="0.2">
      <c r="A113" s="645"/>
      <c r="B113" s="641"/>
      <c r="C113" s="641"/>
      <c r="D113" s="647"/>
      <c r="E113" s="641"/>
      <c r="F113" s="677"/>
      <c r="G113" s="643"/>
      <c r="H113" s="666"/>
      <c r="I113" s="655"/>
      <c r="J113" s="655"/>
      <c r="K113" s="645"/>
      <c r="L113" s="643"/>
      <c r="M113" s="364" t="s">
        <v>50</v>
      </c>
      <c r="N113" s="364" t="s">
        <v>136</v>
      </c>
      <c r="O113" s="588" t="s">
        <v>503</v>
      </c>
      <c r="P113" s="46">
        <v>42885</v>
      </c>
      <c r="Q113" s="367" t="s">
        <v>767</v>
      </c>
      <c r="R113" s="368" t="s">
        <v>51</v>
      </c>
      <c r="S113" s="46"/>
      <c r="T113" s="368"/>
      <c r="U113" s="384">
        <f>DAYS360(G109,L113,0)+1</f>
        <v>-41381</v>
      </c>
      <c r="V113" s="376" t="s">
        <v>988</v>
      </c>
      <c r="W113" s="384">
        <f t="shared" si="57"/>
        <v>-42269</v>
      </c>
      <c r="X113" s="701" t="s">
        <v>338</v>
      </c>
    </row>
    <row r="114" spans="1:24" ht="256.5" customHeight="1" x14ac:dyDescent="0.2">
      <c r="A114" s="638"/>
      <c r="B114" s="640"/>
      <c r="C114" s="640"/>
      <c r="D114" s="648"/>
      <c r="E114" s="640"/>
      <c r="F114" s="678"/>
      <c r="G114" s="644"/>
      <c r="H114" s="667"/>
      <c r="I114" s="654"/>
      <c r="J114" s="654"/>
      <c r="K114" s="638"/>
      <c r="L114" s="644"/>
      <c r="M114" s="364" t="s">
        <v>50</v>
      </c>
      <c r="N114" s="364" t="s">
        <v>136</v>
      </c>
      <c r="O114" s="588" t="s">
        <v>768</v>
      </c>
      <c r="P114" s="46">
        <v>42794</v>
      </c>
      <c r="Q114" s="367" t="s">
        <v>769</v>
      </c>
      <c r="R114" s="368" t="s">
        <v>51</v>
      </c>
      <c r="S114" s="46"/>
      <c r="T114" s="368"/>
      <c r="U114" s="384">
        <f>DAYS360(G114,L109,0)+1</f>
        <v>41420</v>
      </c>
      <c r="V114" s="376" t="str">
        <f t="shared" si="46"/>
        <v>Inoportuno</v>
      </c>
      <c r="W114" s="384">
        <f t="shared" si="57"/>
        <v>-42179</v>
      </c>
      <c r="X114" s="702" t="s">
        <v>338</v>
      </c>
    </row>
    <row r="115" spans="1:24" ht="89.25" customHeight="1" x14ac:dyDescent="0.2">
      <c r="A115" s="368">
        <v>68</v>
      </c>
      <c r="B115" s="372" t="s">
        <v>337</v>
      </c>
      <c r="C115" s="364" t="s">
        <v>498</v>
      </c>
      <c r="D115" s="362" t="s">
        <v>43</v>
      </c>
      <c r="E115" s="372" t="s">
        <v>0</v>
      </c>
      <c r="F115" s="365" t="s">
        <v>60</v>
      </c>
      <c r="G115" s="46">
        <v>41985</v>
      </c>
      <c r="H115" s="422" t="s">
        <v>278</v>
      </c>
      <c r="I115" s="374" t="s">
        <v>78</v>
      </c>
      <c r="J115" s="374" t="s">
        <v>133</v>
      </c>
      <c r="K115" s="159" t="s">
        <v>79</v>
      </c>
      <c r="L115" s="46">
        <v>42023</v>
      </c>
      <c r="M115" s="364" t="s">
        <v>50</v>
      </c>
      <c r="N115" s="364" t="s">
        <v>136</v>
      </c>
      <c r="O115" s="588" t="s">
        <v>504</v>
      </c>
      <c r="P115" s="46">
        <v>42368</v>
      </c>
      <c r="Q115" s="364" t="s">
        <v>770</v>
      </c>
      <c r="R115" s="368" t="s">
        <v>51</v>
      </c>
      <c r="S115" s="46"/>
      <c r="T115" s="368"/>
      <c r="U115" s="384">
        <f t="shared" si="45"/>
        <v>38</v>
      </c>
      <c r="V115" s="376" t="str">
        <f t="shared" si="46"/>
        <v>Inoportuno</v>
      </c>
      <c r="W115" s="384">
        <f t="shared" si="39"/>
        <v>-41759</v>
      </c>
      <c r="X115" s="379" t="s">
        <v>338</v>
      </c>
    </row>
    <row r="116" spans="1:24" ht="132.75" customHeight="1" x14ac:dyDescent="0.2">
      <c r="A116" s="242">
        <f t="shared" si="22"/>
        <v>69</v>
      </c>
      <c r="B116" s="364" t="s">
        <v>2</v>
      </c>
      <c r="C116" s="364" t="s">
        <v>2</v>
      </c>
      <c r="D116" s="370" t="s">
        <v>43</v>
      </c>
      <c r="E116" s="372" t="s">
        <v>0</v>
      </c>
      <c r="F116" s="365" t="s">
        <v>58</v>
      </c>
      <c r="G116" s="46">
        <v>42004</v>
      </c>
      <c r="H116" s="422" t="s">
        <v>279</v>
      </c>
      <c r="I116" s="374" t="s">
        <v>78</v>
      </c>
      <c r="J116" s="374" t="s">
        <v>134</v>
      </c>
      <c r="K116" s="566" t="s">
        <v>79</v>
      </c>
      <c r="L116" s="46">
        <v>42243</v>
      </c>
      <c r="M116" s="364" t="s">
        <v>50</v>
      </c>
      <c r="N116" s="222" t="s">
        <v>354</v>
      </c>
      <c r="O116" s="588" t="s">
        <v>355</v>
      </c>
      <c r="P116" s="46">
        <v>42368</v>
      </c>
      <c r="Q116" s="425" t="s">
        <v>505</v>
      </c>
      <c r="R116" s="368" t="s">
        <v>55</v>
      </c>
      <c r="S116" s="46">
        <v>42734</v>
      </c>
      <c r="T116" s="617" t="s">
        <v>1012</v>
      </c>
      <c r="U116" s="384">
        <f t="shared" ref="U116:U117" si="58">DAYS360(G116,L116,0)+1</f>
        <v>238</v>
      </c>
      <c r="V116" s="376" t="str">
        <f t="shared" ref="V116" si="59">IF(U116&gt;7,"Inoportuno",(IF(U116&lt;0,"No ha formulado PM","Oportuno")))</f>
        <v>Inoportuno</v>
      </c>
      <c r="W116" s="384">
        <f t="shared" ref="W116" si="60">DAYS360(P116,S116,0)+1</f>
        <v>361</v>
      </c>
      <c r="X116" s="379" t="s">
        <v>338</v>
      </c>
    </row>
    <row r="117" spans="1:24" ht="198" customHeight="1" x14ac:dyDescent="0.2">
      <c r="A117" s="637">
        <v>70</v>
      </c>
      <c r="B117" s="639" t="s">
        <v>37</v>
      </c>
      <c r="C117" s="639" t="s">
        <v>37</v>
      </c>
      <c r="D117" s="646" t="s">
        <v>43</v>
      </c>
      <c r="E117" s="639" t="s">
        <v>0</v>
      </c>
      <c r="F117" s="676" t="s">
        <v>107</v>
      </c>
      <c r="G117" s="642">
        <v>41997</v>
      </c>
      <c r="H117" s="639" t="s">
        <v>280</v>
      </c>
      <c r="I117" s="653" t="s">
        <v>78</v>
      </c>
      <c r="J117" s="653" t="s">
        <v>133</v>
      </c>
      <c r="K117" s="637" t="s">
        <v>79</v>
      </c>
      <c r="L117" s="642">
        <v>42011</v>
      </c>
      <c r="M117" s="364" t="s">
        <v>104</v>
      </c>
      <c r="N117" s="364" t="s">
        <v>288</v>
      </c>
      <c r="O117" s="588" t="s">
        <v>289</v>
      </c>
      <c r="P117" s="46">
        <v>42398</v>
      </c>
      <c r="Q117" s="364" t="s">
        <v>667</v>
      </c>
      <c r="R117" s="368" t="s">
        <v>55</v>
      </c>
      <c r="S117" s="46">
        <v>42495</v>
      </c>
      <c r="T117" s="615" t="s">
        <v>1009</v>
      </c>
      <c r="U117" s="580">
        <f t="shared" si="58"/>
        <v>14</v>
      </c>
      <c r="V117" s="376" t="str">
        <f t="shared" ref="V117" si="61">IF(U117&gt;7,"Inoportuno",(IF(U117&lt;0,"No ha formulado PM","Oportuno")))</f>
        <v>Inoportuno</v>
      </c>
      <c r="W117" s="384">
        <f t="shared" ref="W117" si="62">DAYS360(P117,S117,0)+1</f>
        <v>97</v>
      </c>
      <c r="X117" s="699" t="s">
        <v>338</v>
      </c>
    </row>
    <row r="118" spans="1:24" ht="165.75" customHeight="1" x14ac:dyDescent="0.2">
      <c r="A118" s="638"/>
      <c r="B118" s="640"/>
      <c r="C118" s="640"/>
      <c r="D118" s="648"/>
      <c r="E118" s="640"/>
      <c r="F118" s="678"/>
      <c r="G118" s="644"/>
      <c r="H118" s="640"/>
      <c r="I118" s="654"/>
      <c r="J118" s="654"/>
      <c r="K118" s="638"/>
      <c r="L118" s="644"/>
      <c r="M118" s="364" t="s">
        <v>50</v>
      </c>
      <c r="N118" s="364" t="s">
        <v>288</v>
      </c>
      <c r="O118" s="588" t="s">
        <v>305</v>
      </c>
      <c r="P118" s="46">
        <v>42459</v>
      </c>
      <c r="Q118" s="364" t="s">
        <v>506</v>
      </c>
      <c r="R118" s="368" t="s">
        <v>51</v>
      </c>
      <c r="S118" s="46"/>
      <c r="T118" s="615" t="s">
        <v>1010</v>
      </c>
      <c r="U118" s="384">
        <f>DAYS360(G117,L117,0)+1</f>
        <v>14</v>
      </c>
      <c r="V118" s="376" t="str">
        <f t="shared" ref="V118:V138" si="63">IF(U118&gt;7,"Inoportuno",(IF(U118&lt;0,"No ha formulado PM","Oportuno")))</f>
        <v>Inoportuno</v>
      </c>
      <c r="W118" s="384">
        <f t="shared" ref="W118" si="64">DAYS360(P118,S118,0)+1</f>
        <v>-41849</v>
      </c>
      <c r="X118" s="699" t="s">
        <v>338</v>
      </c>
    </row>
    <row r="119" spans="1:24" ht="409.5" customHeight="1" x14ac:dyDescent="0.2">
      <c r="A119" s="368">
        <f>+A117+1</f>
        <v>71</v>
      </c>
      <c r="B119" s="364" t="s">
        <v>37</v>
      </c>
      <c r="C119" s="364" t="s">
        <v>37</v>
      </c>
      <c r="D119" s="370" t="s">
        <v>43</v>
      </c>
      <c r="E119" s="372" t="s">
        <v>0</v>
      </c>
      <c r="F119" s="365" t="s">
        <v>107</v>
      </c>
      <c r="G119" s="46">
        <v>41997</v>
      </c>
      <c r="H119" s="422" t="s">
        <v>281</v>
      </c>
      <c r="I119" s="374" t="s">
        <v>78</v>
      </c>
      <c r="J119" s="374" t="s">
        <v>133</v>
      </c>
      <c r="K119" s="566" t="s">
        <v>79</v>
      </c>
      <c r="L119" s="46">
        <v>42011</v>
      </c>
      <c r="M119" s="364" t="s">
        <v>50</v>
      </c>
      <c r="N119" s="364" t="s">
        <v>288</v>
      </c>
      <c r="O119" s="588" t="s">
        <v>306</v>
      </c>
      <c r="P119" s="46">
        <v>42277</v>
      </c>
      <c r="Q119" s="364" t="s">
        <v>668</v>
      </c>
      <c r="R119" s="368" t="s">
        <v>51</v>
      </c>
      <c r="S119" s="46"/>
      <c r="T119" s="616" t="s">
        <v>1011</v>
      </c>
      <c r="U119" s="384">
        <f t="shared" ref="U119:U120" si="65">DAYS360(G119,L119,0)+1</f>
        <v>14</v>
      </c>
      <c r="V119" s="376" t="str">
        <f t="shared" si="63"/>
        <v>Inoportuno</v>
      </c>
      <c r="W119" s="384">
        <f t="shared" ref="W119" si="66">DAYS360(P119,S119,0)+1</f>
        <v>-41669</v>
      </c>
      <c r="X119" s="379" t="s">
        <v>338</v>
      </c>
    </row>
    <row r="120" spans="1:24" ht="183.75" customHeight="1" x14ac:dyDescent="0.2">
      <c r="A120" s="637">
        <v>72</v>
      </c>
      <c r="B120" s="639" t="s">
        <v>25</v>
      </c>
      <c r="C120" s="639" t="s">
        <v>191</v>
      </c>
      <c r="D120" s="646" t="s">
        <v>43</v>
      </c>
      <c r="E120" s="639" t="s">
        <v>0</v>
      </c>
      <c r="F120" s="676" t="s">
        <v>59</v>
      </c>
      <c r="G120" s="642">
        <v>42004</v>
      </c>
      <c r="H120" s="639" t="s">
        <v>541</v>
      </c>
      <c r="I120" s="653" t="s">
        <v>78</v>
      </c>
      <c r="J120" s="653" t="s">
        <v>133</v>
      </c>
      <c r="K120" s="637" t="s">
        <v>79</v>
      </c>
      <c r="L120" s="642">
        <v>42117</v>
      </c>
      <c r="M120" s="364" t="s">
        <v>50</v>
      </c>
      <c r="N120" s="226" t="s">
        <v>325</v>
      </c>
      <c r="O120" s="588" t="s">
        <v>327</v>
      </c>
      <c r="P120" s="229">
        <v>42520</v>
      </c>
      <c r="Q120" s="364" t="s">
        <v>661</v>
      </c>
      <c r="R120" s="368" t="s">
        <v>51</v>
      </c>
      <c r="S120" s="46"/>
      <c r="T120" s="368"/>
      <c r="U120" s="580">
        <f t="shared" si="65"/>
        <v>114</v>
      </c>
      <c r="V120" s="711" t="str">
        <f t="shared" si="63"/>
        <v>Inoportuno</v>
      </c>
      <c r="W120" s="384">
        <f t="shared" ref="W120" si="67">DAYS360(P120,S120,0)+1</f>
        <v>-41909</v>
      </c>
      <c r="X120" s="700" t="s">
        <v>338</v>
      </c>
    </row>
    <row r="121" spans="1:24" ht="117" customHeight="1" x14ac:dyDescent="0.2">
      <c r="A121" s="645"/>
      <c r="B121" s="641"/>
      <c r="C121" s="641"/>
      <c r="D121" s="647"/>
      <c r="E121" s="641"/>
      <c r="F121" s="677"/>
      <c r="G121" s="643"/>
      <c r="H121" s="641"/>
      <c r="I121" s="655"/>
      <c r="J121" s="655"/>
      <c r="K121" s="645"/>
      <c r="L121" s="643"/>
      <c r="M121" s="364" t="s">
        <v>50</v>
      </c>
      <c r="N121" s="364" t="s">
        <v>507</v>
      </c>
      <c r="O121" s="588" t="s">
        <v>328</v>
      </c>
      <c r="P121" s="229">
        <v>42520</v>
      </c>
      <c r="Q121" s="364" t="s">
        <v>662</v>
      </c>
      <c r="R121" s="368" t="s">
        <v>51</v>
      </c>
      <c r="S121" s="46"/>
      <c r="T121" s="368"/>
      <c r="U121" s="384">
        <f t="shared" ref="U121:U122" si="68">DAYS360(G121,L121,0)+1</f>
        <v>1</v>
      </c>
      <c r="V121" s="709"/>
      <c r="W121" s="384">
        <f t="shared" ref="W121:W123" si="69">DAYS360(P121,S121,0)+1</f>
        <v>-41909</v>
      </c>
      <c r="X121" s="701" t="s">
        <v>338</v>
      </c>
    </row>
    <row r="122" spans="1:24" ht="170.25" customHeight="1" x14ac:dyDescent="0.2">
      <c r="A122" s="645"/>
      <c r="B122" s="641"/>
      <c r="C122" s="641"/>
      <c r="D122" s="647"/>
      <c r="E122" s="641"/>
      <c r="F122" s="677"/>
      <c r="G122" s="643"/>
      <c r="H122" s="641"/>
      <c r="I122" s="655"/>
      <c r="J122" s="655"/>
      <c r="K122" s="645"/>
      <c r="L122" s="643"/>
      <c r="M122" s="364" t="s">
        <v>50</v>
      </c>
      <c r="N122" s="364" t="s">
        <v>508</v>
      </c>
      <c r="O122" s="588" t="s">
        <v>329</v>
      </c>
      <c r="P122" s="229">
        <v>42520</v>
      </c>
      <c r="Q122" s="364" t="s">
        <v>663</v>
      </c>
      <c r="R122" s="368" t="s">
        <v>51</v>
      </c>
      <c r="S122" s="46"/>
      <c r="T122" s="368"/>
      <c r="U122" s="384">
        <f t="shared" si="68"/>
        <v>1</v>
      </c>
      <c r="V122" s="709"/>
      <c r="W122" s="384">
        <f t="shared" si="69"/>
        <v>-41909</v>
      </c>
      <c r="X122" s="701" t="s">
        <v>338</v>
      </c>
    </row>
    <row r="123" spans="1:24" ht="167.25" customHeight="1" x14ac:dyDescent="0.2">
      <c r="A123" s="638"/>
      <c r="B123" s="640"/>
      <c r="C123" s="640"/>
      <c r="D123" s="648"/>
      <c r="E123" s="640"/>
      <c r="F123" s="678"/>
      <c r="G123" s="644"/>
      <c r="H123" s="640"/>
      <c r="I123" s="654"/>
      <c r="J123" s="654"/>
      <c r="K123" s="638"/>
      <c r="L123" s="644"/>
      <c r="M123" s="364" t="s">
        <v>50</v>
      </c>
      <c r="N123" s="364" t="s">
        <v>326</v>
      </c>
      <c r="O123" s="588" t="s">
        <v>330</v>
      </c>
      <c r="P123" s="229">
        <v>42520</v>
      </c>
      <c r="Q123" s="365" t="s">
        <v>555</v>
      </c>
      <c r="R123" s="368" t="s">
        <v>51</v>
      </c>
      <c r="S123" s="46"/>
      <c r="T123" s="368"/>
      <c r="U123" s="384">
        <f>DAYS360(G120,L120,0)+1</f>
        <v>114</v>
      </c>
      <c r="V123" s="710"/>
      <c r="W123" s="384">
        <f t="shared" si="69"/>
        <v>-41909</v>
      </c>
      <c r="X123" s="702" t="s">
        <v>338</v>
      </c>
    </row>
    <row r="124" spans="1:24" ht="136.5" customHeight="1" x14ac:dyDescent="0.2">
      <c r="A124" s="637">
        <v>73</v>
      </c>
      <c r="B124" s="730" t="s">
        <v>25</v>
      </c>
      <c r="C124" s="730" t="s">
        <v>191</v>
      </c>
      <c r="D124" s="646" t="s">
        <v>43</v>
      </c>
      <c r="E124" s="639" t="s">
        <v>0</v>
      </c>
      <c r="F124" s="676" t="s">
        <v>59</v>
      </c>
      <c r="G124" s="642">
        <v>42004</v>
      </c>
      <c r="H124" s="639" t="s">
        <v>542</v>
      </c>
      <c r="I124" s="653" t="s">
        <v>78</v>
      </c>
      <c r="J124" s="653" t="s">
        <v>134</v>
      </c>
      <c r="K124" s="637" t="s">
        <v>79</v>
      </c>
      <c r="L124" s="46">
        <v>42117</v>
      </c>
      <c r="M124" s="364" t="s">
        <v>50</v>
      </c>
      <c r="N124" s="364" t="s">
        <v>324</v>
      </c>
      <c r="O124" s="588" t="s">
        <v>546</v>
      </c>
      <c r="P124" s="229">
        <v>42369</v>
      </c>
      <c r="Q124" s="364" t="s">
        <v>556</v>
      </c>
      <c r="R124" s="368" t="s">
        <v>55</v>
      </c>
      <c r="S124" s="46">
        <v>42451</v>
      </c>
      <c r="T124" s="364" t="s">
        <v>544</v>
      </c>
      <c r="U124" s="580">
        <f>DAYS360(G121,L121,0)+1</f>
        <v>1</v>
      </c>
      <c r="V124" s="709" t="s">
        <v>988</v>
      </c>
      <c r="W124" s="384">
        <f t="shared" ref="W124:W125" si="70">DAYS360(P124,S124,0)+1</f>
        <v>83</v>
      </c>
      <c r="X124" s="701" t="s">
        <v>338</v>
      </c>
    </row>
    <row r="125" spans="1:24" ht="135.75" customHeight="1" x14ac:dyDescent="0.2">
      <c r="A125" s="638"/>
      <c r="B125" s="731"/>
      <c r="C125" s="731"/>
      <c r="D125" s="648"/>
      <c r="E125" s="640"/>
      <c r="F125" s="678"/>
      <c r="G125" s="644"/>
      <c r="H125" s="640"/>
      <c r="I125" s="654"/>
      <c r="J125" s="654"/>
      <c r="K125" s="638"/>
      <c r="L125" s="46">
        <v>42117</v>
      </c>
      <c r="M125" s="364" t="s">
        <v>50</v>
      </c>
      <c r="N125" s="364" t="s">
        <v>324</v>
      </c>
      <c r="O125" s="588" t="s">
        <v>547</v>
      </c>
      <c r="P125" s="229">
        <v>42369</v>
      </c>
      <c r="Q125" s="364" t="s">
        <v>545</v>
      </c>
      <c r="R125" s="368" t="s">
        <v>55</v>
      </c>
      <c r="S125" s="46">
        <v>42451</v>
      </c>
      <c r="T125" s="364" t="s">
        <v>540</v>
      </c>
      <c r="U125" s="384">
        <f>DAYS360(G124,L124,0)+1</f>
        <v>114</v>
      </c>
      <c r="V125" s="710"/>
      <c r="W125" s="384">
        <f t="shared" si="70"/>
        <v>83</v>
      </c>
      <c r="X125" s="702" t="s">
        <v>338</v>
      </c>
    </row>
    <row r="126" spans="1:24" ht="174.75" customHeight="1" x14ac:dyDescent="0.2">
      <c r="A126" s="637">
        <v>74</v>
      </c>
      <c r="B126" s="639" t="s">
        <v>65</v>
      </c>
      <c r="C126" s="639" t="s">
        <v>184</v>
      </c>
      <c r="D126" s="732" t="s">
        <v>184</v>
      </c>
      <c r="E126" s="639" t="s">
        <v>0</v>
      </c>
      <c r="F126" s="676" t="s">
        <v>58</v>
      </c>
      <c r="G126" s="642">
        <v>42095</v>
      </c>
      <c r="H126" s="639" t="s">
        <v>307</v>
      </c>
      <c r="I126" s="653" t="s">
        <v>78</v>
      </c>
      <c r="J126" s="653" t="s">
        <v>134</v>
      </c>
      <c r="K126" s="637" t="s">
        <v>79</v>
      </c>
      <c r="L126" s="642">
        <v>42095</v>
      </c>
      <c r="M126" s="364" t="s">
        <v>50</v>
      </c>
      <c r="N126" s="221" t="s">
        <v>308</v>
      </c>
      <c r="O126" s="588" t="s">
        <v>509</v>
      </c>
      <c r="P126" s="46">
        <v>42338</v>
      </c>
      <c r="Q126" s="364" t="s">
        <v>633</v>
      </c>
      <c r="R126" s="368" t="s">
        <v>55</v>
      </c>
      <c r="S126" s="46">
        <v>42394</v>
      </c>
      <c r="T126" s="364" t="s">
        <v>634</v>
      </c>
      <c r="U126" s="580">
        <f>DAYS360(G125,L125,0)+1</f>
        <v>41514</v>
      </c>
      <c r="V126" s="709" t="s">
        <v>988</v>
      </c>
      <c r="W126" s="384">
        <f t="shared" ref="W126:W138" si="71">DAYS360(P126,S126,0)+1</f>
        <v>56</v>
      </c>
      <c r="X126" s="707" t="s">
        <v>338</v>
      </c>
    </row>
    <row r="127" spans="1:24" ht="82.5" customHeight="1" x14ac:dyDescent="0.2">
      <c r="A127" s="645"/>
      <c r="B127" s="641"/>
      <c r="C127" s="641"/>
      <c r="D127" s="733"/>
      <c r="E127" s="641"/>
      <c r="F127" s="677"/>
      <c r="G127" s="643"/>
      <c r="H127" s="641"/>
      <c r="I127" s="655"/>
      <c r="J127" s="655"/>
      <c r="K127" s="645"/>
      <c r="L127" s="643"/>
      <c r="M127" s="364" t="s">
        <v>50</v>
      </c>
      <c r="N127" s="221" t="s">
        <v>510</v>
      </c>
      <c r="O127" s="588" t="s">
        <v>511</v>
      </c>
      <c r="P127" s="46">
        <v>42308</v>
      </c>
      <c r="Q127" s="364" t="s">
        <v>635</v>
      </c>
      <c r="R127" s="368" t="s">
        <v>55</v>
      </c>
      <c r="S127" s="46">
        <v>42394</v>
      </c>
      <c r="T127" s="364" t="s">
        <v>631</v>
      </c>
      <c r="U127" s="384">
        <f t="shared" ref="U127" si="72">DAYS360(G127,L127,0)+1</f>
        <v>1</v>
      </c>
      <c r="V127" s="709"/>
      <c r="W127" s="384">
        <f t="shared" si="71"/>
        <v>86</v>
      </c>
      <c r="X127" s="707" t="s">
        <v>338</v>
      </c>
    </row>
    <row r="128" spans="1:24" ht="110.25" customHeight="1" x14ac:dyDescent="0.2">
      <c r="A128" s="638"/>
      <c r="B128" s="640"/>
      <c r="C128" s="640"/>
      <c r="D128" s="734"/>
      <c r="E128" s="640"/>
      <c r="F128" s="678"/>
      <c r="G128" s="644"/>
      <c r="H128" s="640"/>
      <c r="I128" s="654"/>
      <c r="J128" s="654"/>
      <c r="K128" s="638"/>
      <c r="L128" s="644"/>
      <c r="M128" s="364" t="s">
        <v>50</v>
      </c>
      <c r="N128" s="221" t="s">
        <v>59</v>
      </c>
      <c r="O128" s="588" t="s">
        <v>309</v>
      </c>
      <c r="P128" s="46">
        <v>42185</v>
      </c>
      <c r="Q128" s="364" t="s">
        <v>636</v>
      </c>
      <c r="R128" s="368" t="s">
        <v>55</v>
      </c>
      <c r="S128" s="46">
        <v>42467</v>
      </c>
      <c r="T128" s="364" t="s">
        <v>631</v>
      </c>
      <c r="U128" s="384">
        <f>DAYS360(G126,L126,0)+1</f>
        <v>1</v>
      </c>
      <c r="V128" s="710"/>
      <c r="W128" s="384">
        <f t="shared" si="71"/>
        <v>278</v>
      </c>
      <c r="X128" s="708" t="s">
        <v>338</v>
      </c>
    </row>
    <row r="129" spans="1:27" ht="100.5" customHeight="1" x14ac:dyDescent="0.2">
      <c r="A129" s="368">
        <f>+A126+1</f>
        <v>75</v>
      </c>
      <c r="B129" s="364" t="s">
        <v>65</v>
      </c>
      <c r="C129" s="364" t="s">
        <v>184</v>
      </c>
      <c r="D129" s="340" t="s">
        <v>184</v>
      </c>
      <c r="E129" s="372" t="s">
        <v>0</v>
      </c>
      <c r="F129" s="365" t="s">
        <v>58</v>
      </c>
      <c r="G129" s="46">
        <v>42095</v>
      </c>
      <c r="H129" s="422" t="s">
        <v>310</v>
      </c>
      <c r="I129" s="374" t="s">
        <v>78</v>
      </c>
      <c r="J129" s="374" t="s">
        <v>134</v>
      </c>
      <c r="K129" s="159" t="s">
        <v>79</v>
      </c>
      <c r="L129" s="46">
        <v>42095</v>
      </c>
      <c r="M129" s="364" t="s">
        <v>104</v>
      </c>
      <c r="N129" s="221" t="s">
        <v>59</v>
      </c>
      <c r="O129" s="588" t="s">
        <v>311</v>
      </c>
      <c r="P129" s="46">
        <v>42185</v>
      </c>
      <c r="Q129" s="364" t="s">
        <v>637</v>
      </c>
      <c r="R129" s="368" t="s">
        <v>55</v>
      </c>
      <c r="S129" s="46">
        <v>42467</v>
      </c>
      <c r="T129" s="364" t="s">
        <v>638</v>
      </c>
      <c r="U129" s="384">
        <f t="shared" ref="U129:U130" si="73">DAYS360(G129,L129,0)+1</f>
        <v>1</v>
      </c>
      <c r="V129" s="376" t="str">
        <f t="shared" ref="V129:V130" si="74">IF(U129&gt;7,"Inoportuno",(IF(U129&lt;0,"No ha formulado PM","Oportuno")))</f>
        <v>Oportuno</v>
      </c>
      <c r="W129" s="384">
        <f t="shared" si="71"/>
        <v>278</v>
      </c>
      <c r="X129" s="241" t="s">
        <v>338</v>
      </c>
    </row>
    <row r="130" spans="1:27" ht="114" customHeight="1" x14ac:dyDescent="0.2">
      <c r="A130" s="368">
        <f t="shared" ref="A130:A145" si="75">+A129+1</f>
        <v>76</v>
      </c>
      <c r="B130" s="364" t="s">
        <v>65</v>
      </c>
      <c r="C130" s="364" t="s">
        <v>184</v>
      </c>
      <c r="D130" s="340" t="s">
        <v>184</v>
      </c>
      <c r="E130" s="372" t="s">
        <v>0</v>
      </c>
      <c r="F130" s="365" t="s">
        <v>58</v>
      </c>
      <c r="G130" s="46">
        <v>42095</v>
      </c>
      <c r="H130" s="422" t="s">
        <v>313</v>
      </c>
      <c r="I130" s="374" t="s">
        <v>78</v>
      </c>
      <c r="J130" s="374" t="s">
        <v>134</v>
      </c>
      <c r="K130" s="159" t="s">
        <v>79</v>
      </c>
      <c r="L130" s="46">
        <v>42095</v>
      </c>
      <c r="M130" s="364" t="s">
        <v>50</v>
      </c>
      <c r="N130" s="221" t="s">
        <v>59</v>
      </c>
      <c r="O130" s="588" t="s">
        <v>312</v>
      </c>
      <c r="P130" s="46">
        <v>42185</v>
      </c>
      <c r="Q130" s="364" t="s">
        <v>639</v>
      </c>
      <c r="R130" s="368" t="s">
        <v>55</v>
      </c>
      <c r="S130" s="46">
        <v>42467</v>
      </c>
      <c r="T130" s="364" t="s">
        <v>638</v>
      </c>
      <c r="U130" s="384">
        <f t="shared" si="73"/>
        <v>1</v>
      </c>
      <c r="V130" s="376" t="str">
        <f t="shared" si="74"/>
        <v>Oportuno</v>
      </c>
      <c r="W130" s="384">
        <f t="shared" si="71"/>
        <v>278</v>
      </c>
      <c r="X130" s="241" t="s">
        <v>338</v>
      </c>
    </row>
    <row r="131" spans="1:27" ht="409.5" customHeight="1" x14ac:dyDescent="0.2">
      <c r="A131" s="368">
        <f t="shared" si="75"/>
        <v>77</v>
      </c>
      <c r="B131" s="364" t="s">
        <v>49</v>
      </c>
      <c r="C131" s="364" t="s">
        <v>316</v>
      </c>
      <c r="D131" s="340" t="s">
        <v>43</v>
      </c>
      <c r="E131" s="372" t="s">
        <v>0</v>
      </c>
      <c r="F131" s="365" t="s">
        <v>59</v>
      </c>
      <c r="G131" s="46">
        <v>42116</v>
      </c>
      <c r="H131" s="592" t="s">
        <v>317</v>
      </c>
      <c r="I131" s="374" t="s">
        <v>78</v>
      </c>
      <c r="J131" s="374" t="s">
        <v>134</v>
      </c>
      <c r="K131" s="159" t="s">
        <v>79</v>
      </c>
      <c r="L131" s="46">
        <v>42228</v>
      </c>
      <c r="M131" s="364" t="s">
        <v>50</v>
      </c>
      <c r="N131" s="284">
        <v>42369</v>
      </c>
      <c r="O131" s="588" t="s">
        <v>900</v>
      </c>
      <c r="P131" s="46">
        <v>42369</v>
      </c>
      <c r="Q131" s="367" t="s">
        <v>709</v>
      </c>
      <c r="R131" s="368" t="s">
        <v>55</v>
      </c>
      <c r="S131" s="46"/>
      <c r="T131" s="500" t="s">
        <v>901</v>
      </c>
      <c r="U131" s="384">
        <f t="shared" ref="U131:U133" si="76">DAYS360(G131,L131,0)+1</f>
        <v>111</v>
      </c>
      <c r="V131" s="376" t="str">
        <f t="shared" ref="V131:V133" si="77">IF(U131&gt;7,"Inoportuno",(IF(U131&lt;0,"No ha formulado PM","Oportuno")))</f>
        <v>Inoportuno</v>
      </c>
      <c r="W131" s="384">
        <f t="shared" ref="W131:W133" si="78">DAYS360(P131,S131,0)+1</f>
        <v>-41759</v>
      </c>
      <c r="X131" s="241" t="s">
        <v>338</v>
      </c>
    </row>
    <row r="132" spans="1:27" ht="238.5" customHeight="1" x14ac:dyDescent="0.2">
      <c r="A132" s="368">
        <f t="shared" si="75"/>
        <v>78</v>
      </c>
      <c r="B132" s="364" t="s">
        <v>49</v>
      </c>
      <c r="C132" s="364" t="s">
        <v>316</v>
      </c>
      <c r="D132" s="340" t="s">
        <v>43</v>
      </c>
      <c r="E132" s="372" t="s">
        <v>0</v>
      </c>
      <c r="F132" s="365" t="s">
        <v>59</v>
      </c>
      <c r="G132" s="46">
        <v>42116</v>
      </c>
      <c r="H132" s="592" t="s">
        <v>318</v>
      </c>
      <c r="I132" s="374" t="s">
        <v>78</v>
      </c>
      <c r="J132" s="374" t="s">
        <v>134</v>
      </c>
      <c r="K132" s="159" t="s">
        <v>79</v>
      </c>
      <c r="L132" s="46">
        <v>42228</v>
      </c>
      <c r="M132" s="364" t="s">
        <v>50</v>
      </c>
      <c r="N132" s="222" t="s">
        <v>349</v>
      </c>
      <c r="O132" s="588" t="s">
        <v>348</v>
      </c>
      <c r="P132" s="46">
        <v>42277</v>
      </c>
      <c r="Q132" s="562" t="s">
        <v>976</v>
      </c>
      <c r="R132" s="368" t="s">
        <v>55</v>
      </c>
      <c r="S132" s="46"/>
      <c r="T132" s="500" t="s">
        <v>975</v>
      </c>
      <c r="U132" s="384">
        <f t="shared" si="76"/>
        <v>111</v>
      </c>
      <c r="V132" s="376" t="str">
        <f t="shared" si="77"/>
        <v>Inoportuno</v>
      </c>
      <c r="W132" s="384">
        <f t="shared" si="78"/>
        <v>-41669</v>
      </c>
      <c r="X132" s="241" t="s">
        <v>338</v>
      </c>
    </row>
    <row r="133" spans="1:27" ht="281.25" customHeight="1" x14ac:dyDescent="0.2">
      <c r="A133" s="368">
        <f t="shared" si="75"/>
        <v>79</v>
      </c>
      <c r="B133" s="364" t="s">
        <v>49</v>
      </c>
      <c r="C133" s="364" t="s">
        <v>316</v>
      </c>
      <c r="D133" s="340" t="s">
        <v>43</v>
      </c>
      <c r="E133" s="372" t="s">
        <v>0</v>
      </c>
      <c r="F133" s="365" t="s">
        <v>59</v>
      </c>
      <c r="G133" s="46">
        <v>42116</v>
      </c>
      <c r="H133" s="597" t="s">
        <v>319</v>
      </c>
      <c r="I133" s="374" t="s">
        <v>78</v>
      </c>
      <c r="J133" s="374" t="s">
        <v>133</v>
      </c>
      <c r="K133" s="159" t="s">
        <v>79</v>
      </c>
      <c r="L133" s="46">
        <v>42228</v>
      </c>
      <c r="M133" s="364" t="s">
        <v>50</v>
      </c>
      <c r="N133" s="222" t="s">
        <v>353</v>
      </c>
      <c r="O133" s="588" t="s">
        <v>350</v>
      </c>
      <c r="P133" s="46">
        <v>42460</v>
      </c>
      <c r="Q133" s="367" t="s">
        <v>710</v>
      </c>
      <c r="R133" s="368" t="s">
        <v>55</v>
      </c>
      <c r="S133" s="46"/>
      <c r="T133" s="502" t="s">
        <v>910</v>
      </c>
      <c r="U133" s="384">
        <f t="shared" si="76"/>
        <v>111</v>
      </c>
      <c r="V133" s="376" t="str">
        <f t="shared" si="77"/>
        <v>Inoportuno</v>
      </c>
      <c r="W133" s="384">
        <f t="shared" si="78"/>
        <v>-41849</v>
      </c>
      <c r="X133" s="241" t="s">
        <v>338</v>
      </c>
    </row>
    <row r="134" spans="1:27" ht="81.75" customHeight="1" x14ac:dyDescent="0.2">
      <c r="A134" s="368">
        <f t="shared" si="75"/>
        <v>80</v>
      </c>
      <c r="B134" s="372" t="s">
        <v>335</v>
      </c>
      <c r="C134" s="364" t="s">
        <v>406</v>
      </c>
      <c r="D134" s="340" t="s">
        <v>43</v>
      </c>
      <c r="E134" s="372" t="s">
        <v>0</v>
      </c>
      <c r="F134" s="365" t="s">
        <v>52</v>
      </c>
      <c r="G134" s="46">
        <v>42130</v>
      </c>
      <c r="H134" s="592" t="s">
        <v>320</v>
      </c>
      <c r="I134" s="374" t="s">
        <v>78</v>
      </c>
      <c r="J134" s="374" t="s">
        <v>134</v>
      </c>
      <c r="K134" s="159" t="s">
        <v>79</v>
      </c>
      <c r="L134" s="46">
        <v>42508</v>
      </c>
      <c r="M134" s="364" t="s">
        <v>104</v>
      </c>
      <c r="N134" s="364" t="s">
        <v>136</v>
      </c>
      <c r="O134" s="588" t="s">
        <v>610</v>
      </c>
      <c r="P134" s="46">
        <v>42531</v>
      </c>
      <c r="Q134" s="222" t="s">
        <v>831</v>
      </c>
      <c r="R134" s="368" t="s">
        <v>55</v>
      </c>
      <c r="S134" s="46">
        <v>42706</v>
      </c>
      <c r="T134" s="368" t="s">
        <v>977</v>
      </c>
      <c r="U134" s="384">
        <f t="shared" ref="U134:U143" si="79">DAYS360(G134,L134,0)+1</f>
        <v>373</v>
      </c>
      <c r="V134" s="376" t="str">
        <f t="shared" si="63"/>
        <v>Inoportuno</v>
      </c>
      <c r="W134" s="384">
        <f t="shared" si="71"/>
        <v>173</v>
      </c>
      <c r="X134" s="241" t="s">
        <v>338</v>
      </c>
    </row>
    <row r="135" spans="1:27" ht="120.75" customHeight="1" x14ac:dyDescent="0.2">
      <c r="A135" s="368">
        <f t="shared" si="75"/>
        <v>81</v>
      </c>
      <c r="B135" s="372" t="s">
        <v>335</v>
      </c>
      <c r="C135" s="364" t="s">
        <v>406</v>
      </c>
      <c r="D135" s="340" t="s">
        <v>43</v>
      </c>
      <c r="E135" s="372" t="s">
        <v>0</v>
      </c>
      <c r="F135" s="365" t="s">
        <v>52</v>
      </c>
      <c r="G135" s="46">
        <v>42130</v>
      </c>
      <c r="H135" s="583" t="s">
        <v>389</v>
      </c>
      <c r="I135" s="374" t="s">
        <v>78</v>
      </c>
      <c r="J135" s="469" t="s">
        <v>134</v>
      </c>
      <c r="K135" s="159" t="s">
        <v>79</v>
      </c>
      <c r="L135" s="46">
        <v>42508</v>
      </c>
      <c r="M135" s="364" t="s">
        <v>104</v>
      </c>
      <c r="N135" s="306" t="s">
        <v>611</v>
      </c>
      <c r="O135" s="588" t="s">
        <v>612</v>
      </c>
      <c r="P135" s="46">
        <v>42531</v>
      </c>
      <c r="Q135" s="501" t="s">
        <v>837</v>
      </c>
      <c r="R135" s="467" t="s">
        <v>55</v>
      </c>
      <c r="S135" s="471">
        <v>42706</v>
      </c>
      <c r="T135" s="368" t="s">
        <v>978</v>
      </c>
      <c r="U135" s="384">
        <f t="shared" si="79"/>
        <v>373</v>
      </c>
      <c r="V135" s="376" t="str">
        <f t="shared" si="63"/>
        <v>Inoportuno</v>
      </c>
      <c r="W135" s="384">
        <f t="shared" si="71"/>
        <v>173</v>
      </c>
      <c r="X135" s="241" t="s">
        <v>338</v>
      </c>
    </row>
    <row r="136" spans="1:27" ht="96" customHeight="1" x14ac:dyDescent="0.2">
      <c r="A136" s="368">
        <f t="shared" si="75"/>
        <v>82</v>
      </c>
      <c r="B136" s="372" t="s">
        <v>335</v>
      </c>
      <c r="C136" s="364" t="s">
        <v>406</v>
      </c>
      <c r="D136" s="340" t="s">
        <v>43</v>
      </c>
      <c r="E136" s="372" t="s">
        <v>0</v>
      </c>
      <c r="F136" s="365" t="s">
        <v>52</v>
      </c>
      <c r="G136" s="46">
        <v>42130</v>
      </c>
      <c r="H136" s="576" t="s">
        <v>321</v>
      </c>
      <c r="I136" s="374" t="s">
        <v>78</v>
      </c>
      <c r="J136" s="374" t="s">
        <v>134</v>
      </c>
      <c r="K136" s="159" t="s">
        <v>79</v>
      </c>
      <c r="L136" s="46">
        <v>42130</v>
      </c>
      <c r="M136" s="364" t="s">
        <v>104</v>
      </c>
      <c r="N136" s="364" t="s">
        <v>548</v>
      </c>
      <c r="O136" s="588" t="s">
        <v>549</v>
      </c>
      <c r="P136" s="46">
        <v>42130</v>
      </c>
      <c r="Q136" s="563" t="s">
        <v>549</v>
      </c>
      <c r="R136" s="368" t="s">
        <v>55</v>
      </c>
      <c r="S136" s="46">
        <v>41765</v>
      </c>
      <c r="T136" s="222" t="s">
        <v>549</v>
      </c>
      <c r="U136" s="384">
        <f t="shared" si="79"/>
        <v>1</v>
      </c>
      <c r="V136" s="376" t="str">
        <f t="shared" si="63"/>
        <v>Oportuno</v>
      </c>
      <c r="W136" s="384">
        <f t="shared" si="71"/>
        <v>-359</v>
      </c>
      <c r="X136" s="241" t="s">
        <v>338</v>
      </c>
    </row>
    <row r="137" spans="1:27" ht="72" customHeight="1" x14ac:dyDescent="0.2">
      <c r="A137" s="368">
        <f t="shared" si="75"/>
        <v>83</v>
      </c>
      <c r="B137" s="372" t="s">
        <v>335</v>
      </c>
      <c r="C137" s="364" t="s">
        <v>406</v>
      </c>
      <c r="D137" s="340" t="s">
        <v>43</v>
      </c>
      <c r="E137" s="372" t="s">
        <v>0</v>
      </c>
      <c r="F137" s="365" t="s">
        <v>52</v>
      </c>
      <c r="G137" s="46">
        <v>42130</v>
      </c>
      <c r="H137" s="576" t="s">
        <v>322</v>
      </c>
      <c r="I137" s="374" t="s">
        <v>78</v>
      </c>
      <c r="J137" s="374" t="s">
        <v>134</v>
      </c>
      <c r="K137" s="159" t="s">
        <v>79</v>
      </c>
      <c r="L137" s="46">
        <v>42130</v>
      </c>
      <c r="M137" s="364" t="s">
        <v>104</v>
      </c>
      <c r="N137" s="364" t="s">
        <v>548</v>
      </c>
      <c r="O137" s="588" t="s">
        <v>549</v>
      </c>
      <c r="P137" s="46">
        <v>42130</v>
      </c>
      <c r="Q137" s="563" t="s">
        <v>549</v>
      </c>
      <c r="R137" s="368" t="s">
        <v>55</v>
      </c>
      <c r="S137" s="46">
        <v>41765</v>
      </c>
      <c r="T137" s="222" t="s">
        <v>549</v>
      </c>
      <c r="U137" s="384">
        <f t="shared" si="79"/>
        <v>1</v>
      </c>
      <c r="V137" s="376" t="str">
        <f t="shared" si="63"/>
        <v>Oportuno</v>
      </c>
      <c r="W137" s="384">
        <f t="shared" si="71"/>
        <v>-359</v>
      </c>
      <c r="X137" s="241" t="s">
        <v>338</v>
      </c>
    </row>
    <row r="138" spans="1:27" ht="121.5" customHeight="1" x14ac:dyDescent="0.2">
      <c r="A138" s="368">
        <f t="shared" si="75"/>
        <v>84</v>
      </c>
      <c r="B138" s="372" t="s">
        <v>335</v>
      </c>
      <c r="C138" s="364" t="s">
        <v>406</v>
      </c>
      <c r="D138" s="340" t="s">
        <v>43</v>
      </c>
      <c r="E138" s="372" t="s">
        <v>0</v>
      </c>
      <c r="F138" s="365" t="s">
        <v>52</v>
      </c>
      <c r="G138" s="46">
        <v>42130</v>
      </c>
      <c r="H138" s="583" t="s">
        <v>390</v>
      </c>
      <c r="I138" s="374" t="s">
        <v>78</v>
      </c>
      <c r="J138" s="374" t="s">
        <v>134</v>
      </c>
      <c r="K138" s="159" t="s">
        <v>79</v>
      </c>
      <c r="L138" s="46">
        <v>42508</v>
      </c>
      <c r="M138" s="364" t="s">
        <v>104</v>
      </c>
      <c r="N138" s="364" t="s">
        <v>136</v>
      </c>
      <c r="O138" s="588" t="s">
        <v>613</v>
      </c>
      <c r="P138" s="46">
        <v>42531</v>
      </c>
      <c r="Q138" s="563" t="s">
        <v>832</v>
      </c>
      <c r="R138" s="368" t="s">
        <v>55</v>
      </c>
      <c r="S138" s="46">
        <v>42706</v>
      </c>
      <c r="T138" s="368" t="s">
        <v>979</v>
      </c>
      <c r="U138" s="384">
        <f t="shared" si="79"/>
        <v>373</v>
      </c>
      <c r="V138" s="376" t="str">
        <f t="shared" si="63"/>
        <v>Inoportuno</v>
      </c>
      <c r="W138" s="384">
        <f t="shared" si="71"/>
        <v>173</v>
      </c>
      <c r="X138" s="241" t="s">
        <v>338</v>
      </c>
    </row>
    <row r="139" spans="1:27" ht="102" customHeight="1" x14ac:dyDescent="0.2">
      <c r="A139" s="242">
        <f t="shared" si="75"/>
        <v>85</v>
      </c>
      <c r="B139" s="364" t="s">
        <v>2</v>
      </c>
      <c r="C139" s="364" t="s">
        <v>2</v>
      </c>
      <c r="D139" s="370" t="s">
        <v>43</v>
      </c>
      <c r="E139" s="372" t="s">
        <v>0</v>
      </c>
      <c r="F139" s="422" t="s">
        <v>58</v>
      </c>
      <c r="G139" s="46">
        <v>42234</v>
      </c>
      <c r="H139" s="422" t="s">
        <v>356</v>
      </c>
      <c r="I139" s="374" t="s">
        <v>78</v>
      </c>
      <c r="J139" s="374" t="s">
        <v>134</v>
      </c>
      <c r="K139" s="566" t="s">
        <v>79</v>
      </c>
      <c r="L139" s="46">
        <v>42243</v>
      </c>
      <c r="M139" s="364" t="s">
        <v>50</v>
      </c>
      <c r="N139" s="222" t="s">
        <v>354</v>
      </c>
      <c r="O139" s="588" t="s">
        <v>358</v>
      </c>
      <c r="P139" s="228">
        <v>42248</v>
      </c>
      <c r="Q139" s="364" t="s">
        <v>512</v>
      </c>
      <c r="R139" s="368" t="s">
        <v>55</v>
      </c>
      <c r="S139" s="46">
        <v>42734</v>
      </c>
      <c r="T139" s="619" t="s">
        <v>1016</v>
      </c>
      <c r="U139" s="580">
        <f t="shared" si="79"/>
        <v>10</v>
      </c>
      <c r="V139" s="376" t="s">
        <v>989</v>
      </c>
      <c r="W139" s="384">
        <f t="shared" ref="W139" si="80">DAYS360(P139,S139,0)+1</f>
        <v>480</v>
      </c>
      <c r="X139" s="379" t="s">
        <v>338</v>
      </c>
    </row>
    <row r="140" spans="1:27" ht="117.75" customHeight="1" x14ac:dyDescent="0.2">
      <c r="A140" s="242">
        <f t="shared" si="75"/>
        <v>86</v>
      </c>
      <c r="B140" s="364" t="s">
        <v>2</v>
      </c>
      <c r="C140" s="364" t="s">
        <v>2</v>
      </c>
      <c r="D140" s="370" t="s">
        <v>43</v>
      </c>
      <c r="E140" s="372" t="s">
        <v>0</v>
      </c>
      <c r="F140" s="422" t="s">
        <v>58</v>
      </c>
      <c r="G140" s="46">
        <v>42234</v>
      </c>
      <c r="H140" s="422" t="s">
        <v>357</v>
      </c>
      <c r="I140" s="374" t="s">
        <v>78</v>
      </c>
      <c r="J140" s="374" t="s">
        <v>134</v>
      </c>
      <c r="K140" s="566" t="s">
        <v>79</v>
      </c>
      <c r="L140" s="46">
        <v>42243</v>
      </c>
      <c r="M140" s="364" t="s">
        <v>50</v>
      </c>
      <c r="N140" s="222" t="s">
        <v>354</v>
      </c>
      <c r="O140" s="588" t="s">
        <v>359</v>
      </c>
      <c r="P140" s="228">
        <v>42369</v>
      </c>
      <c r="Q140" s="425" t="s">
        <v>388</v>
      </c>
      <c r="R140" s="368" t="s">
        <v>55</v>
      </c>
      <c r="S140" s="46">
        <v>42734</v>
      </c>
      <c r="T140" s="610" t="s">
        <v>1013</v>
      </c>
      <c r="U140" s="580">
        <f t="shared" si="79"/>
        <v>10</v>
      </c>
      <c r="V140" s="376" t="s">
        <v>989</v>
      </c>
      <c r="W140" s="384">
        <f t="shared" ref="W140:W141" si="81">DAYS360(P140,S140,0)+1</f>
        <v>361</v>
      </c>
      <c r="X140" s="379" t="s">
        <v>338</v>
      </c>
    </row>
    <row r="141" spans="1:27" ht="216.75" x14ac:dyDescent="0.2">
      <c r="A141" s="737">
        <v>87</v>
      </c>
      <c r="B141" s="688" t="s">
        <v>2</v>
      </c>
      <c r="C141" s="688" t="s">
        <v>2</v>
      </c>
      <c r="D141" s="687" t="s">
        <v>43</v>
      </c>
      <c r="E141" s="688" t="s">
        <v>0</v>
      </c>
      <c r="F141" s="688" t="s">
        <v>58</v>
      </c>
      <c r="G141" s="685">
        <v>42234</v>
      </c>
      <c r="H141" s="688" t="s">
        <v>360</v>
      </c>
      <c r="I141" s="663" t="s">
        <v>78</v>
      </c>
      <c r="J141" s="663" t="s">
        <v>133</v>
      </c>
      <c r="K141" s="637" t="s">
        <v>79</v>
      </c>
      <c r="L141" s="642">
        <v>42243</v>
      </c>
      <c r="M141" s="364" t="s">
        <v>104</v>
      </c>
      <c r="N141" s="222" t="s">
        <v>354</v>
      </c>
      <c r="O141" s="588" t="s">
        <v>361</v>
      </c>
      <c r="P141" s="228">
        <v>42369</v>
      </c>
      <c r="Q141" s="364" t="s">
        <v>1014</v>
      </c>
      <c r="R141" s="368" t="s">
        <v>51</v>
      </c>
      <c r="S141" s="46"/>
      <c r="T141" s="368"/>
      <c r="U141" s="580">
        <f t="shared" si="79"/>
        <v>10</v>
      </c>
      <c r="V141" s="602" t="str">
        <f t="shared" ref="V141:V143" si="82">IF(U141&gt;15,"Inoportuno",(IF(U141&lt;0,"No ha formulado PM","Oportuno")))</f>
        <v>Oportuno</v>
      </c>
      <c r="W141" s="384">
        <f t="shared" si="81"/>
        <v>-41759</v>
      </c>
      <c r="X141" s="379" t="s">
        <v>338</v>
      </c>
    </row>
    <row r="142" spans="1:27" ht="117.75" customHeight="1" x14ac:dyDescent="0.2">
      <c r="A142" s="736"/>
      <c r="B142" s="640"/>
      <c r="C142" s="640"/>
      <c r="D142" s="648"/>
      <c r="E142" s="640"/>
      <c r="F142" s="640"/>
      <c r="G142" s="644"/>
      <c r="H142" s="640"/>
      <c r="I142" s="654"/>
      <c r="J142" s="654"/>
      <c r="K142" s="638"/>
      <c r="L142" s="644"/>
      <c r="M142" s="364" t="s">
        <v>50</v>
      </c>
      <c r="N142" s="222" t="s">
        <v>354</v>
      </c>
      <c r="O142" s="588" t="s">
        <v>362</v>
      </c>
      <c r="P142" s="228">
        <v>42369</v>
      </c>
      <c r="Q142" s="364"/>
      <c r="R142" s="368" t="s">
        <v>51</v>
      </c>
      <c r="S142" s="46"/>
      <c r="T142" s="368"/>
      <c r="U142" s="580">
        <f t="shared" si="79"/>
        <v>1</v>
      </c>
      <c r="V142" s="601" t="s">
        <v>989</v>
      </c>
      <c r="W142" s="384">
        <f t="shared" ref="W142" si="83">DAYS360(P142,S142,0)+1</f>
        <v>-41759</v>
      </c>
      <c r="X142" s="379" t="s">
        <v>338</v>
      </c>
    </row>
    <row r="143" spans="1:27" s="246" customFormat="1" ht="64.5" customHeight="1" x14ac:dyDescent="0.2">
      <c r="A143" s="368">
        <f>+A141+1</f>
        <v>88</v>
      </c>
      <c r="B143" s="380" t="s">
        <v>62</v>
      </c>
      <c r="C143" s="380" t="s">
        <v>513</v>
      </c>
      <c r="D143" s="340" t="s">
        <v>43</v>
      </c>
      <c r="E143" s="18" t="s">
        <v>0</v>
      </c>
      <c r="F143" s="422" t="s">
        <v>58</v>
      </c>
      <c r="G143" s="229">
        <v>42277</v>
      </c>
      <c r="H143" s="583" t="s">
        <v>367</v>
      </c>
      <c r="I143" s="380" t="s">
        <v>78</v>
      </c>
      <c r="J143" s="243" t="s">
        <v>133</v>
      </c>
      <c r="K143" s="244" t="s">
        <v>79</v>
      </c>
      <c r="L143" s="229">
        <v>42291</v>
      </c>
      <c r="M143" s="380" t="s">
        <v>104</v>
      </c>
      <c r="N143" s="380" t="s">
        <v>372</v>
      </c>
      <c r="O143" s="588" t="s">
        <v>514</v>
      </c>
      <c r="P143" s="229">
        <v>42460</v>
      </c>
      <c r="Q143" s="380"/>
      <c r="R143" s="242" t="s">
        <v>51</v>
      </c>
      <c r="S143" s="229"/>
      <c r="T143" s="242"/>
      <c r="U143" s="580">
        <f t="shared" si="79"/>
        <v>15</v>
      </c>
      <c r="V143" s="245" t="str">
        <f t="shared" si="82"/>
        <v>Oportuno</v>
      </c>
      <c r="W143" s="406">
        <f t="shared" ref="W143" si="84">DAYS360(P143,S143,0)+1</f>
        <v>-41849</v>
      </c>
      <c r="X143" s="379" t="s">
        <v>338</v>
      </c>
      <c r="Y143" s="152"/>
      <c r="Z143" s="426"/>
      <c r="AA143" s="426"/>
    </row>
    <row r="144" spans="1:27" ht="66.75" customHeight="1" x14ac:dyDescent="0.2">
      <c r="A144" s="472">
        <f t="shared" si="75"/>
        <v>89</v>
      </c>
      <c r="B144" s="364" t="s">
        <v>267</v>
      </c>
      <c r="C144" s="364" t="s">
        <v>373</v>
      </c>
      <c r="D144" s="362" t="s">
        <v>46</v>
      </c>
      <c r="E144" s="372" t="s">
        <v>0</v>
      </c>
      <c r="F144" s="365" t="s">
        <v>56</v>
      </c>
      <c r="G144" s="46">
        <v>42323</v>
      </c>
      <c r="H144" s="585" t="s">
        <v>374</v>
      </c>
      <c r="I144" s="365" t="s">
        <v>78</v>
      </c>
      <c r="J144" s="366" t="s">
        <v>133</v>
      </c>
      <c r="K144" s="159" t="s">
        <v>79</v>
      </c>
      <c r="L144" s="46">
        <v>42331</v>
      </c>
      <c r="M144" s="364" t="s">
        <v>50</v>
      </c>
      <c r="N144" s="265" t="s">
        <v>376</v>
      </c>
      <c r="O144" s="588" t="s">
        <v>377</v>
      </c>
      <c r="P144" s="264" t="s">
        <v>378</v>
      </c>
      <c r="Q144" s="364" t="s">
        <v>727</v>
      </c>
      <c r="R144" s="368" t="s">
        <v>51</v>
      </c>
      <c r="S144" s="46"/>
      <c r="T144" s="368"/>
      <c r="U144" s="384">
        <f t="shared" ref="U144" si="85">DAYS360(G144,L144,0)+1</f>
        <v>9</v>
      </c>
      <c r="V144" s="376" t="str">
        <f t="shared" ref="V144" si="86">IF(U144&gt;15,"Inoportuno",(IF(U144&lt;0,"No ha formulado PM","Oportuno")))</f>
        <v>Oportuno</v>
      </c>
      <c r="W144" s="384" t="e">
        <f t="shared" ref="W144" si="87">DAYS360(P144,S144,0)+1</f>
        <v>#VALUE!</v>
      </c>
      <c r="X144" s="375"/>
    </row>
    <row r="145" spans="1:24" ht="63.75" customHeight="1" x14ac:dyDescent="0.2">
      <c r="A145" s="368">
        <f t="shared" si="75"/>
        <v>90</v>
      </c>
      <c r="B145" s="364" t="s">
        <v>267</v>
      </c>
      <c r="C145" s="364" t="s">
        <v>373</v>
      </c>
      <c r="D145" s="362" t="s">
        <v>46</v>
      </c>
      <c r="E145" s="372" t="s">
        <v>0</v>
      </c>
      <c r="F145" s="365" t="s">
        <v>56</v>
      </c>
      <c r="G145" s="46">
        <v>42323</v>
      </c>
      <c r="H145" s="585" t="s">
        <v>375</v>
      </c>
      <c r="I145" s="365" t="s">
        <v>78</v>
      </c>
      <c r="J145" s="366" t="s">
        <v>133</v>
      </c>
      <c r="K145" s="159" t="s">
        <v>79</v>
      </c>
      <c r="L145" s="46">
        <v>42331</v>
      </c>
      <c r="M145" s="364" t="s">
        <v>50</v>
      </c>
      <c r="N145" s="265" t="s">
        <v>150</v>
      </c>
      <c r="O145" s="588" t="s">
        <v>379</v>
      </c>
      <c r="P145" s="46">
        <v>42369</v>
      </c>
      <c r="Q145" s="364" t="s">
        <v>728</v>
      </c>
      <c r="R145" s="368" t="s">
        <v>51</v>
      </c>
      <c r="S145" s="46"/>
      <c r="T145" s="368"/>
      <c r="U145" s="384">
        <f t="shared" ref="U145:U179" si="88">DAYS360(G145,L145,0)+1</f>
        <v>9</v>
      </c>
      <c r="V145" s="376" t="str">
        <f t="shared" ref="V145:V179" si="89">IF(U145&gt;15,"Inoportuno",(IF(U145&lt;0,"No ha formulado PM","Oportuno")))</f>
        <v>Oportuno</v>
      </c>
      <c r="W145" s="384">
        <f t="shared" ref="W145:W179" si="90">DAYS360(P145,S145,0)+1</f>
        <v>-41759</v>
      </c>
      <c r="X145" s="375"/>
    </row>
    <row r="146" spans="1:24" ht="189" customHeight="1" x14ac:dyDescent="0.2">
      <c r="A146" s="637">
        <v>91</v>
      </c>
      <c r="B146" s="639" t="s">
        <v>61</v>
      </c>
      <c r="C146" s="639" t="s">
        <v>380</v>
      </c>
      <c r="D146" s="646" t="s">
        <v>43</v>
      </c>
      <c r="E146" s="639" t="s">
        <v>0</v>
      </c>
      <c r="F146" s="676" t="s">
        <v>60</v>
      </c>
      <c r="G146" s="642">
        <v>42341</v>
      </c>
      <c r="H146" s="649" t="s">
        <v>515</v>
      </c>
      <c r="I146" s="676" t="s">
        <v>78</v>
      </c>
      <c r="J146" s="653" t="s">
        <v>133</v>
      </c>
      <c r="K146" s="637" t="s">
        <v>79</v>
      </c>
      <c r="L146" s="642">
        <v>42348</v>
      </c>
      <c r="M146" s="364" t="s">
        <v>104</v>
      </c>
      <c r="N146" s="265" t="s">
        <v>420</v>
      </c>
      <c r="O146" s="588" t="s">
        <v>516</v>
      </c>
      <c r="P146" s="46">
        <v>42475</v>
      </c>
      <c r="Q146" s="364"/>
      <c r="R146" s="368" t="s">
        <v>51</v>
      </c>
      <c r="S146" s="46"/>
      <c r="T146" s="368"/>
      <c r="U146" s="580">
        <f t="shared" si="88"/>
        <v>8</v>
      </c>
      <c r="V146" s="376" t="str">
        <f t="shared" ref="V146:V153" si="91">IF(U146&gt;7,"Inoportuno",(IF(U146&lt;0,"No ha formulado PM","Oportuno")))</f>
        <v>Inoportuno</v>
      </c>
      <c r="W146" s="384">
        <f t="shared" si="90"/>
        <v>-41864</v>
      </c>
      <c r="X146" s="375"/>
    </row>
    <row r="147" spans="1:24" ht="189" customHeight="1" x14ac:dyDescent="0.2">
      <c r="A147" s="638"/>
      <c r="B147" s="640"/>
      <c r="C147" s="640"/>
      <c r="D147" s="648"/>
      <c r="E147" s="640"/>
      <c r="F147" s="678"/>
      <c r="G147" s="644"/>
      <c r="H147" s="650"/>
      <c r="I147" s="678"/>
      <c r="J147" s="654"/>
      <c r="K147" s="638"/>
      <c r="L147" s="644"/>
      <c r="M147" s="364" t="s">
        <v>50</v>
      </c>
      <c r="N147" s="265" t="s">
        <v>420</v>
      </c>
      <c r="O147" s="588" t="s">
        <v>422</v>
      </c>
      <c r="P147" s="46">
        <v>42109</v>
      </c>
      <c r="Q147" s="364"/>
      <c r="R147" s="368" t="s">
        <v>51</v>
      </c>
      <c r="S147" s="46"/>
      <c r="T147" s="368"/>
      <c r="U147" s="384">
        <f>DAYS360(G146,L146,0)+1</f>
        <v>8</v>
      </c>
      <c r="V147" s="376" t="str">
        <f t="shared" si="91"/>
        <v>Inoportuno</v>
      </c>
      <c r="W147" s="384">
        <f t="shared" si="90"/>
        <v>-41504</v>
      </c>
      <c r="X147" s="375"/>
    </row>
    <row r="148" spans="1:24" ht="99" customHeight="1" x14ac:dyDescent="0.2">
      <c r="A148" s="637">
        <v>92</v>
      </c>
      <c r="B148" s="639" t="s">
        <v>61</v>
      </c>
      <c r="C148" s="639" t="s">
        <v>380</v>
      </c>
      <c r="D148" s="646" t="s">
        <v>43</v>
      </c>
      <c r="E148" s="639" t="s">
        <v>0</v>
      </c>
      <c r="F148" s="676" t="s">
        <v>60</v>
      </c>
      <c r="G148" s="642">
        <v>42341</v>
      </c>
      <c r="H148" s="649" t="s">
        <v>381</v>
      </c>
      <c r="I148" s="676" t="s">
        <v>78</v>
      </c>
      <c r="J148" s="653" t="s">
        <v>133</v>
      </c>
      <c r="K148" s="637" t="s">
        <v>79</v>
      </c>
      <c r="L148" s="642">
        <v>42348</v>
      </c>
      <c r="M148" s="364" t="s">
        <v>104</v>
      </c>
      <c r="N148" s="265" t="s">
        <v>420</v>
      </c>
      <c r="O148" s="588" t="s">
        <v>475</v>
      </c>
      <c r="P148" s="46">
        <v>42460</v>
      </c>
      <c r="Q148" s="364"/>
      <c r="R148" s="368" t="s">
        <v>51</v>
      </c>
      <c r="S148" s="46"/>
      <c r="T148" s="368"/>
      <c r="U148" s="580">
        <f>DAYS360(G147,L147,0)+1</f>
        <v>1</v>
      </c>
      <c r="V148" s="376" t="str">
        <f t="shared" si="91"/>
        <v>Oportuno</v>
      </c>
      <c r="W148" s="384">
        <f t="shared" si="90"/>
        <v>-41849</v>
      </c>
      <c r="X148" s="375"/>
    </row>
    <row r="149" spans="1:24" ht="94.5" customHeight="1" x14ac:dyDescent="0.2">
      <c r="A149" s="645"/>
      <c r="B149" s="641"/>
      <c r="C149" s="641"/>
      <c r="D149" s="647"/>
      <c r="E149" s="641"/>
      <c r="F149" s="677"/>
      <c r="G149" s="643"/>
      <c r="H149" s="662"/>
      <c r="I149" s="677"/>
      <c r="J149" s="655"/>
      <c r="K149" s="645"/>
      <c r="L149" s="643"/>
      <c r="M149" s="364" t="s">
        <v>104</v>
      </c>
      <c r="N149" s="265" t="s">
        <v>420</v>
      </c>
      <c r="O149" s="588" t="s">
        <v>517</v>
      </c>
      <c r="P149" s="46">
        <v>42460</v>
      </c>
      <c r="Q149" s="364"/>
      <c r="R149" s="368" t="s">
        <v>51</v>
      </c>
      <c r="S149" s="46"/>
      <c r="T149" s="368"/>
      <c r="U149" s="384">
        <f t="shared" si="88"/>
        <v>1</v>
      </c>
      <c r="V149" s="376" t="str">
        <f t="shared" si="91"/>
        <v>Oportuno</v>
      </c>
      <c r="W149" s="384">
        <f t="shared" si="90"/>
        <v>-41849</v>
      </c>
      <c r="X149" s="375"/>
    </row>
    <row r="150" spans="1:24" ht="87.75" customHeight="1" x14ac:dyDescent="0.2">
      <c r="A150" s="645"/>
      <c r="B150" s="641"/>
      <c r="C150" s="641"/>
      <c r="D150" s="647"/>
      <c r="E150" s="641"/>
      <c r="F150" s="677"/>
      <c r="G150" s="643"/>
      <c r="H150" s="662"/>
      <c r="I150" s="677"/>
      <c r="J150" s="655"/>
      <c r="K150" s="645"/>
      <c r="L150" s="643"/>
      <c r="M150" s="364" t="s">
        <v>50</v>
      </c>
      <c r="N150" s="265" t="s">
        <v>420</v>
      </c>
      <c r="O150" s="588" t="s">
        <v>518</v>
      </c>
      <c r="P150" s="46">
        <v>42460</v>
      </c>
      <c r="Q150" s="364"/>
      <c r="R150" s="368" t="s">
        <v>51</v>
      </c>
      <c r="S150" s="46"/>
      <c r="T150" s="368"/>
      <c r="U150" s="384">
        <f t="shared" si="88"/>
        <v>1</v>
      </c>
      <c r="V150" s="376" t="str">
        <f t="shared" si="91"/>
        <v>Oportuno</v>
      </c>
      <c r="W150" s="384">
        <f t="shared" si="90"/>
        <v>-41849</v>
      </c>
      <c r="X150" s="375"/>
    </row>
    <row r="151" spans="1:24" ht="87.75" customHeight="1" x14ac:dyDescent="0.2">
      <c r="A151" s="645"/>
      <c r="B151" s="641"/>
      <c r="C151" s="641"/>
      <c r="D151" s="647"/>
      <c r="E151" s="641"/>
      <c r="F151" s="677"/>
      <c r="G151" s="643"/>
      <c r="H151" s="662"/>
      <c r="I151" s="677"/>
      <c r="J151" s="655"/>
      <c r="K151" s="645"/>
      <c r="L151" s="643"/>
      <c r="M151" s="364" t="s">
        <v>50</v>
      </c>
      <c r="N151" s="265" t="s">
        <v>420</v>
      </c>
      <c r="O151" s="588" t="s">
        <v>421</v>
      </c>
      <c r="P151" s="46">
        <v>42460</v>
      </c>
      <c r="Q151" s="364" t="s">
        <v>844</v>
      </c>
      <c r="R151" s="368" t="s">
        <v>51</v>
      </c>
      <c r="S151" s="46"/>
      <c r="T151" s="368"/>
      <c r="U151" s="384">
        <f t="shared" si="88"/>
        <v>1</v>
      </c>
      <c r="V151" s="376" t="str">
        <f t="shared" si="91"/>
        <v>Oportuno</v>
      </c>
      <c r="W151" s="384">
        <f t="shared" si="90"/>
        <v>-41849</v>
      </c>
      <c r="X151" s="375"/>
    </row>
    <row r="152" spans="1:24" ht="87.75" customHeight="1" x14ac:dyDescent="0.2">
      <c r="A152" s="645"/>
      <c r="B152" s="641"/>
      <c r="C152" s="641"/>
      <c r="D152" s="647"/>
      <c r="E152" s="641"/>
      <c r="F152" s="677"/>
      <c r="G152" s="643"/>
      <c r="H152" s="662"/>
      <c r="I152" s="677"/>
      <c r="J152" s="655"/>
      <c r="K152" s="645"/>
      <c r="L152" s="643"/>
      <c r="M152" s="364" t="s">
        <v>50</v>
      </c>
      <c r="N152" s="265" t="s">
        <v>420</v>
      </c>
      <c r="O152" s="588" t="s">
        <v>453</v>
      </c>
      <c r="P152" s="46">
        <v>42400</v>
      </c>
      <c r="Q152" s="364" t="s">
        <v>990</v>
      </c>
      <c r="R152" s="368" t="s">
        <v>51</v>
      </c>
      <c r="S152" s="46"/>
      <c r="T152" s="368"/>
      <c r="U152" s="384">
        <f t="shared" si="88"/>
        <v>1</v>
      </c>
      <c r="V152" s="376" t="str">
        <f t="shared" si="91"/>
        <v>Oportuno</v>
      </c>
      <c r="W152" s="384">
        <f t="shared" si="90"/>
        <v>-41789</v>
      </c>
      <c r="X152" s="375"/>
    </row>
    <row r="153" spans="1:24" ht="87.75" customHeight="1" x14ac:dyDescent="0.2">
      <c r="A153" s="638"/>
      <c r="B153" s="640"/>
      <c r="C153" s="640"/>
      <c r="D153" s="648"/>
      <c r="E153" s="640"/>
      <c r="F153" s="678"/>
      <c r="G153" s="644"/>
      <c r="H153" s="650"/>
      <c r="I153" s="678"/>
      <c r="J153" s="654"/>
      <c r="K153" s="638"/>
      <c r="L153" s="644"/>
      <c r="M153" s="364" t="s">
        <v>50</v>
      </c>
      <c r="N153" s="265" t="s">
        <v>420</v>
      </c>
      <c r="O153" s="588" t="s">
        <v>519</v>
      </c>
      <c r="P153" s="46">
        <v>42460</v>
      </c>
      <c r="Q153" s="364" t="s">
        <v>845</v>
      </c>
      <c r="R153" s="368" t="s">
        <v>55</v>
      </c>
      <c r="S153" s="46"/>
      <c r="T153" s="368" t="s">
        <v>991</v>
      </c>
      <c r="U153" s="384">
        <f>DAYS360(G148,L148,0)+1</f>
        <v>8</v>
      </c>
      <c r="V153" s="376" t="str">
        <f t="shared" si="91"/>
        <v>Inoportuno</v>
      </c>
      <c r="W153" s="384">
        <f t="shared" si="90"/>
        <v>-41849</v>
      </c>
      <c r="X153" s="375"/>
    </row>
    <row r="154" spans="1:24" ht="87.75" customHeight="1" x14ac:dyDescent="0.2">
      <c r="A154" s="368">
        <f>+A148+1</f>
        <v>93</v>
      </c>
      <c r="B154" s="364" t="s">
        <v>10</v>
      </c>
      <c r="C154" s="364" t="s">
        <v>403</v>
      </c>
      <c r="D154" s="362" t="s">
        <v>43</v>
      </c>
      <c r="E154" s="372" t="s">
        <v>0</v>
      </c>
      <c r="F154" s="365" t="s">
        <v>56</v>
      </c>
      <c r="G154" s="46">
        <v>42349</v>
      </c>
      <c r="H154" s="611" t="s">
        <v>402</v>
      </c>
      <c r="I154" s="371" t="s">
        <v>78</v>
      </c>
      <c r="J154" s="366" t="s">
        <v>134</v>
      </c>
      <c r="K154" s="159" t="s">
        <v>79</v>
      </c>
      <c r="L154" s="46">
        <v>42443</v>
      </c>
      <c r="M154" s="364" t="s">
        <v>50</v>
      </c>
      <c r="N154" s="265" t="s">
        <v>787</v>
      </c>
      <c r="O154" s="588" t="s">
        <v>786</v>
      </c>
      <c r="P154" s="46">
        <v>42673</v>
      </c>
      <c r="Q154" s="364"/>
      <c r="R154" s="368" t="s">
        <v>51</v>
      </c>
      <c r="S154" s="46"/>
      <c r="T154" s="368"/>
      <c r="U154" s="384">
        <f t="shared" ref="U154" si="92">DAYS360(G154,L154,0)+1</f>
        <v>94</v>
      </c>
      <c r="V154" s="376" t="str">
        <f t="shared" ref="V154" si="93">IF(U154&gt;15,"Inoportuno",(IF(U154&lt;0,"No ha formulado PM","Oportuno")))</f>
        <v>Inoportuno</v>
      </c>
      <c r="W154" s="384">
        <f t="shared" ref="W154" si="94">DAYS360(P154,S154,0)+1</f>
        <v>-42059</v>
      </c>
      <c r="X154" s="375"/>
    </row>
    <row r="155" spans="1:24" ht="87.75" customHeight="1" x14ac:dyDescent="0.2">
      <c r="A155" s="368">
        <f t="shared" ref="A155:A180" si="95">+A154+1</f>
        <v>94</v>
      </c>
      <c r="B155" s="364" t="s">
        <v>10</v>
      </c>
      <c r="C155" s="364" t="s">
        <v>403</v>
      </c>
      <c r="D155" s="362" t="s">
        <v>43</v>
      </c>
      <c r="E155" s="372" t="s">
        <v>0</v>
      </c>
      <c r="F155" s="365" t="s">
        <v>56</v>
      </c>
      <c r="G155" s="46">
        <v>42349</v>
      </c>
      <c r="H155" s="585" t="s">
        <v>407</v>
      </c>
      <c r="I155" s="365" t="s">
        <v>78</v>
      </c>
      <c r="J155" s="366" t="s">
        <v>133</v>
      </c>
      <c r="K155" s="159" t="s">
        <v>79</v>
      </c>
      <c r="L155" s="46">
        <v>42443</v>
      </c>
      <c r="M155" s="364" t="s">
        <v>50</v>
      </c>
      <c r="N155" s="265" t="s">
        <v>787</v>
      </c>
      <c r="O155" s="588" t="s">
        <v>788</v>
      </c>
      <c r="P155" s="46">
        <v>42673</v>
      </c>
      <c r="Q155" s="364" t="s">
        <v>996</v>
      </c>
      <c r="R155" s="368" t="s">
        <v>51</v>
      </c>
      <c r="S155" s="46"/>
      <c r="T155" s="368"/>
      <c r="U155" s="384">
        <f t="shared" ref="U155:U158" si="96">DAYS360(G155,L155,0)+1</f>
        <v>94</v>
      </c>
      <c r="V155" s="376" t="str">
        <f t="shared" ref="V155:V167" si="97">IF(U155&gt;15,"Inoportuno",(IF(U155&lt;0,"No ha formulado PM","Oportuno")))</f>
        <v>Inoportuno</v>
      </c>
      <c r="W155" s="384">
        <f t="shared" ref="W155:W167" si="98">DAYS360(P155,S155,0)+1</f>
        <v>-42059</v>
      </c>
      <c r="X155" s="375"/>
    </row>
    <row r="156" spans="1:24" ht="87.75" customHeight="1" x14ac:dyDescent="0.2">
      <c r="A156" s="368">
        <f t="shared" si="95"/>
        <v>95</v>
      </c>
      <c r="B156" s="364" t="s">
        <v>10</v>
      </c>
      <c r="C156" s="364" t="s">
        <v>403</v>
      </c>
      <c r="D156" s="362" t="s">
        <v>43</v>
      </c>
      <c r="E156" s="372" t="s">
        <v>0</v>
      </c>
      <c r="F156" s="365" t="s">
        <v>56</v>
      </c>
      <c r="G156" s="46">
        <v>42349</v>
      </c>
      <c r="H156" s="585" t="s">
        <v>408</v>
      </c>
      <c r="I156" s="365" t="s">
        <v>78</v>
      </c>
      <c r="J156" s="366" t="s">
        <v>133</v>
      </c>
      <c r="K156" s="159" t="s">
        <v>79</v>
      </c>
      <c r="L156" s="46">
        <v>42443</v>
      </c>
      <c r="M156" s="364" t="s">
        <v>50</v>
      </c>
      <c r="N156" s="265" t="s">
        <v>801</v>
      </c>
      <c r="O156" s="588" t="s">
        <v>789</v>
      </c>
      <c r="P156" s="46">
        <v>42673</v>
      </c>
      <c r="Q156" s="364" t="s">
        <v>997</v>
      </c>
      <c r="R156" s="368" t="s">
        <v>51</v>
      </c>
      <c r="S156" s="46"/>
      <c r="T156" s="368"/>
      <c r="U156" s="384">
        <f t="shared" si="96"/>
        <v>94</v>
      </c>
      <c r="V156" s="376" t="str">
        <f t="shared" si="97"/>
        <v>Inoportuno</v>
      </c>
      <c r="W156" s="384">
        <f t="shared" si="98"/>
        <v>-42059</v>
      </c>
      <c r="X156" s="375"/>
    </row>
    <row r="157" spans="1:24" ht="87.75" customHeight="1" x14ac:dyDescent="0.2">
      <c r="A157" s="368">
        <f t="shared" si="95"/>
        <v>96</v>
      </c>
      <c r="B157" s="364" t="s">
        <v>10</v>
      </c>
      <c r="C157" s="364" t="s">
        <v>403</v>
      </c>
      <c r="D157" s="362" t="s">
        <v>43</v>
      </c>
      <c r="E157" s="372" t="s">
        <v>0</v>
      </c>
      <c r="F157" s="365" t="s">
        <v>56</v>
      </c>
      <c r="G157" s="46">
        <v>42349</v>
      </c>
      <c r="H157" s="585" t="s">
        <v>409</v>
      </c>
      <c r="I157" s="365" t="s">
        <v>78</v>
      </c>
      <c r="J157" s="366" t="s">
        <v>134</v>
      </c>
      <c r="K157" s="159" t="s">
        <v>79</v>
      </c>
      <c r="L157" s="46">
        <v>42443</v>
      </c>
      <c r="M157" s="364" t="s">
        <v>50</v>
      </c>
      <c r="N157" s="265" t="s">
        <v>787</v>
      </c>
      <c r="O157" s="588" t="s">
        <v>790</v>
      </c>
      <c r="P157" s="46">
        <v>42673</v>
      </c>
      <c r="Q157" s="607" t="s">
        <v>1000</v>
      </c>
      <c r="R157" s="368" t="s">
        <v>55</v>
      </c>
      <c r="S157" s="612" t="s">
        <v>998</v>
      </c>
      <c r="T157" s="368" t="s">
        <v>999</v>
      </c>
      <c r="U157" s="384">
        <f t="shared" si="96"/>
        <v>94</v>
      </c>
      <c r="V157" s="376" t="str">
        <f t="shared" si="97"/>
        <v>Inoportuno</v>
      </c>
      <c r="W157" s="384" t="e">
        <f t="shared" si="98"/>
        <v>#VALUE!</v>
      </c>
      <c r="X157" s="375"/>
    </row>
    <row r="158" spans="1:24" ht="87.75" customHeight="1" x14ac:dyDescent="0.2">
      <c r="A158" s="637">
        <f t="shared" si="95"/>
        <v>97</v>
      </c>
      <c r="B158" s="639" t="s">
        <v>10</v>
      </c>
      <c r="C158" s="639" t="s">
        <v>403</v>
      </c>
      <c r="D158" s="646" t="s">
        <v>43</v>
      </c>
      <c r="E158" s="639" t="s">
        <v>0</v>
      </c>
      <c r="F158" s="676" t="s">
        <v>56</v>
      </c>
      <c r="G158" s="642">
        <v>42349</v>
      </c>
      <c r="H158" s="649" t="s">
        <v>411</v>
      </c>
      <c r="I158" s="676" t="s">
        <v>78</v>
      </c>
      <c r="J158" s="653" t="s">
        <v>134</v>
      </c>
      <c r="K158" s="637" t="s">
        <v>79</v>
      </c>
      <c r="L158" s="642">
        <v>42443</v>
      </c>
      <c r="M158" s="447" t="s">
        <v>104</v>
      </c>
      <c r="N158" s="265" t="s">
        <v>787</v>
      </c>
      <c r="O158" s="588" t="s">
        <v>792</v>
      </c>
      <c r="P158" s="46">
        <v>42500</v>
      </c>
      <c r="Q158" s="613" t="s">
        <v>1001</v>
      </c>
      <c r="R158" s="448" t="s">
        <v>55</v>
      </c>
      <c r="S158" s="612" t="s">
        <v>998</v>
      </c>
      <c r="T158" s="448" t="s">
        <v>999</v>
      </c>
      <c r="U158" s="580">
        <f t="shared" si="96"/>
        <v>94</v>
      </c>
      <c r="V158" s="450" t="s">
        <v>988</v>
      </c>
      <c r="W158" s="449"/>
      <c r="X158" s="451"/>
    </row>
    <row r="159" spans="1:24" ht="87.75" customHeight="1" x14ac:dyDescent="0.2">
      <c r="A159" s="638"/>
      <c r="B159" s="640"/>
      <c r="C159" s="640"/>
      <c r="D159" s="648"/>
      <c r="E159" s="640"/>
      <c r="F159" s="678"/>
      <c r="G159" s="644"/>
      <c r="H159" s="650"/>
      <c r="I159" s="678"/>
      <c r="J159" s="654"/>
      <c r="K159" s="638"/>
      <c r="L159" s="644"/>
      <c r="M159" s="364" t="s">
        <v>50</v>
      </c>
      <c r="N159" s="265" t="s">
        <v>787</v>
      </c>
      <c r="O159" s="588" t="s">
        <v>791</v>
      </c>
      <c r="P159" s="46">
        <v>42500</v>
      </c>
      <c r="Q159" s="364"/>
      <c r="R159" s="368" t="s">
        <v>51</v>
      </c>
      <c r="S159" s="46"/>
      <c r="T159" s="368"/>
      <c r="U159" s="384">
        <f t="shared" ref="U159:U167" si="99">DAYS360(G158,L158,0)+1</f>
        <v>94</v>
      </c>
      <c r="V159" s="376" t="str">
        <f t="shared" si="97"/>
        <v>Inoportuno</v>
      </c>
      <c r="W159" s="384">
        <f t="shared" si="98"/>
        <v>-41889</v>
      </c>
      <c r="X159" s="375"/>
    </row>
    <row r="160" spans="1:24" ht="87.75" customHeight="1" x14ac:dyDescent="0.2">
      <c r="A160" s="637">
        <f>+A158+1</f>
        <v>98</v>
      </c>
      <c r="B160" s="639" t="s">
        <v>10</v>
      </c>
      <c r="C160" s="639" t="s">
        <v>403</v>
      </c>
      <c r="D160" s="646" t="s">
        <v>43</v>
      </c>
      <c r="E160" s="639" t="s">
        <v>0</v>
      </c>
      <c r="F160" s="676" t="s">
        <v>56</v>
      </c>
      <c r="G160" s="642">
        <v>42349</v>
      </c>
      <c r="H160" s="649" t="s">
        <v>412</v>
      </c>
      <c r="I160" s="676" t="s">
        <v>78</v>
      </c>
      <c r="J160" s="653" t="s">
        <v>134</v>
      </c>
      <c r="K160" s="637" t="s">
        <v>79</v>
      </c>
      <c r="L160" s="642">
        <v>42443</v>
      </c>
      <c r="M160" s="447" t="s">
        <v>104</v>
      </c>
      <c r="N160" s="265" t="s">
        <v>802</v>
      </c>
      <c r="O160" s="588" t="s">
        <v>793</v>
      </c>
      <c r="P160" s="46">
        <v>42658</v>
      </c>
      <c r="Q160" s="476" t="s">
        <v>1002</v>
      </c>
      <c r="R160" s="448" t="s">
        <v>55</v>
      </c>
      <c r="S160" s="612" t="s">
        <v>998</v>
      </c>
      <c r="T160" s="448" t="s">
        <v>999</v>
      </c>
      <c r="U160" s="580">
        <f t="shared" si="99"/>
        <v>1</v>
      </c>
      <c r="V160" s="450" t="str">
        <f t="shared" si="97"/>
        <v>Oportuno</v>
      </c>
      <c r="W160" s="449" t="e">
        <f t="shared" si="98"/>
        <v>#VALUE!</v>
      </c>
      <c r="X160" s="451"/>
    </row>
    <row r="161" spans="1:24" ht="87.75" customHeight="1" x14ac:dyDescent="0.2">
      <c r="A161" s="638"/>
      <c r="B161" s="640"/>
      <c r="C161" s="640"/>
      <c r="D161" s="648"/>
      <c r="E161" s="640"/>
      <c r="F161" s="678"/>
      <c r="G161" s="644"/>
      <c r="H161" s="650"/>
      <c r="I161" s="678"/>
      <c r="J161" s="654"/>
      <c r="K161" s="638"/>
      <c r="L161" s="644"/>
      <c r="M161" s="364" t="s">
        <v>54</v>
      </c>
      <c r="N161" s="265" t="s">
        <v>802</v>
      </c>
      <c r="O161" s="588" t="s">
        <v>794</v>
      </c>
      <c r="P161" s="46">
        <v>42658</v>
      </c>
      <c r="Q161" s="364"/>
      <c r="R161" s="368" t="s">
        <v>51</v>
      </c>
      <c r="S161" s="46"/>
      <c r="T161" s="368"/>
      <c r="U161" s="384">
        <f t="shared" si="99"/>
        <v>94</v>
      </c>
      <c r="V161" s="376" t="str">
        <f t="shared" si="97"/>
        <v>Inoportuno</v>
      </c>
      <c r="W161" s="384">
        <f t="shared" si="98"/>
        <v>-42044</v>
      </c>
      <c r="X161" s="375"/>
    </row>
    <row r="162" spans="1:24" ht="87.75" customHeight="1" x14ac:dyDescent="0.2">
      <c r="A162" s="637">
        <f>+A160+1</f>
        <v>99</v>
      </c>
      <c r="B162" s="639" t="s">
        <v>10</v>
      </c>
      <c r="C162" s="639" t="s">
        <v>403</v>
      </c>
      <c r="D162" s="646" t="s">
        <v>43</v>
      </c>
      <c r="E162" s="639" t="s">
        <v>0</v>
      </c>
      <c r="F162" s="676" t="s">
        <v>56</v>
      </c>
      <c r="G162" s="642">
        <v>42349</v>
      </c>
      <c r="H162" s="649" t="s">
        <v>413</v>
      </c>
      <c r="I162" s="676" t="s">
        <v>78</v>
      </c>
      <c r="J162" s="653" t="s">
        <v>134</v>
      </c>
      <c r="K162" s="637" t="s">
        <v>79</v>
      </c>
      <c r="L162" s="642">
        <v>42443</v>
      </c>
      <c r="M162" s="447" t="s">
        <v>50</v>
      </c>
      <c r="N162" s="265" t="s">
        <v>787</v>
      </c>
      <c r="O162" s="588" t="s">
        <v>795</v>
      </c>
      <c r="P162" s="46">
        <v>42658</v>
      </c>
      <c r="Q162" s="614" t="s">
        <v>1003</v>
      </c>
      <c r="R162" s="448" t="s">
        <v>55</v>
      </c>
      <c r="S162" s="612" t="s">
        <v>998</v>
      </c>
      <c r="T162" s="448" t="s">
        <v>1005</v>
      </c>
      <c r="U162" s="580">
        <f t="shared" si="99"/>
        <v>1</v>
      </c>
      <c r="V162" s="450" t="s">
        <v>989</v>
      </c>
      <c r="W162" s="449" t="e">
        <f t="shared" si="98"/>
        <v>#VALUE!</v>
      </c>
      <c r="X162" s="451"/>
    </row>
    <row r="163" spans="1:24" ht="87.75" customHeight="1" x14ac:dyDescent="0.2">
      <c r="A163" s="638"/>
      <c r="B163" s="640"/>
      <c r="C163" s="640"/>
      <c r="D163" s="648"/>
      <c r="E163" s="640"/>
      <c r="F163" s="678"/>
      <c r="G163" s="644"/>
      <c r="H163" s="650"/>
      <c r="I163" s="678"/>
      <c r="J163" s="654"/>
      <c r="K163" s="638"/>
      <c r="L163" s="644"/>
      <c r="M163" s="364" t="s">
        <v>54</v>
      </c>
      <c r="N163" s="265" t="s">
        <v>787</v>
      </c>
      <c r="O163" s="588" t="s">
        <v>796</v>
      </c>
      <c r="P163" s="46">
        <v>42658</v>
      </c>
      <c r="Q163" s="364"/>
      <c r="R163" s="368" t="s">
        <v>51</v>
      </c>
      <c r="S163" s="46"/>
      <c r="T163" s="368"/>
      <c r="U163" s="384">
        <f t="shared" si="99"/>
        <v>94</v>
      </c>
      <c r="V163" s="376" t="str">
        <f t="shared" si="97"/>
        <v>Inoportuno</v>
      </c>
      <c r="W163" s="384">
        <f t="shared" si="98"/>
        <v>-42044</v>
      </c>
      <c r="X163" s="375"/>
    </row>
    <row r="164" spans="1:24" ht="87.75" customHeight="1" x14ac:dyDescent="0.2">
      <c r="A164" s="637">
        <f>+A162+1</f>
        <v>100</v>
      </c>
      <c r="B164" s="639" t="s">
        <v>10</v>
      </c>
      <c r="C164" s="639" t="s">
        <v>403</v>
      </c>
      <c r="D164" s="646" t="s">
        <v>43</v>
      </c>
      <c r="E164" s="639" t="s">
        <v>0</v>
      </c>
      <c r="F164" s="676" t="s">
        <v>56</v>
      </c>
      <c r="G164" s="642">
        <v>42349</v>
      </c>
      <c r="H164" s="649" t="s">
        <v>414</v>
      </c>
      <c r="I164" s="676" t="s">
        <v>78</v>
      </c>
      <c r="J164" s="653" t="s">
        <v>134</v>
      </c>
      <c r="K164" s="637" t="s">
        <v>79</v>
      </c>
      <c r="L164" s="642">
        <v>42443</v>
      </c>
      <c r="M164" s="447" t="s">
        <v>104</v>
      </c>
      <c r="N164" s="265" t="s">
        <v>802</v>
      </c>
      <c r="O164" s="588" t="s">
        <v>797</v>
      </c>
      <c r="P164" s="46">
        <v>42500</v>
      </c>
      <c r="Q164" s="447" t="s">
        <v>1004</v>
      </c>
      <c r="R164" s="448" t="s">
        <v>55</v>
      </c>
      <c r="S164" s="612" t="s">
        <v>998</v>
      </c>
      <c r="T164" s="607" t="s">
        <v>995</v>
      </c>
      <c r="U164" s="580">
        <f t="shared" si="99"/>
        <v>1</v>
      </c>
      <c r="V164" s="581" t="str">
        <f t="shared" si="97"/>
        <v>Oportuno</v>
      </c>
      <c r="W164" s="449" t="e">
        <f t="shared" si="98"/>
        <v>#VALUE!</v>
      </c>
      <c r="X164" s="451"/>
    </row>
    <row r="165" spans="1:24" ht="87.75" customHeight="1" x14ac:dyDescent="0.2">
      <c r="A165" s="638"/>
      <c r="B165" s="640"/>
      <c r="C165" s="640"/>
      <c r="D165" s="648"/>
      <c r="E165" s="640"/>
      <c r="F165" s="678"/>
      <c r="G165" s="644"/>
      <c r="H165" s="650"/>
      <c r="I165" s="678"/>
      <c r="J165" s="654"/>
      <c r="K165" s="638"/>
      <c r="L165" s="644"/>
      <c r="M165" s="364" t="s">
        <v>54</v>
      </c>
      <c r="N165" s="265" t="s">
        <v>802</v>
      </c>
      <c r="O165" s="588" t="s">
        <v>798</v>
      </c>
      <c r="P165" s="46">
        <v>42500</v>
      </c>
      <c r="Q165" s="364"/>
      <c r="R165" s="368" t="s">
        <v>51</v>
      </c>
      <c r="S165" s="46"/>
      <c r="T165" s="368"/>
      <c r="U165" s="384">
        <f t="shared" si="99"/>
        <v>94</v>
      </c>
      <c r="V165" s="376" t="str">
        <f t="shared" si="97"/>
        <v>Inoportuno</v>
      </c>
      <c r="W165" s="384">
        <f t="shared" si="98"/>
        <v>-41889</v>
      </c>
      <c r="X165" s="375"/>
    </row>
    <row r="166" spans="1:24" ht="87.75" customHeight="1" x14ac:dyDescent="0.2">
      <c r="A166" s="637">
        <f>+A164+1</f>
        <v>101</v>
      </c>
      <c r="B166" s="639" t="s">
        <v>10</v>
      </c>
      <c r="C166" s="639" t="s">
        <v>403</v>
      </c>
      <c r="D166" s="646" t="s">
        <v>43</v>
      </c>
      <c r="E166" s="639" t="s">
        <v>0</v>
      </c>
      <c r="F166" s="676" t="s">
        <v>56</v>
      </c>
      <c r="G166" s="642">
        <v>42349</v>
      </c>
      <c r="H166" s="649" t="s">
        <v>415</v>
      </c>
      <c r="I166" s="676" t="s">
        <v>78</v>
      </c>
      <c r="J166" s="653" t="s">
        <v>134</v>
      </c>
      <c r="K166" s="637" t="s">
        <v>79</v>
      </c>
      <c r="L166" s="642">
        <v>42443</v>
      </c>
      <c r="M166" s="447" t="s">
        <v>104</v>
      </c>
      <c r="N166" s="265" t="s">
        <v>802</v>
      </c>
      <c r="O166" s="588" t="s">
        <v>799</v>
      </c>
      <c r="P166" s="46">
        <v>42500</v>
      </c>
      <c r="Q166" s="607" t="s">
        <v>1006</v>
      </c>
      <c r="R166" s="448" t="s">
        <v>55</v>
      </c>
      <c r="S166" s="612" t="s">
        <v>998</v>
      </c>
      <c r="T166" s="607" t="s">
        <v>995</v>
      </c>
      <c r="U166" s="580">
        <f t="shared" si="99"/>
        <v>1</v>
      </c>
      <c r="V166" s="581" t="str">
        <f t="shared" si="97"/>
        <v>Oportuno</v>
      </c>
      <c r="W166" s="449"/>
      <c r="X166" s="451"/>
    </row>
    <row r="167" spans="1:24" ht="87.75" customHeight="1" x14ac:dyDescent="0.2">
      <c r="A167" s="638"/>
      <c r="B167" s="640"/>
      <c r="C167" s="640"/>
      <c r="D167" s="648"/>
      <c r="E167" s="640"/>
      <c r="F167" s="678"/>
      <c r="G167" s="644"/>
      <c r="H167" s="650"/>
      <c r="I167" s="678"/>
      <c r="J167" s="654"/>
      <c r="K167" s="638"/>
      <c r="L167" s="644"/>
      <c r="M167" s="364" t="s">
        <v>54</v>
      </c>
      <c r="N167" s="265" t="s">
        <v>802</v>
      </c>
      <c r="O167" s="588" t="s">
        <v>800</v>
      </c>
      <c r="P167" s="46">
        <v>42500</v>
      </c>
      <c r="Q167" s="607"/>
      <c r="R167" s="368" t="s">
        <v>51</v>
      </c>
      <c r="S167" s="46"/>
      <c r="T167" s="368"/>
      <c r="U167" s="384">
        <f t="shared" si="99"/>
        <v>94</v>
      </c>
      <c r="V167" s="376" t="str">
        <f t="shared" si="97"/>
        <v>Inoportuno</v>
      </c>
      <c r="W167" s="384">
        <f t="shared" si="98"/>
        <v>-41889</v>
      </c>
      <c r="X167" s="375"/>
    </row>
    <row r="168" spans="1:24" ht="87.75" customHeight="1" x14ac:dyDescent="0.2">
      <c r="A168" s="560">
        <f>+A166+1</f>
        <v>102</v>
      </c>
      <c r="B168" s="364" t="s">
        <v>2</v>
      </c>
      <c r="C168" s="364" t="s">
        <v>417</v>
      </c>
      <c r="D168" s="362" t="s">
        <v>43</v>
      </c>
      <c r="E168" s="372" t="s">
        <v>0</v>
      </c>
      <c r="F168" s="365" t="s">
        <v>58</v>
      </c>
      <c r="G168" s="46">
        <v>42353</v>
      </c>
      <c r="H168" s="585" t="s">
        <v>418</v>
      </c>
      <c r="I168" s="365" t="s">
        <v>78</v>
      </c>
      <c r="J168" s="366" t="s">
        <v>134</v>
      </c>
      <c r="K168" s="159" t="s">
        <v>79</v>
      </c>
      <c r="L168" s="46">
        <v>42404</v>
      </c>
      <c r="M168" s="364" t="s">
        <v>50</v>
      </c>
      <c r="N168" s="222" t="s">
        <v>354</v>
      </c>
      <c r="O168" s="588" t="s">
        <v>520</v>
      </c>
      <c r="P168" s="46">
        <v>42459</v>
      </c>
      <c r="Q168" s="607"/>
      <c r="R168" s="368" t="s">
        <v>55</v>
      </c>
      <c r="S168" s="46"/>
      <c r="T168" s="618" t="s">
        <v>1015</v>
      </c>
      <c r="U168" s="384">
        <f t="shared" ref="U168" si="100">DAYS360(G168,L168,0)+1</f>
        <v>50</v>
      </c>
      <c r="V168" s="376" t="str">
        <f t="shared" ref="V168" si="101">IF(U168&gt;15,"Inoportuno",(IF(U168&lt;0,"No ha formulado PM","Oportuno")))</f>
        <v>Inoportuno</v>
      </c>
      <c r="W168" s="384">
        <f t="shared" ref="W168" si="102">DAYS360(P168,S168,0)+1</f>
        <v>-41849</v>
      </c>
      <c r="X168" s="375"/>
    </row>
    <row r="169" spans="1:24" ht="87.75" customHeight="1" x14ac:dyDescent="0.2">
      <c r="A169" s="473">
        <v>103</v>
      </c>
      <c r="B169" s="364" t="s">
        <v>25</v>
      </c>
      <c r="C169" s="364" t="s">
        <v>404</v>
      </c>
      <c r="D169" s="362" t="s">
        <v>43</v>
      </c>
      <c r="E169" s="372" t="s">
        <v>0</v>
      </c>
      <c r="F169" s="365" t="s">
        <v>59</v>
      </c>
      <c r="G169" s="46">
        <v>42361</v>
      </c>
      <c r="H169" s="585" t="s">
        <v>521</v>
      </c>
      <c r="I169" s="365" t="s">
        <v>78</v>
      </c>
      <c r="J169" s="366" t="s">
        <v>133</v>
      </c>
      <c r="K169" s="159" t="s">
        <v>79</v>
      </c>
      <c r="L169" s="46">
        <v>42368</v>
      </c>
      <c r="M169" s="364" t="s">
        <v>50</v>
      </c>
      <c r="N169" s="265" t="s">
        <v>423</v>
      </c>
      <c r="O169" s="588" t="s">
        <v>522</v>
      </c>
      <c r="P169" s="229">
        <v>42520</v>
      </c>
      <c r="Q169" s="607" t="s">
        <v>557</v>
      </c>
      <c r="R169" s="368" t="s">
        <v>51</v>
      </c>
      <c r="S169" s="46"/>
      <c r="T169" s="368"/>
      <c r="U169" s="384">
        <f t="shared" ref="U169:U172" si="103">DAYS360(G169,L169,0)+1</f>
        <v>8</v>
      </c>
      <c r="V169" s="376" t="str">
        <f t="shared" ref="V169:V172" si="104">IF(U169&gt;15,"Inoportuno",(IF(U169&lt;0,"No ha formulado PM","Oportuno")))</f>
        <v>Oportuno</v>
      </c>
      <c r="W169" s="384">
        <f t="shared" ref="W169:W170" si="105">DAYS360(P169,S169,0)+1</f>
        <v>-41909</v>
      </c>
      <c r="X169" s="375"/>
    </row>
    <row r="170" spans="1:24" ht="143.25" customHeight="1" x14ac:dyDescent="0.2">
      <c r="A170" s="368">
        <f t="shared" si="95"/>
        <v>104</v>
      </c>
      <c r="B170" s="364" t="s">
        <v>25</v>
      </c>
      <c r="C170" s="364" t="s">
        <v>404</v>
      </c>
      <c r="D170" s="362" t="s">
        <v>43</v>
      </c>
      <c r="E170" s="372" t="s">
        <v>0</v>
      </c>
      <c r="F170" s="365" t="s">
        <v>59</v>
      </c>
      <c r="G170" s="46">
        <v>42361</v>
      </c>
      <c r="H170" s="585" t="s">
        <v>523</v>
      </c>
      <c r="I170" s="365" t="s">
        <v>78</v>
      </c>
      <c r="J170" s="366" t="s">
        <v>133</v>
      </c>
      <c r="K170" s="159" t="s">
        <v>79</v>
      </c>
      <c r="L170" s="46">
        <v>42368</v>
      </c>
      <c r="M170" s="364" t="s">
        <v>50</v>
      </c>
      <c r="N170" s="265" t="s">
        <v>424</v>
      </c>
      <c r="O170" s="588" t="s">
        <v>524</v>
      </c>
      <c r="P170" s="229">
        <v>42520</v>
      </c>
      <c r="Q170" s="364" t="s">
        <v>558</v>
      </c>
      <c r="R170" s="368" t="s">
        <v>51</v>
      </c>
      <c r="S170" s="46"/>
      <c r="T170" s="368"/>
      <c r="U170" s="384">
        <f t="shared" si="103"/>
        <v>8</v>
      </c>
      <c r="V170" s="376" t="str">
        <f t="shared" si="104"/>
        <v>Oportuno</v>
      </c>
      <c r="W170" s="384">
        <f t="shared" si="105"/>
        <v>-41909</v>
      </c>
      <c r="X170" s="375"/>
    </row>
    <row r="171" spans="1:24" ht="79.5" customHeight="1" x14ac:dyDescent="0.2">
      <c r="A171" s="722">
        <v>105</v>
      </c>
      <c r="B171" s="688" t="s">
        <v>49</v>
      </c>
      <c r="C171" s="688" t="s">
        <v>396</v>
      </c>
      <c r="D171" s="687" t="s">
        <v>43</v>
      </c>
      <c r="E171" s="688" t="s">
        <v>205</v>
      </c>
      <c r="F171" s="686" t="s">
        <v>59</v>
      </c>
      <c r="G171" s="685">
        <v>42361</v>
      </c>
      <c r="H171" s="688" t="s">
        <v>397</v>
      </c>
      <c r="I171" s="686" t="s">
        <v>78</v>
      </c>
      <c r="J171" s="663" t="s">
        <v>134</v>
      </c>
      <c r="K171" s="722" t="s">
        <v>79</v>
      </c>
      <c r="L171" s="685">
        <v>42677</v>
      </c>
      <c r="M171" s="567" t="s">
        <v>104</v>
      </c>
      <c r="N171" s="427" t="s">
        <v>807</v>
      </c>
      <c r="O171" s="588" t="s">
        <v>806</v>
      </c>
      <c r="P171" s="214">
        <v>42946</v>
      </c>
      <c r="Q171" s="452"/>
      <c r="R171" s="454" t="s">
        <v>55</v>
      </c>
      <c r="S171" s="642">
        <v>42733</v>
      </c>
      <c r="T171" s="639" t="s">
        <v>902</v>
      </c>
      <c r="U171" s="580">
        <f t="shared" si="103"/>
        <v>311</v>
      </c>
      <c r="V171" s="581" t="str">
        <f t="shared" si="104"/>
        <v>Inoportuno</v>
      </c>
      <c r="W171" s="457"/>
      <c r="X171" s="456"/>
    </row>
    <row r="172" spans="1:24" ht="79.5" customHeight="1" x14ac:dyDescent="0.2">
      <c r="A172" s="645"/>
      <c r="B172" s="641"/>
      <c r="C172" s="641"/>
      <c r="D172" s="647"/>
      <c r="E172" s="641"/>
      <c r="F172" s="677"/>
      <c r="G172" s="643"/>
      <c r="H172" s="641"/>
      <c r="I172" s="677"/>
      <c r="J172" s="655"/>
      <c r="K172" s="645"/>
      <c r="L172" s="643"/>
      <c r="M172" s="452" t="s">
        <v>50</v>
      </c>
      <c r="N172" s="427" t="s">
        <v>807</v>
      </c>
      <c r="O172" s="588" t="s">
        <v>808</v>
      </c>
      <c r="P172" s="214">
        <v>42946</v>
      </c>
      <c r="Q172" s="452"/>
      <c r="R172" s="454" t="s">
        <v>55</v>
      </c>
      <c r="S172" s="643"/>
      <c r="T172" s="641"/>
      <c r="U172" s="580">
        <f t="shared" si="103"/>
        <v>1</v>
      </c>
      <c r="V172" s="581" t="str">
        <f t="shared" si="104"/>
        <v>Oportuno</v>
      </c>
      <c r="W172" s="457"/>
      <c r="X172" s="456"/>
    </row>
    <row r="173" spans="1:24" ht="384" customHeight="1" x14ac:dyDescent="0.2">
      <c r="A173" s="638"/>
      <c r="B173" s="640"/>
      <c r="C173" s="640"/>
      <c r="D173" s="648"/>
      <c r="E173" s="640"/>
      <c r="F173" s="678"/>
      <c r="G173" s="644"/>
      <c r="H173" s="640"/>
      <c r="I173" s="678"/>
      <c r="J173" s="654"/>
      <c r="K173" s="638"/>
      <c r="L173" s="644"/>
      <c r="M173" s="364" t="s">
        <v>104</v>
      </c>
      <c r="N173" s="427" t="s">
        <v>807</v>
      </c>
      <c r="O173" s="588" t="s">
        <v>809</v>
      </c>
      <c r="P173" s="214">
        <v>42946</v>
      </c>
      <c r="Q173" s="364"/>
      <c r="R173" s="368" t="s">
        <v>55</v>
      </c>
      <c r="S173" s="644"/>
      <c r="T173" s="640"/>
      <c r="U173" s="384">
        <f>DAYS360(G171,L171,0)+1</f>
        <v>311</v>
      </c>
      <c r="V173" s="376" t="str">
        <f t="shared" si="89"/>
        <v>Inoportuno</v>
      </c>
      <c r="W173" s="384">
        <f t="shared" si="90"/>
        <v>-42329</v>
      </c>
      <c r="X173" s="375"/>
    </row>
    <row r="174" spans="1:24" ht="93" customHeight="1" x14ac:dyDescent="0.2">
      <c r="A174" s="459">
        <v>106</v>
      </c>
      <c r="B174" s="364" t="s">
        <v>49</v>
      </c>
      <c r="C174" s="364" t="s">
        <v>396</v>
      </c>
      <c r="D174" s="362" t="s">
        <v>43</v>
      </c>
      <c r="E174" s="372" t="s">
        <v>205</v>
      </c>
      <c r="F174" s="365" t="s">
        <v>59</v>
      </c>
      <c r="G174" s="46">
        <v>42361</v>
      </c>
      <c r="H174" s="576" t="s">
        <v>398</v>
      </c>
      <c r="I174" s="365" t="s">
        <v>78</v>
      </c>
      <c r="J174" s="366" t="s">
        <v>133</v>
      </c>
      <c r="K174" s="159" t="s">
        <v>79</v>
      </c>
      <c r="L174" s="46">
        <v>42677</v>
      </c>
      <c r="M174" s="364" t="s">
        <v>104</v>
      </c>
      <c r="N174" s="453" t="s">
        <v>811</v>
      </c>
      <c r="O174" s="588" t="s">
        <v>810</v>
      </c>
      <c r="P174" s="46">
        <v>43008</v>
      </c>
      <c r="Q174" s="364" t="s">
        <v>903</v>
      </c>
      <c r="R174" s="368" t="s">
        <v>51</v>
      </c>
      <c r="S174" s="46"/>
      <c r="T174" s="368"/>
      <c r="U174" s="384">
        <f t="shared" si="88"/>
        <v>311</v>
      </c>
      <c r="V174" s="376" t="str">
        <f t="shared" si="89"/>
        <v>Inoportuno</v>
      </c>
      <c r="W174" s="384">
        <f t="shared" si="90"/>
        <v>-42389</v>
      </c>
      <c r="X174" s="375"/>
    </row>
    <row r="175" spans="1:24" ht="152.25" customHeight="1" x14ac:dyDescent="0.2">
      <c r="A175" s="458">
        <f>A174+1</f>
        <v>107</v>
      </c>
      <c r="B175" s="364" t="s">
        <v>49</v>
      </c>
      <c r="C175" s="364" t="s">
        <v>396</v>
      </c>
      <c r="D175" s="362" t="s">
        <v>43</v>
      </c>
      <c r="E175" s="372" t="s">
        <v>205</v>
      </c>
      <c r="F175" s="365" t="s">
        <v>59</v>
      </c>
      <c r="G175" s="46">
        <v>42361</v>
      </c>
      <c r="H175" s="576" t="s">
        <v>399</v>
      </c>
      <c r="I175" s="365" t="s">
        <v>78</v>
      </c>
      <c r="J175" s="366" t="s">
        <v>134</v>
      </c>
      <c r="K175" s="159" t="s">
        <v>79</v>
      </c>
      <c r="L175" s="46">
        <v>42677</v>
      </c>
      <c r="M175" s="364" t="s">
        <v>104</v>
      </c>
      <c r="N175" s="453" t="s">
        <v>807</v>
      </c>
      <c r="O175" s="588" t="s">
        <v>812</v>
      </c>
      <c r="P175" s="46">
        <v>42735</v>
      </c>
      <c r="Q175" s="364"/>
      <c r="R175" s="368" t="s">
        <v>55</v>
      </c>
      <c r="S175" s="46">
        <v>42733</v>
      </c>
      <c r="T175" s="500" t="s">
        <v>904</v>
      </c>
      <c r="U175" s="384">
        <f t="shared" si="88"/>
        <v>311</v>
      </c>
      <c r="V175" s="376" t="str">
        <f t="shared" si="89"/>
        <v>Inoportuno</v>
      </c>
      <c r="W175" s="384">
        <f t="shared" si="90"/>
        <v>0</v>
      </c>
      <c r="X175" s="375"/>
    </row>
    <row r="176" spans="1:24" ht="58.5" customHeight="1" x14ac:dyDescent="0.2">
      <c r="A176" s="645">
        <v>108</v>
      </c>
      <c r="B176" s="639" t="s">
        <v>65</v>
      </c>
      <c r="C176" s="639" t="s">
        <v>525</v>
      </c>
      <c r="D176" s="646" t="s">
        <v>43</v>
      </c>
      <c r="E176" s="639" t="s">
        <v>0</v>
      </c>
      <c r="F176" s="676" t="s">
        <v>200</v>
      </c>
      <c r="G176" s="642">
        <v>42366</v>
      </c>
      <c r="H176" s="639" t="s">
        <v>400</v>
      </c>
      <c r="I176" s="676" t="s">
        <v>78</v>
      </c>
      <c r="J176" s="653" t="s">
        <v>133</v>
      </c>
      <c r="K176" s="637" t="s">
        <v>79</v>
      </c>
      <c r="L176" s="642">
        <v>42530</v>
      </c>
      <c r="M176" s="364" t="s">
        <v>50</v>
      </c>
      <c r="N176" s="364" t="s">
        <v>641</v>
      </c>
      <c r="O176" s="588" t="s">
        <v>627</v>
      </c>
      <c r="P176" s="46">
        <v>42545</v>
      </c>
      <c r="Q176" s="364"/>
      <c r="R176" s="368" t="s">
        <v>51</v>
      </c>
      <c r="S176" s="46"/>
      <c r="T176" s="368"/>
      <c r="U176" s="580">
        <f t="shared" si="88"/>
        <v>162</v>
      </c>
      <c r="V176" s="376" t="str">
        <f t="shared" si="89"/>
        <v>Inoportuno</v>
      </c>
      <c r="W176" s="384">
        <f t="shared" si="90"/>
        <v>-41933</v>
      </c>
      <c r="X176" s="375"/>
    </row>
    <row r="177" spans="1:24" ht="58.5" customHeight="1" x14ac:dyDescent="0.2">
      <c r="A177" s="645"/>
      <c r="B177" s="641"/>
      <c r="C177" s="641"/>
      <c r="D177" s="647"/>
      <c r="E177" s="641"/>
      <c r="F177" s="677"/>
      <c r="G177" s="643"/>
      <c r="H177" s="641"/>
      <c r="I177" s="677"/>
      <c r="J177" s="655"/>
      <c r="K177" s="645"/>
      <c r="L177" s="643"/>
      <c r="M177" s="364" t="s">
        <v>50</v>
      </c>
      <c r="N177" s="364" t="s">
        <v>642</v>
      </c>
      <c r="O177" s="588" t="s">
        <v>628</v>
      </c>
      <c r="P177" s="46">
        <v>42794</v>
      </c>
      <c r="Q177" s="364"/>
      <c r="R177" s="368" t="s">
        <v>51</v>
      </c>
      <c r="S177" s="46"/>
      <c r="T177" s="368"/>
      <c r="U177" s="384">
        <f t="shared" ref="U177" si="106">DAYS360(G177,L177,0)+1</f>
        <v>1</v>
      </c>
      <c r="V177" s="376" t="str">
        <f t="shared" ref="V177:V178" si="107">IF(U177&gt;15,"Inoportuno",(IF(U177&lt;0,"No ha formulado PM","Oportuno")))</f>
        <v>Oportuno</v>
      </c>
      <c r="W177" s="384">
        <f t="shared" ref="W177:W178" si="108">DAYS360(P177,S177,0)+1</f>
        <v>-42179</v>
      </c>
      <c r="X177" s="375"/>
    </row>
    <row r="178" spans="1:24" ht="58.5" customHeight="1" x14ac:dyDescent="0.2">
      <c r="A178" s="638"/>
      <c r="B178" s="640"/>
      <c r="C178" s="640"/>
      <c r="D178" s="648"/>
      <c r="E178" s="640"/>
      <c r="F178" s="678"/>
      <c r="G178" s="644"/>
      <c r="H178" s="640"/>
      <c r="I178" s="678"/>
      <c r="J178" s="654"/>
      <c r="K178" s="638"/>
      <c r="L178" s="644"/>
      <c r="M178" s="364" t="s">
        <v>50</v>
      </c>
      <c r="N178" s="364" t="s">
        <v>642</v>
      </c>
      <c r="O178" s="588" t="s">
        <v>629</v>
      </c>
      <c r="P178" s="46">
        <v>42794</v>
      </c>
      <c r="Q178" s="364"/>
      <c r="R178" s="368" t="s">
        <v>51</v>
      </c>
      <c r="S178" s="46"/>
      <c r="T178" s="368"/>
      <c r="U178" s="384">
        <f>DAYS360(G176,L176,0)+1</f>
        <v>162</v>
      </c>
      <c r="V178" s="376" t="str">
        <f t="shared" si="107"/>
        <v>Inoportuno</v>
      </c>
      <c r="W178" s="384">
        <f t="shared" si="108"/>
        <v>-42179</v>
      </c>
      <c r="X178" s="375"/>
    </row>
    <row r="179" spans="1:24" ht="57.75" customHeight="1" x14ac:dyDescent="0.2">
      <c r="A179" s="368">
        <v>109</v>
      </c>
      <c r="B179" s="364" t="s">
        <v>65</v>
      </c>
      <c r="C179" s="364" t="s">
        <v>525</v>
      </c>
      <c r="D179" s="362" t="s">
        <v>43</v>
      </c>
      <c r="E179" s="372" t="s">
        <v>0</v>
      </c>
      <c r="F179" s="365" t="s">
        <v>200</v>
      </c>
      <c r="G179" s="46">
        <v>42366</v>
      </c>
      <c r="H179" s="576" t="s">
        <v>401</v>
      </c>
      <c r="I179" s="365" t="s">
        <v>78</v>
      </c>
      <c r="J179" s="366" t="s">
        <v>133</v>
      </c>
      <c r="K179" s="159" t="s">
        <v>79</v>
      </c>
      <c r="L179" s="46">
        <v>42530</v>
      </c>
      <c r="M179" s="364" t="s">
        <v>50</v>
      </c>
      <c r="N179" s="364" t="s">
        <v>642</v>
      </c>
      <c r="O179" s="588" t="s">
        <v>640</v>
      </c>
      <c r="P179" s="46">
        <v>42734</v>
      </c>
      <c r="Q179" s="364"/>
      <c r="R179" s="368" t="s">
        <v>51</v>
      </c>
      <c r="S179" s="46"/>
      <c r="T179" s="368"/>
      <c r="U179" s="384">
        <f t="shared" si="88"/>
        <v>162</v>
      </c>
      <c r="V179" s="376" t="str">
        <f t="shared" si="89"/>
        <v>Inoportuno</v>
      </c>
      <c r="W179" s="384">
        <f t="shared" si="90"/>
        <v>-42119</v>
      </c>
      <c r="X179" s="375"/>
    </row>
    <row r="180" spans="1:24" ht="58.5" customHeight="1" x14ac:dyDescent="0.2">
      <c r="A180" s="368">
        <f t="shared" si="95"/>
        <v>110</v>
      </c>
      <c r="B180" s="364" t="s">
        <v>61</v>
      </c>
      <c r="C180" s="364" t="s">
        <v>380</v>
      </c>
      <c r="D180" s="362" t="s">
        <v>43</v>
      </c>
      <c r="E180" s="372" t="s">
        <v>0</v>
      </c>
      <c r="F180" s="365" t="s">
        <v>60</v>
      </c>
      <c r="G180" s="46">
        <v>42367</v>
      </c>
      <c r="H180" s="576" t="s">
        <v>425</v>
      </c>
      <c r="I180" s="365" t="s">
        <v>78</v>
      </c>
      <c r="J180" s="374" t="s">
        <v>133</v>
      </c>
      <c r="K180" s="159" t="s">
        <v>79</v>
      </c>
      <c r="L180" s="46">
        <v>42382</v>
      </c>
      <c r="M180" s="364" t="s">
        <v>104</v>
      </c>
      <c r="N180" s="265" t="s">
        <v>420</v>
      </c>
      <c r="O180" s="588" t="s">
        <v>526</v>
      </c>
      <c r="P180" s="46">
        <v>42745</v>
      </c>
      <c r="Q180" s="364"/>
      <c r="R180" s="368" t="s">
        <v>51</v>
      </c>
      <c r="S180" s="46"/>
      <c r="T180" s="368"/>
      <c r="U180" s="384">
        <f t="shared" ref="U180" si="109">DAYS360(G180,L180,0)+1</f>
        <v>15</v>
      </c>
      <c r="V180" s="376" t="str">
        <f t="shared" ref="V180" si="110">IF(U180&gt;15,"Inoportuno",(IF(U180&lt;0,"No ha formulado PM","Oportuno")))</f>
        <v>Oportuno</v>
      </c>
      <c r="W180" s="384">
        <f t="shared" ref="W180" si="111">DAYS360(P180,S180,0)+1</f>
        <v>-42129</v>
      </c>
      <c r="X180" s="375"/>
    </row>
    <row r="181" spans="1:24" ht="66" customHeight="1" x14ac:dyDescent="0.2">
      <c r="A181" s="368">
        <f>A180+1</f>
        <v>111</v>
      </c>
      <c r="B181" s="364" t="s">
        <v>63</v>
      </c>
      <c r="C181" s="364" t="s">
        <v>429</v>
      </c>
      <c r="D181" s="362" t="s">
        <v>43</v>
      </c>
      <c r="E181" s="372" t="s">
        <v>0</v>
      </c>
      <c r="F181" s="365" t="s">
        <v>52</v>
      </c>
      <c r="G181" s="46">
        <v>42368</v>
      </c>
      <c r="H181" s="576" t="s">
        <v>430</v>
      </c>
      <c r="I181" s="365" t="s">
        <v>78</v>
      </c>
      <c r="J181" s="366" t="s">
        <v>133</v>
      </c>
      <c r="K181" s="159" t="s">
        <v>79</v>
      </c>
      <c r="L181" s="46">
        <v>42381</v>
      </c>
      <c r="M181" s="364" t="s">
        <v>50</v>
      </c>
      <c r="N181" s="364" t="s">
        <v>439</v>
      </c>
      <c r="O181" s="587" t="s">
        <v>440</v>
      </c>
      <c r="P181" s="46">
        <v>42735</v>
      </c>
      <c r="Q181" s="364"/>
      <c r="R181" s="368" t="s">
        <v>51</v>
      </c>
      <c r="S181" s="46"/>
      <c r="T181" s="368"/>
      <c r="U181" s="384">
        <f t="shared" ref="U181:U183" si="112">DAYS360(G181,L181,0)+1</f>
        <v>13</v>
      </c>
      <c r="V181" s="376" t="str">
        <f t="shared" ref="V181:V186" si="113">IF(U181&gt;15,"Inoportuno",(IF(U181&lt;0,"No ha formulado PM","Oportuno")))</f>
        <v>Oportuno</v>
      </c>
      <c r="W181" s="384">
        <f t="shared" ref="W181:W186" si="114">DAYS360(P181,S181,0)+1</f>
        <v>-42119</v>
      </c>
      <c r="X181" s="375"/>
    </row>
    <row r="182" spans="1:24" ht="227.25" customHeight="1" x14ac:dyDescent="0.2">
      <c r="A182" s="637">
        <v>112</v>
      </c>
      <c r="B182" s="364" t="s">
        <v>63</v>
      </c>
      <c r="C182" s="364" t="s">
        <v>454</v>
      </c>
      <c r="D182" s="362" t="s">
        <v>43</v>
      </c>
      <c r="E182" s="372" t="s">
        <v>0</v>
      </c>
      <c r="F182" s="365" t="s">
        <v>60</v>
      </c>
      <c r="G182" s="46">
        <v>42368</v>
      </c>
      <c r="H182" s="576" t="s">
        <v>455</v>
      </c>
      <c r="I182" s="365" t="s">
        <v>78</v>
      </c>
      <c r="J182" s="366" t="s">
        <v>133</v>
      </c>
      <c r="K182" s="159" t="s">
        <v>79</v>
      </c>
      <c r="L182" s="46">
        <v>42396</v>
      </c>
      <c r="M182" s="364" t="s">
        <v>50</v>
      </c>
      <c r="N182" s="428" t="s">
        <v>529</v>
      </c>
      <c r="O182" s="428" t="s">
        <v>530</v>
      </c>
      <c r="P182" s="46">
        <v>42734</v>
      </c>
      <c r="Q182" s="364"/>
      <c r="R182" s="368" t="s">
        <v>51</v>
      </c>
      <c r="S182" s="46"/>
      <c r="T182" s="368"/>
      <c r="U182" s="384">
        <f t="shared" si="112"/>
        <v>28</v>
      </c>
      <c r="V182" s="376" t="str">
        <f t="shared" si="113"/>
        <v>Inoportuno</v>
      </c>
      <c r="W182" s="384">
        <f t="shared" si="114"/>
        <v>-42119</v>
      </c>
      <c r="X182" s="375"/>
    </row>
    <row r="183" spans="1:24" ht="126" customHeight="1" x14ac:dyDescent="0.2">
      <c r="A183" s="645"/>
      <c r="B183" s="639" t="s">
        <v>63</v>
      </c>
      <c r="C183" s="639" t="s">
        <v>454</v>
      </c>
      <c r="D183" s="647" t="s">
        <v>43</v>
      </c>
      <c r="E183" s="641"/>
      <c r="F183" s="676" t="s">
        <v>60</v>
      </c>
      <c r="G183" s="642">
        <v>42368</v>
      </c>
      <c r="H183" s="639" t="s">
        <v>456</v>
      </c>
      <c r="I183" s="677" t="s">
        <v>78</v>
      </c>
      <c r="J183" s="655" t="s">
        <v>133</v>
      </c>
      <c r="K183" s="645" t="s">
        <v>79</v>
      </c>
      <c r="L183" s="685">
        <v>42396</v>
      </c>
      <c r="M183" s="364" t="s">
        <v>50</v>
      </c>
      <c r="N183" s="428" t="s">
        <v>533</v>
      </c>
      <c r="O183" s="428" t="s">
        <v>531</v>
      </c>
      <c r="P183" s="46">
        <v>42734</v>
      </c>
      <c r="Q183" s="364"/>
      <c r="R183" s="368" t="s">
        <v>51</v>
      </c>
      <c r="S183" s="46"/>
      <c r="T183" s="368"/>
      <c r="U183" s="515">
        <f t="shared" si="112"/>
        <v>28</v>
      </c>
      <c r="V183" s="376" t="str">
        <f t="shared" si="113"/>
        <v>Inoportuno</v>
      </c>
      <c r="W183" s="384">
        <f t="shared" si="114"/>
        <v>-42119</v>
      </c>
      <c r="X183" s="375"/>
    </row>
    <row r="184" spans="1:24" ht="126" customHeight="1" x14ac:dyDescent="0.2">
      <c r="A184" s="638"/>
      <c r="B184" s="640"/>
      <c r="C184" s="640"/>
      <c r="D184" s="648"/>
      <c r="E184" s="640"/>
      <c r="F184" s="678"/>
      <c r="G184" s="644"/>
      <c r="H184" s="640"/>
      <c r="I184" s="678"/>
      <c r="J184" s="654"/>
      <c r="K184" s="638"/>
      <c r="L184" s="644"/>
      <c r="M184" s="364" t="s">
        <v>104</v>
      </c>
      <c r="N184" s="428" t="s">
        <v>533</v>
      </c>
      <c r="O184" s="428" t="s">
        <v>532</v>
      </c>
      <c r="P184" s="46">
        <v>42734</v>
      </c>
      <c r="Q184" s="364"/>
      <c r="R184" s="368" t="s">
        <v>51</v>
      </c>
      <c r="S184" s="46"/>
      <c r="T184" s="368"/>
      <c r="U184" s="384">
        <f>DAYS360(G183,L183,0)+1</f>
        <v>28</v>
      </c>
      <c r="V184" s="376" t="str">
        <f t="shared" si="113"/>
        <v>Inoportuno</v>
      </c>
      <c r="W184" s="384">
        <f t="shared" si="114"/>
        <v>-42119</v>
      </c>
      <c r="X184" s="375"/>
    </row>
    <row r="185" spans="1:24" ht="86.25" customHeight="1" x14ac:dyDescent="0.2">
      <c r="A185" s="637">
        <v>113</v>
      </c>
      <c r="B185" s="639" t="s">
        <v>63</v>
      </c>
      <c r="C185" s="639" t="s">
        <v>454</v>
      </c>
      <c r="D185" s="646" t="s">
        <v>43</v>
      </c>
      <c r="E185" s="639" t="s">
        <v>0</v>
      </c>
      <c r="F185" s="676" t="s">
        <v>60</v>
      </c>
      <c r="G185" s="642">
        <v>42368</v>
      </c>
      <c r="H185" s="639" t="s">
        <v>457</v>
      </c>
      <c r="I185" s="676" t="s">
        <v>78</v>
      </c>
      <c r="J185" s="653" t="s">
        <v>133</v>
      </c>
      <c r="K185" s="637" t="s">
        <v>79</v>
      </c>
      <c r="L185" s="642">
        <v>42396</v>
      </c>
      <c r="M185" s="364" t="s">
        <v>50</v>
      </c>
      <c r="N185" s="428" t="s">
        <v>535</v>
      </c>
      <c r="O185" s="428" t="s">
        <v>536</v>
      </c>
      <c r="P185" s="46">
        <v>42551</v>
      </c>
      <c r="Q185" s="364"/>
      <c r="R185" s="368" t="s">
        <v>51</v>
      </c>
      <c r="S185" s="46"/>
      <c r="T185" s="368"/>
      <c r="U185" s="384" t="e">
        <f>DAYS360(#REF!,#REF!,0)+1</f>
        <v>#REF!</v>
      </c>
      <c r="V185" s="376" t="e">
        <f t="shared" si="113"/>
        <v>#REF!</v>
      </c>
      <c r="W185" s="384">
        <f t="shared" si="114"/>
        <v>-41939</v>
      </c>
      <c r="X185" s="375"/>
    </row>
    <row r="186" spans="1:24" ht="86.25" customHeight="1" x14ac:dyDescent="0.2">
      <c r="A186" s="638"/>
      <c r="B186" s="640"/>
      <c r="C186" s="640"/>
      <c r="D186" s="648"/>
      <c r="E186" s="640"/>
      <c r="F186" s="678"/>
      <c r="G186" s="644"/>
      <c r="H186" s="640"/>
      <c r="I186" s="678"/>
      <c r="J186" s="654"/>
      <c r="K186" s="638"/>
      <c r="L186" s="644"/>
      <c r="M186" s="364" t="s">
        <v>50</v>
      </c>
      <c r="N186" s="428" t="s">
        <v>534</v>
      </c>
      <c r="O186" s="428" t="s">
        <v>537</v>
      </c>
      <c r="P186" s="46">
        <v>42551</v>
      </c>
      <c r="Q186" s="364"/>
      <c r="R186" s="368" t="s">
        <v>51</v>
      </c>
      <c r="S186" s="46"/>
      <c r="T186" s="368"/>
      <c r="U186" s="384">
        <f t="shared" ref="U186:U193" si="115">DAYS360(G185,L185,0)+1</f>
        <v>28</v>
      </c>
      <c r="V186" s="376" t="str">
        <f t="shared" si="113"/>
        <v>Inoportuno</v>
      </c>
      <c r="W186" s="384">
        <f t="shared" si="114"/>
        <v>-41939</v>
      </c>
      <c r="X186" s="375"/>
    </row>
    <row r="187" spans="1:24" ht="68.25" customHeight="1" x14ac:dyDescent="0.2">
      <c r="A187" s="637">
        <v>114</v>
      </c>
      <c r="B187" s="639" t="s">
        <v>267</v>
      </c>
      <c r="C187" s="639" t="s">
        <v>454</v>
      </c>
      <c r="D187" s="646" t="s">
        <v>46</v>
      </c>
      <c r="E187" s="639" t="s">
        <v>0</v>
      </c>
      <c r="F187" s="676" t="s">
        <v>527</v>
      </c>
      <c r="G187" s="642">
        <v>42480</v>
      </c>
      <c r="H187" s="639" t="s">
        <v>565</v>
      </c>
      <c r="I187" s="676" t="s">
        <v>78</v>
      </c>
      <c r="J187" s="653" t="s">
        <v>133</v>
      </c>
      <c r="K187" s="637" t="s">
        <v>79</v>
      </c>
      <c r="L187" s="642">
        <v>42495</v>
      </c>
      <c r="M187" s="364" t="s">
        <v>104</v>
      </c>
      <c r="N187" s="364" t="s">
        <v>566</v>
      </c>
      <c r="O187" s="587" t="s">
        <v>567</v>
      </c>
      <c r="P187" s="229">
        <v>42495</v>
      </c>
      <c r="Q187" s="364" t="s">
        <v>729</v>
      </c>
      <c r="R187" s="368" t="s">
        <v>55</v>
      </c>
      <c r="S187" s="46">
        <v>42535</v>
      </c>
      <c r="T187" s="368"/>
      <c r="U187" s="515">
        <f t="shared" si="115"/>
        <v>1</v>
      </c>
      <c r="V187" s="376" t="str">
        <f t="shared" ref="V187" si="116">IF(U187&gt;15,"Inoportuno",(IF(U187&lt;0,"No ha formulado PM","Oportuno")))</f>
        <v>Oportuno</v>
      </c>
      <c r="W187" s="384">
        <f t="shared" ref="W187" si="117">DAYS360(P187,S187,0)+1</f>
        <v>40</v>
      </c>
      <c r="X187" s="375"/>
    </row>
    <row r="188" spans="1:24" ht="68.25" customHeight="1" x14ac:dyDescent="0.2">
      <c r="A188" s="638"/>
      <c r="B188" s="640"/>
      <c r="C188" s="640"/>
      <c r="D188" s="648"/>
      <c r="E188" s="640"/>
      <c r="F188" s="678"/>
      <c r="G188" s="644"/>
      <c r="H188" s="640"/>
      <c r="I188" s="678"/>
      <c r="J188" s="654"/>
      <c r="K188" s="638"/>
      <c r="L188" s="644"/>
      <c r="M188" s="364" t="s">
        <v>50</v>
      </c>
      <c r="N188" s="364" t="s">
        <v>566</v>
      </c>
      <c r="O188" s="587" t="s">
        <v>616</v>
      </c>
      <c r="P188" s="46">
        <v>42735</v>
      </c>
      <c r="Q188" s="364" t="s">
        <v>730</v>
      </c>
      <c r="R188" s="368" t="s">
        <v>51</v>
      </c>
      <c r="S188" s="46"/>
      <c r="T188" s="368"/>
      <c r="U188" s="384">
        <f t="shared" si="115"/>
        <v>16</v>
      </c>
      <c r="V188" s="376" t="str">
        <f t="shared" ref="V188" si="118">IF(U188&gt;15,"Inoportuno",(IF(U188&lt;0,"No ha formulado PM","Oportuno")))</f>
        <v>Inoportuno</v>
      </c>
      <c r="W188" s="384">
        <f t="shared" ref="W188" si="119">DAYS360(P188,S188,0)+1</f>
        <v>-42119</v>
      </c>
      <c r="X188" s="375"/>
    </row>
    <row r="189" spans="1:24" ht="141.75" customHeight="1" x14ac:dyDescent="0.2">
      <c r="A189" s="637">
        <f>A187+1</f>
        <v>115</v>
      </c>
      <c r="B189" s="639" t="s">
        <v>267</v>
      </c>
      <c r="C189" s="639" t="s">
        <v>454</v>
      </c>
      <c r="D189" s="646" t="s">
        <v>46</v>
      </c>
      <c r="E189" s="639" t="s">
        <v>0</v>
      </c>
      <c r="F189" s="676" t="s">
        <v>527</v>
      </c>
      <c r="G189" s="642">
        <v>42480</v>
      </c>
      <c r="H189" s="639" t="s">
        <v>571</v>
      </c>
      <c r="I189" s="676" t="s">
        <v>78</v>
      </c>
      <c r="J189" s="653" t="s">
        <v>133</v>
      </c>
      <c r="K189" s="637" t="s">
        <v>79</v>
      </c>
      <c r="L189" s="642">
        <v>42495</v>
      </c>
      <c r="M189" s="364" t="s">
        <v>104</v>
      </c>
      <c r="N189" s="364" t="s">
        <v>568</v>
      </c>
      <c r="O189" s="587" t="s">
        <v>574</v>
      </c>
      <c r="P189" s="46">
        <v>42495</v>
      </c>
      <c r="Q189" s="367" t="s">
        <v>731</v>
      </c>
      <c r="R189" s="368" t="s">
        <v>51</v>
      </c>
      <c r="S189" s="46"/>
      <c r="T189" s="368"/>
      <c r="U189" s="515">
        <f t="shared" si="115"/>
        <v>1</v>
      </c>
      <c r="V189" s="376" t="str">
        <f t="shared" ref="V189:V193" si="120">IF(U189&gt;15,"Inoportuno",(IF(U189&lt;0,"No ha formulado PM","Oportuno")))</f>
        <v>Oportuno</v>
      </c>
      <c r="W189" s="384">
        <f t="shared" ref="W189:W193" si="121">DAYS360(P189,S189,0)+1</f>
        <v>-41884</v>
      </c>
      <c r="X189" s="375"/>
    </row>
    <row r="190" spans="1:24" ht="68.25" customHeight="1" x14ac:dyDescent="0.2">
      <c r="A190" s="638"/>
      <c r="B190" s="640"/>
      <c r="C190" s="640"/>
      <c r="D190" s="648"/>
      <c r="E190" s="640"/>
      <c r="F190" s="678"/>
      <c r="G190" s="644"/>
      <c r="H190" s="640"/>
      <c r="I190" s="678"/>
      <c r="J190" s="654"/>
      <c r="K190" s="638"/>
      <c r="L190" s="644"/>
      <c r="M190" s="364" t="s">
        <v>50</v>
      </c>
      <c r="N190" s="364" t="s">
        <v>568</v>
      </c>
      <c r="O190" s="587" t="s">
        <v>617</v>
      </c>
      <c r="P190" s="46">
        <v>42490</v>
      </c>
      <c r="Q190" s="367" t="s">
        <v>732</v>
      </c>
      <c r="R190" s="368" t="s">
        <v>51</v>
      </c>
      <c r="S190" s="46"/>
      <c r="T190" s="368"/>
      <c r="U190" s="384">
        <f t="shared" si="115"/>
        <v>16</v>
      </c>
      <c r="V190" s="376" t="str">
        <f t="shared" ref="V190" si="122">IF(U190&gt;15,"Inoportuno",(IF(U190&lt;0,"No ha formulado PM","Oportuno")))</f>
        <v>Inoportuno</v>
      </c>
      <c r="W190" s="384">
        <f t="shared" ref="W190" si="123">DAYS360(P190,S190,0)+1</f>
        <v>-41879</v>
      </c>
      <c r="X190" s="375"/>
    </row>
    <row r="191" spans="1:24" ht="68.25" customHeight="1" x14ac:dyDescent="0.2">
      <c r="A191" s="637">
        <v>116</v>
      </c>
      <c r="B191" s="639" t="s">
        <v>267</v>
      </c>
      <c r="C191" s="639" t="s">
        <v>454</v>
      </c>
      <c r="D191" s="646" t="s">
        <v>46</v>
      </c>
      <c r="E191" s="639" t="s">
        <v>0</v>
      </c>
      <c r="F191" s="676" t="s">
        <v>527</v>
      </c>
      <c r="G191" s="642">
        <v>42480</v>
      </c>
      <c r="H191" s="639" t="s">
        <v>572</v>
      </c>
      <c r="I191" s="676" t="s">
        <v>78</v>
      </c>
      <c r="J191" s="653" t="s">
        <v>133</v>
      </c>
      <c r="K191" s="637" t="s">
        <v>79</v>
      </c>
      <c r="L191" s="642">
        <v>42495</v>
      </c>
      <c r="M191" s="364" t="s">
        <v>104</v>
      </c>
      <c r="N191" s="364" t="s">
        <v>568</v>
      </c>
      <c r="O191" s="587" t="s">
        <v>618</v>
      </c>
      <c r="P191" s="46">
        <v>42520</v>
      </c>
      <c r="Q191" s="367" t="s">
        <v>733</v>
      </c>
      <c r="R191" s="368" t="s">
        <v>55</v>
      </c>
      <c r="S191" s="46">
        <v>42535</v>
      </c>
      <c r="T191" s="368"/>
      <c r="U191" s="515">
        <f t="shared" si="115"/>
        <v>1</v>
      </c>
      <c r="V191" s="376" t="str">
        <f t="shared" si="120"/>
        <v>Oportuno</v>
      </c>
      <c r="W191" s="384">
        <f t="shared" si="121"/>
        <v>15</v>
      </c>
      <c r="X191" s="375"/>
    </row>
    <row r="192" spans="1:24" ht="68.25" customHeight="1" x14ac:dyDescent="0.2">
      <c r="A192" s="638"/>
      <c r="B192" s="640"/>
      <c r="C192" s="640"/>
      <c r="D192" s="648"/>
      <c r="E192" s="640"/>
      <c r="F192" s="678"/>
      <c r="G192" s="644"/>
      <c r="H192" s="640"/>
      <c r="I192" s="678"/>
      <c r="J192" s="654"/>
      <c r="K192" s="638"/>
      <c r="L192" s="644"/>
      <c r="M192" s="364" t="s">
        <v>50</v>
      </c>
      <c r="N192" s="364" t="s">
        <v>568</v>
      </c>
      <c r="O192" s="587" t="s">
        <v>619</v>
      </c>
      <c r="P192" s="46">
        <v>42735</v>
      </c>
      <c r="Q192" s="364" t="s">
        <v>734</v>
      </c>
      <c r="R192" s="368" t="s">
        <v>51</v>
      </c>
      <c r="S192" s="46"/>
      <c r="T192" s="368"/>
      <c r="U192" s="384">
        <f t="shared" si="115"/>
        <v>16</v>
      </c>
      <c r="V192" s="376" t="str">
        <f t="shared" ref="V192" si="124">IF(U192&gt;15,"Inoportuno",(IF(U192&lt;0,"No ha formulado PM","Oportuno")))</f>
        <v>Inoportuno</v>
      </c>
      <c r="W192" s="384">
        <f t="shared" ref="W192" si="125">DAYS360(P192,S192,0)+1</f>
        <v>-42119</v>
      </c>
      <c r="X192" s="375"/>
    </row>
    <row r="193" spans="1:24" ht="68.25" customHeight="1" x14ac:dyDescent="0.2">
      <c r="A193" s="637">
        <v>117</v>
      </c>
      <c r="B193" s="639" t="s">
        <v>267</v>
      </c>
      <c r="C193" s="639" t="s">
        <v>454</v>
      </c>
      <c r="D193" s="646" t="s">
        <v>46</v>
      </c>
      <c r="E193" s="639" t="s">
        <v>0</v>
      </c>
      <c r="F193" s="676" t="s">
        <v>527</v>
      </c>
      <c r="G193" s="642">
        <v>42480</v>
      </c>
      <c r="H193" s="639" t="s">
        <v>573</v>
      </c>
      <c r="I193" s="676" t="s">
        <v>78</v>
      </c>
      <c r="J193" s="653" t="s">
        <v>133</v>
      </c>
      <c r="K193" s="637" t="s">
        <v>79</v>
      </c>
      <c r="L193" s="642">
        <v>42495</v>
      </c>
      <c r="M193" s="364" t="s">
        <v>104</v>
      </c>
      <c r="N193" s="196" t="s">
        <v>568</v>
      </c>
      <c r="O193" s="587" t="s">
        <v>620</v>
      </c>
      <c r="P193" s="46">
        <v>42495</v>
      </c>
      <c r="Q193" s="364" t="s">
        <v>735</v>
      </c>
      <c r="R193" s="368" t="s">
        <v>55</v>
      </c>
      <c r="S193" s="46">
        <v>42535</v>
      </c>
      <c r="T193" s="368"/>
      <c r="U193" s="515">
        <f t="shared" si="115"/>
        <v>1</v>
      </c>
      <c r="V193" s="376" t="str">
        <f t="shared" si="120"/>
        <v>Oportuno</v>
      </c>
      <c r="W193" s="384">
        <f t="shared" si="121"/>
        <v>40</v>
      </c>
      <c r="X193" s="375"/>
    </row>
    <row r="194" spans="1:24" ht="68.25" customHeight="1" x14ac:dyDescent="0.2">
      <c r="A194" s="645"/>
      <c r="B194" s="641"/>
      <c r="C194" s="641"/>
      <c r="D194" s="647"/>
      <c r="E194" s="641"/>
      <c r="F194" s="677"/>
      <c r="G194" s="643"/>
      <c r="H194" s="641"/>
      <c r="I194" s="677"/>
      <c r="J194" s="655"/>
      <c r="K194" s="645"/>
      <c r="L194" s="643"/>
      <c r="M194" s="364" t="s">
        <v>50</v>
      </c>
      <c r="N194" s="196" t="s">
        <v>568</v>
      </c>
      <c r="O194" s="587" t="s">
        <v>621</v>
      </c>
      <c r="P194" s="46">
        <v>42735</v>
      </c>
      <c r="Q194" s="364" t="s">
        <v>736</v>
      </c>
      <c r="R194" s="368" t="s">
        <v>51</v>
      </c>
      <c r="S194" s="46"/>
      <c r="T194" s="368"/>
      <c r="U194" s="384">
        <f t="shared" ref="U194" si="126">DAYS360(G194,L194,0)+1</f>
        <v>1</v>
      </c>
      <c r="V194" s="376" t="str">
        <f t="shared" ref="V194" si="127">IF(U194&gt;15,"Inoportuno",(IF(U194&lt;0,"No ha formulado PM","Oportuno")))</f>
        <v>Oportuno</v>
      </c>
      <c r="W194" s="384">
        <f t="shared" ref="W194" si="128">DAYS360(P194,S194,0)+1</f>
        <v>-42119</v>
      </c>
      <c r="X194" s="375"/>
    </row>
    <row r="195" spans="1:24" ht="76.5" customHeight="1" x14ac:dyDescent="0.2">
      <c r="A195" s="638"/>
      <c r="B195" s="640"/>
      <c r="C195" s="640"/>
      <c r="D195" s="648"/>
      <c r="E195" s="640"/>
      <c r="F195" s="678"/>
      <c r="G195" s="644"/>
      <c r="H195" s="640"/>
      <c r="I195" s="678"/>
      <c r="J195" s="654"/>
      <c r="K195" s="638"/>
      <c r="L195" s="644"/>
      <c r="M195" s="364" t="s">
        <v>50</v>
      </c>
      <c r="N195" s="196" t="s">
        <v>568</v>
      </c>
      <c r="O195" s="587" t="s">
        <v>622</v>
      </c>
      <c r="P195" s="46">
        <v>42735</v>
      </c>
      <c r="Q195" s="365" t="s">
        <v>737</v>
      </c>
      <c r="R195" s="368" t="s">
        <v>51</v>
      </c>
      <c r="S195" s="46"/>
      <c r="T195" s="368"/>
      <c r="U195" s="384">
        <f>DAYS360(G193,L193,0)+1</f>
        <v>16</v>
      </c>
      <c r="V195" s="376" t="str">
        <f t="shared" ref="V195" si="129">IF(U195&gt;15,"Inoportuno",(IF(U195&lt;0,"No ha formulado PM","Oportuno")))</f>
        <v>Inoportuno</v>
      </c>
      <c r="W195" s="384">
        <f t="shared" ref="W195" si="130">DAYS360(P195,S195,0)+1</f>
        <v>-42119</v>
      </c>
      <c r="X195" s="375"/>
    </row>
    <row r="196" spans="1:24" ht="38.25" x14ac:dyDescent="0.2">
      <c r="A196" s="368">
        <f>A193+1</f>
        <v>118</v>
      </c>
      <c r="B196" s="364" t="s">
        <v>335</v>
      </c>
      <c r="C196" s="452" t="s">
        <v>204</v>
      </c>
      <c r="D196" s="362" t="s">
        <v>46</v>
      </c>
      <c r="E196" s="372" t="s">
        <v>0</v>
      </c>
      <c r="F196" s="365" t="s">
        <v>58</v>
      </c>
      <c r="G196" s="46">
        <v>42480</v>
      </c>
      <c r="H196" s="584" t="s">
        <v>588</v>
      </c>
      <c r="I196" s="365" t="s">
        <v>78</v>
      </c>
      <c r="J196" s="469" t="s">
        <v>133</v>
      </c>
      <c r="K196" s="159" t="s">
        <v>80</v>
      </c>
      <c r="L196" s="520"/>
      <c r="M196" s="364"/>
      <c r="N196" s="364"/>
      <c r="O196" s="587"/>
      <c r="P196" s="46"/>
      <c r="Q196" s="364"/>
      <c r="R196" s="467" t="s">
        <v>51</v>
      </c>
      <c r="S196" s="471"/>
      <c r="T196" s="368"/>
      <c r="U196" s="384">
        <f t="shared" ref="U196:U259" si="131">DAYS360(G196,L196,0)+1</f>
        <v>-41869</v>
      </c>
      <c r="V196" s="376" t="str">
        <f t="shared" ref="V196:V259" si="132">IF(U196&gt;15,"Inoportuno",(IF(U196&lt;0,"No ha formulado PM","Oportuno")))</f>
        <v>No ha formulado PM</v>
      </c>
      <c r="W196" s="384">
        <f t="shared" ref="W196:W256" si="133">DAYS360(P196,S196,0)+1</f>
        <v>1</v>
      </c>
      <c r="X196" s="375"/>
    </row>
    <row r="197" spans="1:24" ht="59.25" customHeight="1" x14ac:dyDescent="0.2">
      <c r="A197" s="368">
        <f>A196+1</f>
        <v>119</v>
      </c>
      <c r="B197" s="364" t="s">
        <v>335</v>
      </c>
      <c r="C197" s="452" t="s">
        <v>204</v>
      </c>
      <c r="D197" s="362" t="s">
        <v>46</v>
      </c>
      <c r="E197" s="372" t="s">
        <v>0</v>
      </c>
      <c r="F197" s="365" t="s">
        <v>58</v>
      </c>
      <c r="G197" s="530">
        <v>42480</v>
      </c>
      <c r="H197" s="593" t="s">
        <v>589</v>
      </c>
      <c r="I197" s="531" t="s">
        <v>78</v>
      </c>
      <c r="J197" s="366" t="s">
        <v>133</v>
      </c>
      <c r="K197" s="159" t="s">
        <v>79</v>
      </c>
      <c r="L197" s="46">
        <v>42500</v>
      </c>
      <c r="M197" s="364" t="s">
        <v>50</v>
      </c>
      <c r="N197" s="364" t="s">
        <v>364</v>
      </c>
      <c r="O197" s="589" t="s">
        <v>833</v>
      </c>
      <c r="P197" s="46">
        <v>42551</v>
      </c>
      <c r="Q197" s="265" t="s">
        <v>834</v>
      </c>
      <c r="R197" s="467" t="s">
        <v>55</v>
      </c>
      <c r="S197" s="46">
        <v>42706</v>
      </c>
      <c r="T197" s="368" t="s">
        <v>991</v>
      </c>
      <c r="U197" s="384">
        <f t="shared" si="131"/>
        <v>21</v>
      </c>
      <c r="V197" s="376" t="str">
        <f t="shared" si="132"/>
        <v>Inoportuno</v>
      </c>
      <c r="W197" s="384">
        <f t="shared" si="133"/>
        <v>153</v>
      </c>
      <c r="X197" s="375"/>
    </row>
    <row r="198" spans="1:24" ht="44.25" customHeight="1" x14ac:dyDescent="0.2">
      <c r="A198" s="368">
        <f>A197+1</f>
        <v>120</v>
      </c>
      <c r="B198" s="364" t="s">
        <v>335</v>
      </c>
      <c r="C198" s="452" t="s">
        <v>204</v>
      </c>
      <c r="D198" s="362" t="s">
        <v>46</v>
      </c>
      <c r="E198" s="372" t="s">
        <v>0</v>
      </c>
      <c r="F198" s="365" t="s">
        <v>58</v>
      </c>
      <c r="G198" s="46">
        <v>42480</v>
      </c>
      <c r="H198" s="583" t="s">
        <v>590</v>
      </c>
      <c r="I198" s="365" t="s">
        <v>78</v>
      </c>
      <c r="J198" s="455" t="s">
        <v>133</v>
      </c>
      <c r="K198" s="159" t="s">
        <v>79</v>
      </c>
      <c r="L198" s="46">
        <v>42500</v>
      </c>
      <c r="M198" s="364" t="s">
        <v>50</v>
      </c>
      <c r="N198" s="364" t="s">
        <v>363</v>
      </c>
      <c r="O198" s="588" t="s">
        <v>835</v>
      </c>
      <c r="P198" s="46">
        <v>42581</v>
      </c>
      <c r="Q198" s="265" t="s">
        <v>836</v>
      </c>
      <c r="R198" s="368" t="s">
        <v>51</v>
      </c>
      <c r="S198" s="46"/>
      <c r="T198" s="368"/>
      <c r="U198" s="384">
        <f t="shared" si="131"/>
        <v>21</v>
      </c>
      <c r="V198" s="376" t="str">
        <f t="shared" si="132"/>
        <v>Inoportuno</v>
      </c>
      <c r="W198" s="384">
        <f t="shared" si="133"/>
        <v>-41969</v>
      </c>
      <c r="X198" s="375"/>
    </row>
    <row r="199" spans="1:24" ht="54.75" customHeight="1" x14ac:dyDescent="0.2">
      <c r="A199" s="368">
        <f>A198+1</f>
        <v>121</v>
      </c>
      <c r="B199" s="364" t="s">
        <v>37</v>
      </c>
      <c r="C199" s="364" t="s">
        <v>204</v>
      </c>
      <c r="D199" s="362" t="s">
        <v>43</v>
      </c>
      <c r="E199" s="372" t="s">
        <v>0</v>
      </c>
      <c r="F199" s="365" t="s">
        <v>527</v>
      </c>
      <c r="G199" s="46">
        <v>42527</v>
      </c>
      <c r="H199" s="576" t="s">
        <v>669</v>
      </c>
      <c r="I199" s="365" t="s">
        <v>78</v>
      </c>
      <c r="J199" s="366" t="s">
        <v>133</v>
      </c>
      <c r="K199" s="159" t="s">
        <v>79</v>
      </c>
      <c r="L199" s="46">
        <v>42527</v>
      </c>
      <c r="M199" s="364" t="s">
        <v>50</v>
      </c>
      <c r="N199" s="452" t="s">
        <v>804</v>
      </c>
      <c r="O199" s="587" t="s">
        <v>803</v>
      </c>
      <c r="P199" s="46">
        <v>42643</v>
      </c>
      <c r="Q199" s="364"/>
      <c r="R199" s="368" t="s">
        <v>51</v>
      </c>
      <c r="S199" s="46"/>
      <c r="T199" s="368"/>
      <c r="U199" s="384">
        <f t="shared" si="131"/>
        <v>1</v>
      </c>
      <c r="V199" s="376" t="str">
        <f t="shared" si="132"/>
        <v>Oportuno</v>
      </c>
      <c r="W199" s="384">
        <f t="shared" si="133"/>
        <v>-42029</v>
      </c>
      <c r="X199" s="375"/>
    </row>
    <row r="200" spans="1:24" ht="78" customHeight="1" x14ac:dyDescent="0.2">
      <c r="A200" s="368">
        <f t="shared" ref="A200:A289" si="134">+A199+1</f>
        <v>122</v>
      </c>
      <c r="B200" s="364" t="s">
        <v>37</v>
      </c>
      <c r="C200" s="364" t="s">
        <v>204</v>
      </c>
      <c r="D200" s="362" t="s">
        <v>43</v>
      </c>
      <c r="E200" s="372" t="s">
        <v>0</v>
      </c>
      <c r="F200" s="365" t="s">
        <v>527</v>
      </c>
      <c r="G200" s="46">
        <v>42527</v>
      </c>
      <c r="H200" s="576" t="s">
        <v>670</v>
      </c>
      <c r="I200" s="365" t="s">
        <v>78</v>
      </c>
      <c r="J200" s="366" t="s">
        <v>133</v>
      </c>
      <c r="K200" s="159" t="s">
        <v>79</v>
      </c>
      <c r="L200" s="46">
        <v>42527</v>
      </c>
      <c r="M200" s="364" t="s">
        <v>50</v>
      </c>
      <c r="N200" s="452" t="s">
        <v>804</v>
      </c>
      <c r="O200" s="587" t="s">
        <v>805</v>
      </c>
      <c r="P200" s="46">
        <v>42643</v>
      </c>
      <c r="Q200" s="364"/>
      <c r="R200" s="368" t="s">
        <v>51</v>
      </c>
      <c r="S200" s="46"/>
      <c r="T200" s="368"/>
      <c r="U200" s="384">
        <f t="shared" si="131"/>
        <v>1</v>
      </c>
      <c r="V200" s="376" t="str">
        <f t="shared" si="132"/>
        <v>Oportuno</v>
      </c>
      <c r="W200" s="384">
        <f t="shared" si="133"/>
        <v>-42029</v>
      </c>
      <c r="X200" s="375"/>
    </row>
    <row r="201" spans="1:24" ht="127.5" customHeight="1" x14ac:dyDescent="0.2">
      <c r="A201" s="368">
        <f>A200+1</f>
        <v>123</v>
      </c>
      <c r="B201" s="364" t="s">
        <v>25</v>
      </c>
      <c r="C201" s="452" t="s">
        <v>204</v>
      </c>
      <c r="D201" s="362" t="s">
        <v>43</v>
      </c>
      <c r="E201" s="372" t="s">
        <v>205</v>
      </c>
      <c r="F201" s="365" t="s">
        <v>59</v>
      </c>
      <c r="G201" s="46">
        <v>42548</v>
      </c>
      <c r="H201" s="576" t="s">
        <v>664</v>
      </c>
      <c r="I201" s="365" t="s">
        <v>78</v>
      </c>
      <c r="J201" s="366" t="s">
        <v>133</v>
      </c>
      <c r="K201" s="159" t="s">
        <v>79</v>
      </c>
      <c r="L201" s="46">
        <v>42566</v>
      </c>
      <c r="M201" s="364" t="s">
        <v>50</v>
      </c>
      <c r="N201" s="443" t="s">
        <v>743</v>
      </c>
      <c r="O201" s="587" t="s">
        <v>742</v>
      </c>
      <c r="P201" s="46">
        <v>42612</v>
      </c>
      <c r="Q201" s="364"/>
      <c r="R201" s="368" t="s">
        <v>51</v>
      </c>
      <c r="S201" s="46"/>
      <c r="T201" s="368"/>
      <c r="U201" s="384">
        <f t="shared" si="131"/>
        <v>19</v>
      </c>
      <c r="V201" s="376" t="str">
        <f t="shared" si="132"/>
        <v>Inoportuno</v>
      </c>
      <c r="W201" s="384">
        <f t="shared" si="133"/>
        <v>-41999</v>
      </c>
      <c r="X201" s="375"/>
    </row>
    <row r="202" spans="1:24" ht="62.25" customHeight="1" x14ac:dyDescent="0.2">
      <c r="A202" s="368">
        <f t="shared" si="134"/>
        <v>124</v>
      </c>
      <c r="B202" s="364" t="s">
        <v>25</v>
      </c>
      <c r="C202" s="452" t="s">
        <v>204</v>
      </c>
      <c r="D202" s="362" t="s">
        <v>43</v>
      </c>
      <c r="E202" s="372" t="s">
        <v>205</v>
      </c>
      <c r="F202" s="365" t="s">
        <v>59</v>
      </c>
      <c r="G202" s="46">
        <v>42548</v>
      </c>
      <c r="H202" s="576" t="s">
        <v>665</v>
      </c>
      <c r="I202" s="365" t="s">
        <v>78</v>
      </c>
      <c r="J202" s="366" t="s">
        <v>133</v>
      </c>
      <c r="K202" s="159" t="s">
        <v>79</v>
      </c>
      <c r="L202" s="46">
        <v>42566</v>
      </c>
      <c r="M202" s="364" t="s">
        <v>50</v>
      </c>
      <c r="N202" s="443" t="s">
        <v>743</v>
      </c>
      <c r="O202" s="587" t="s">
        <v>744</v>
      </c>
      <c r="P202" s="46">
        <v>42612</v>
      </c>
      <c r="Q202" s="364"/>
      <c r="R202" s="368" t="s">
        <v>51</v>
      </c>
      <c r="S202" s="46"/>
      <c r="T202" s="368"/>
      <c r="U202" s="384">
        <f t="shared" si="131"/>
        <v>19</v>
      </c>
      <c r="V202" s="376" t="str">
        <f t="shared" si="132"/>
        <v>Inoportuno</v>
      </c>
      <c r="W202" s="384">
        <f t="shared" si="133"/>
        <v>-41999</v>
      </c>
      <c r="X202" s="375"/>
    </row>
    <row r="203" spans="1:24" ht="106.5" customHeight="1" x14ac:dyDescent="0.2">
      <c r="A203" s="368">
        <f t="shared" si="134"/>
        <v>125</v>
      </c>
      <c r="B203" s="364" t="s">
        <v>25</v>
      </c>
      <c r="C203" s="452" t="s">
        <v>204</v>
      </c>
      <c r="D203" s="362" t="s">
        <v>43</v>
      </c>
      <c r="E203" s="372" t="s">
        <v>205</v>
      </c>
      <c r="F203" s="365" t="s">
        <v>59</v>
      </c>
      <c r="G203" s="46">
        <v>42548</v>
      </c>
      <c r="H203" s="576" t="s">
        <v>666</v>
      </c>
      <c r="I203" s="365" t="s">
        <v>78</v>
      </c>
      <c r="J203" s="366" t="s">
        <v>133</v>
      </c>
      <c r="K203" s="159" t="s">
        <v>79</v>
      </c>
      <c r="L203" s="46">
        <v>42566</v>
      </c>
      <c r="M203" s="364" t="s">
        <v>50</v>
      </c>
      <c r="N203" s="443" t="s">
        <v>743</v>
      </c>
      <c r="O203" s="587" t="s">
        <v>745</v>
      </c>
      <c r="P203" s="46">
        <v>42581</v>
      </c>
      <c r="Q203" s="364"/>
      <c r="R203" s="368" t="s">
        <v>51</v>
      </c>
      <c r="S203" s="46"/>
      <c r="T203" s="368"/>
      <c r="U203" s="384">
        <f t="shared" si="131"/>
        <v>19</v>
      </c>
      <c r="V203" s="376" t="str">
        <f t="shared" si="132"/>
        <v>Inoportuno</v>
      </c>
      <c r="W203" s="384">
        <f t="shared" si="133"/>
        <v>-41969</v>
      </c>
      <c r="X203" s="375"/>
    </row>
    <row r="204" spans="1:24" ht="74.25" customHeight="1" x14ac:dyDescent="0.2">
      <c r="A204" s="368">
        <f>A203+1</f>
        <v>126</v>
      </c>
      <c r="B204" s="364" t="s">
        <v>36</v>
      </c>
      <c r="C204" s="364" t="s">
        <v>419</v>
      </c>
      <c r="D204" s="362" t="s">
        <v>43</v>
      </c>
      <c r="E204" s="372" t="s">
        <v>0</v>
      </c>
      <c r="F204" s="365" t="s">
        <v>56</v>
      </c>
      <c r="G204" s="46">
        <v>42550</v>
      </c>
      <c r="H204" s="576" t="s">
        <v>713</v>
      </c>
      <c r="I204" s="365" t="s">
        <v>78</v>
      </c>
      <c r="J204" s="366" t="s">
        <v>133</v>
      </c>
      <c r="K204" s="159" t="s">
        <v>79</v>
      </c>
      <c r="L204" s="46">
        <v>42572</v>
      </c>
      <c r="M204" s="364" t="s">
        <v>54</v>
      </c>
      <c r="N204" s="364" t="s">
        <v>741</v>
      </c>
      <c r="O204" s="587" t="s">
        <v>738</v>
      </c>
      <c r="P204" s="46">
        <v>42735</v>
      </c>
      <c r="Q204" s="364"/>
      <c r="R204" s="368" t="s">
        <v>51</v>
      </c>
      <c r="S204" s="46"/>
      <c r="T204" s="368"/>
      <c r="U204" s="384">
        <f t="shared" ref="U204:U206" si="135">DAYS360(G204,L204,0)+1</f>
        <v>23</v>
      </c>
      <c r="V204" s="376" t="str">
        <f t="shared" ref="V204:V206" si="136">IF(U204&gt;15,"Inoportuno",(IF(U204&lt;0,"No ha formulado PM","Oportuno")))</f>
        <v>Inoportuno</v>
      </c>
      <c r="W204" s="384">
        <f t="shared" ref="W204:W206" si="137">DAYS360(P204,S204,0)+1</f>
        <v>-42119</v>
      </c>
      <c r="X204" s="375"/>
    </row>
    <row r="205" spans="1:24" ht="36.75" customHeight="1" x14ac:dyDescent="0.2">
      <c r="A205" s="368">
        <f>A204+1</f>
        <v>127</v>
      </c>
      <c r="B205" s="364" t="s">
        <v>36</v>
      </c>
      <c r="C205" s="364" t="s">
        <v>419</v>
      </c>
      <c r="D205" s="362" t="s">
        <v>43</v>
      </c>
      <c r="E205" s="372" t="s">
        <v>0</v>
      </c>
      <c r="F205" s="365" t="s">
        <v>56</v>
      </c>
      <c r="G205" s="46">
        <v>42550</v>
      </c>
      <c r="H205" s="576" t="s">
        <v>714</v>
      </c>
      <c r="I205" s="365" t="s">
        <v>78</v>
      </c>
      <c r="J205" s="366" t="s">
        <v>133</v>
      </c>
      <c r="K205" s="159" t="s">
        <v>79</v>
      </c>
      <c r="L205" s="46">
        <v>42572</v>
      </c>
      <c r="M205" s="364" t="s">
        <v>54</v>
      </c>
      <c r="N205" s="364" t="s">
        <v>741</v>
      </c>
      <c r="O205" s="587" t="s">
        <v>739</v>
      </c>
      <c r="P205" s="46">
        <v>42735</v>
      </c>
      <c r="Q205" s="364"/>
      <c r="R205" s="368" t="s">
        <v>51</v>
      </c>
      <c r="S205" s="46"/>
      <c r="T205" s="368"/>
      <c r="U205" s="384">
        <f t="shared" si="135"/>
        <v>23</v>
      </c>
      <c r="V205" s="376" t="str">
        <f t="shared" si="136"/>
        <v>Inoportuno</v>
      </c>
      <c r="W205" s="384">
        <f t="shared" si="137"/>
        <v>-42119</v>
      </c>
      <c r="X205" s="375"/>
    </row>
    <row r="206" spans="1:24" ht="66.75" customHeight="1" x14ac:dyDescent="0.2">
      <c r="A206" s="368">
        <f>A205+1</f>
        <v>128</v>
      </c>
      <c r="B206" s="364" t="s">
        <v>36</v>
      </c>
      <c r="C206" s="364" t="s">
        <v>419</v>
      </c>
      <c r="D206" s="362" t="s">
        <v>43</v>
      </c>
      <c r="E206" s="372" t="s">
        <v>0</v>
      </c>
      <c r="F206" s="365" t="s">
        <v>56</v>
      </c>
      <c r="G206" s="46">
        <v>42550</v>
      </c>
      <c r="H206" s="576" t="s">
        <v>410</v>
      </c>
      <c r="I206" s="365" t="s">
        <v>78</v>
      </c>
      <c r="J206" s="366" t="s">
        <v>133</v>
      </c>
      <c r="K206" s="159" t="s">
        <v>79</v>
      </c>
      <c r="L206" s="46">
        <v>42572</v>
      </c>
      <c r="M206" s="364" t="s">
        <v>54</v>
      </c>
      <c r="N206" s="364" t="s">
        <v>741</v>
      </c>
      <c r="O206" s="587" t="s">
        <v>740</v>
      </c>
      <c r="P206" s="46">
        <v>42735</v>
      </c>
      <c r="Q206" s="364"/>
      <c r="R206" s="368" t="s">
        <v>51</v>
      </c>
      <c r="S206" s="46"/>
      <c r="T206" s="368"/>
      <c r="U206" s="384">
        <f t="shared" si="135"/>
        <v>23</v>
      </c>
      <c r="V206" s="376" t="str">
        <f t="shared" si="136"/>
        <v>Inoportuno</v>
      </c>
      <c r="W206" s="384">
        <f t="shared" si="137"/>
        <v>-42119</v>
      </c>
      <c r="X206" s="375"/>
    </row>
    <row r="207" spans="1:24" ht="240" customHeight="1" x14ac:dyDescent="0.2">
      <c r="A207" s="368">
        <f t="shared" si="134"/>
        <v>129</v>
      </c>
      <c r="B207" s="364" t="s">
        <v>49</v>
      </c>
      <c r="C207" s="364" t="s">
        <v>785</v>
      </c>
      <c r="D207" s="362" t="s">
        <v>43</v>
      </c>
      <c r="E207" s="372" t="s">
        <v>205</v>
      </c>
      <c r="F207" s="365" t="s">
        <v>59</v>
      </c>
      <c r="G207" s="46">
        <v>42551</v>
      </c>
      <c r="H207" s="576" t="s">
        <v>711</v>
      </c>
      <c r="I207" s="365" t="s">
        <v>78</v>
      </c>
      <c r="J207" s="366" t="s">
        <v>134</v>
      </c>
      <c r="K207" s="159" t="s">
        <v>79</v>
      </c>
      <c r="L207" s="46">
        <v>42677</v>
      </c>
      <c r="M207" s="364" t="s">
        <v>104</v>
      </c>
      <c r="N207" s="452" t="s">
        <v>807</v>
      </c>
      <c r="O207" s="587" t="s">
        <v>813</v>
      </c>
      <c r="P207" s="46">
        <v>42735</v>
      </c>
      <c r="Q207" s="364"/>
      <c r="R207" s="368" t="s">
        <v>55</v>
      </c>
      <c r="S207" s="46">
        <v>42733</v>
      </c>
      <c r="T207" s="500" t="s">
        <v>905</v>
      </c>
      <c r="U207" s="384">
        <f t="shared" si="131"/>
        <v>124</v>
      </c>
      <c r="V207" s="376" t="str">
        <f t="shared" si="132"/>
        <v>Inoportuno</v>
      </c>
      <c r="W207" s="384">
        <f t="shared" si="133"/>
        <v>0</v>
      </c>
      <c r="X207" s="375"/>
    </row>
    <row r="208" spans="1:24" ht="174" customHeight="1" x14ac:dyDescent="0.2">
      <c r="A208" s="368">
        <f>A207+1</f>
        <v>130</v>
      </c>
      <c r="B208" s="364" t="s">
        <v>49</v>
      </c>
      <c r="C208" s="364" t="s">
        <v>785</v>
      </c>
      <c r="D208" s="362" t="s">
        <v>43</v>
      </c>
      <c r="E208" s="372" t="s">
        <v>205</v>
      </c>
      <c r="F208" s="365" t="s">
        <v>59</v>
      </c>
      <c r="G208" s="46">
        <v>42551</v>
      </c>
      <c r="H208" s="576" t="s">
        <v>712</v>
      </c>
      <c r="I208" s="365" t="s">
        <v>78</v>
      </c>
      <c r="J208" s="455" t="s">
        <v>134</v>
      </c>
      <c r="K208" s="159" t="s">
        <v>79</v>
      </c>
      <c r="L208" s="46">
        <v>42677</v>
      </c>
      <c r="M208" s="364" t="s">
        <v>104</v>
      </c>
      <c r="N208" s="452" t="s">
        <v>807</v>
      </c>
      <c r="O208" s="587" t="s">
        <v>906</v>
      </c>
      <c r="P208" s="46">
        <v>42735</v>
      </c>
      <c r="Q208" s="364"/>
      <c r="R208" s="368" t="s">
        <v>55</v>
      </c>
      <c r="S208" s="46"/>
      <c r="T208" s="500" t="s">
        <v>907</v>
      </c>
      <c r="U208" s="384">
        <f t="shared" ref="U208" si="138">DAYS360(G208,L208,0)+1</f>
        <v>124</v>
      </c>
      <c r="V208" s="376" t="str">
        <f t="shared" ref="V208" si="139">IF(U208&gt;15,"Inoportuno",(IF(U208&lt;0,"No ha formulado PM","Oportuno")))</f>
        <v>Inoportuno</v>
      </c>
      <c r="W208" s="384">
        <f t="shared" ref="W208" si="140">DAYS360(P208,S208,0)+1</f>
        <v>-42119</v>
      </c>
      <c r="X208" s="375"/>
    </row>
    <row r="209" spans="1:24" ht="104.25" customHeight="1" x14ac:dyDescent="0.2">
      <c r="A209" s="368">
        <f t="shared" si="134"/>
        <v>131</v>
      </c>
      <c r="B209" s="364" t="s">
        <v>337</v>
      </c>
      <c r="C209" s="452" t="s">
        <v>204</v>
      </c>
      <c r="D209" s="362" t="s">
        <v>43</v>
      </c>
      <c r="E209" s="372" t="s">
        <v>0</v>
      </c>
      <c r="F209" s="365" t="s">
        <v>528</v>
      </c>
      <c r="G209" s="46">
        <v>42551</v>
      </c>
      <c r="H209" s="576" t="s">
        <v>723</v>
      </c>
      <c r="I209" s="365" t="s">
        <v>78</v>
      </c>
      <c r="J209" s="366" t="s">
        <v>133</v>
      </c>
      <c r="K209" s="159" t="s">
        <v>79</v>
      </c>
      <c r="L209" s="46">
        <v>42551</v>
      </c>
      <c r="M209" s="364" t="s">
        <v>50</v>
      </c>
      <c r="N209" s="364" t="s">
        <v>136</v>
      </c>
      <c r="O209" s="588" t="s">
        <v>958</v>
      </c>
      <c r="P209" s="46">
        <v>42765</v>
      </c>
      <c r="Q209" s="446" t="s">
        <v>771</v>
      </c>
      <c r="R209" s="368" t="s">
        <v>51</v>
      </c>
      <c r="S209" s="46"/>
      <c r="T209" s="368"/>
      <c r="U209" s="384">
        <f t="shared" ref="U209:U211" si="141">DAYS360(G209,L209,0)+1</f>
        <v>1</v>
      </c>
      <c r="V209" s="376" t="str">
        <f t="shared" ref="V209:V210" si="142">IF(U209&gt;15,"Inoportuno",(IF(U209&lt;0,"No ha formulado PM","Oportuno")))</f>
        <v>Oportuno</v>
      </c>
      <c r="W209" s="384">
        <f t="shared" ref="W209:W210" si="143">DAYS360(P209,S209,0)+1</f>
        <v>-42149</v>
      </c>
      <c r="X209" s="375"/>
    </row>
    <row r="210" spans="1:24" ht="52.5" customHeight="1" x14ac:dyDescent="0.2">
      <c r="A210" s="368">
        <f t="shared" si="134"/>
        <v>132</v>
      </c>
      <c r="B210" s="364" t="s">
        <v>337</v>
      </c>
      <c r="C210" s="452" t="s">
        <v>204</v>
      </c>
      <c r="D210" s="362" t="s">
        <v>43</v>
      </c>
      <c r="E210" s="372" t="s">
        <v>0</v>
      </c>
      <c r="F210" s="365" t="s">
        <v>528</v>
      </c>
      <c r="G210" s="46">
        <v>42551</v>
      </c>
      <c r="H210" s="576" t="s">
        <v>724</v>
      </c>
      <c r="I210" s="365" t="s">
        <v>78</v>
      </c>
      <c r="J210" s="366" t="s">
        <v>134</v>
      </c>
      <c r="K210" s="159" t="s">
        <v>79</v>
      </c>
      <c r="L210" s="46">
        <v>42581</v>
      </c>
      <c r="M210" s="364" t="s">
        <v>50</v>
      </c>
      <c r="N210" s="364" t="s">
        <v>136</v>
      </c>
      <c r="O210" s="588" t="s">
        <v>959</v>
      </c>
      <c r="P210" s="46">
        <v>42612</v>
      </c>
      <c r="Q210" s="446" t="s">
        <v>772</v>
      </c>
      <c r="R210" s="368" t="s">
        <v>55</v>
      </c>
      <c r="S210" s="46"/>
      <c r="T210" s="368" t="s">
        <v>980</v>
      </c>
      <c r="U210" s="384">
        <f t="shared" si="141"/>
        <v>31</v>
      </c>
      <c r="V210" s="376" t="str">
        <f t="shared" si="142"/>
        <v>Inoportuno</v>
      </c>
      <c r="W210" s="384">
        <f t="shared" si="143"/>
        <v>-41999</v>
      </c>
      <c r="X210" s="375"/>
    </row>
    <row r="211" spans="1:24" ht="81.75" customHeight="1" x14ac:dyDescent="0.2">
      <c r="A211" s="637">
        <f>A210+1</f>
        <v>133</v>
      </c>
      <c r="B211" s="639" t="s">
        <v>10</v>
      </c>
      <c r="C211" s="639" t="s">
        <v>204</v>
      </c>
      <c r="D211" s="646" t="s">
        <v>43</v>
      </c>
      <c r="E211" s="639" t="s">
        <v>0</v>
      </c>
      <c r="F211" s="686" t="s">
        <v>527</v>
      </c>
      <c r="G211" s="685">
        <v>42551</v>
      </c>
      <c r="H211" s="639" t="s">
        <v>726</v>
      </c>
      <c r="I211" s="686" t="s">
        <v>78</v>
      </c>
      <c r="J211" s="653" t="s">
        <v>134</v>
      </c>
      <c r="K211" s="637" t="s">
        <v>79</v>
      </c>
      <c r="L211" s="642">
        <v>42443</v>
      </c>
      <c r="M211" s="452" t="s">
        <v>104</v>
      </c>
      <c r="N211" s="452" t="s">
        <v>787</v>
      </c>
      <c r="O211" s="587" t="s">
        <v>814</v>
      </c>
      <c r="P211" s="46">
        <v>42536</v>
      </c>
      <c r="Q211" s="452" t="s">
        <v>1007</v>
      </c>
      <c r="R211" s="454" t="s">
        <v>55</v>
      </c>
      <c r="S211" s="612" t="s">
        <v>998</v>
      </c>
      <c r="T211" s="454" t="s">
        <v>995</v>
      </c>
      <c r="U211" s="580">
        <f t="shared" si="141"/>
        <v>-105</v>
      </c>
      <c r="V211" s="581" t="s">
        <v>988</v>
      </c>
      <c r="W211" s="457"/>
      <c r="X211" s="456"/>
    </row>
    <row r="212" spans="1:24" ht="64.5" customHeight="1" x14ac:dyDescent="0.2">
      <c r="A212" s="638"/>
      <c r="B212" s="640"/>
      <c r="C212" s="640"/>
      <c r="D212" s="648"/>
      <c r="E212" s="640"/>
      <c r="F212" s="678"/>
      <c r="G212" s="644"/>
      <c r="H212" s="640"/>
      <c r="I212" s="678"/>
      <c r="J212" s="654"/>
      <c r="K212" s="638"/>
      <c r="L212" s="644"/>
      <c r="M212" s="364" t="s">
        <v>54</v>
      </c>
      <c r="N212" s="452" t="s">
        <v>787</v>
      </c>
      <c r="O212" s="587" t="s">
        <v>815</v>
      </c>
      <c r="P212" s="46">
        <v>42536</v>
      </c>
      <c r="Q212" s="364"/>
      <c r="R212" s="368" t="s">
        <v>51</v>
      </c>
      <c r="S212" s="46"/>
      <c r="T212" s="368"/>
      <c r="U212" s="384">
        <f>DAYS360(G211,L211,0)+1</f>
        <v>-105</v>
      </c>
      <c r="V212" s="376" t="s">
        <v>988</v>
      </c>
      <c r="W212" s="384">
        <f t="shared" ref="W212" si="144">DAYS360(P212,S212,0)+1</f>
        <v>-41924</v>
      </c>
      <c r="X212" s="375"/>
    </row>
    <row r="213" spans="1:24" ht="204" customHeight="1" x14ac:dyDescent="0.2">
      <c r="A213" s="368">
        <f>A211+1</f>
        <v>134</v>
      </c>
      <c r="B213" s="364" t="s">
        <v>337</v>
      </c>
      <c r="C213" s="364" t="s">
        <v>773</v>
      </c>
      <c r="D213" s="362" t="s">
        <v>43</v>
      </c>
      <c r="E213" s="372" t="s">
        <v>0</v>
      </c>
      <c r="F213" s="365" t="s">
        <v>528</v>
      </c>
      <c r="G213" s="46">
        <v>42663</v>
      </c>
      <c r="H213" s="598" t="s">
        <v>774</v>
      </c>
      <c r="I213" s="365" t="s">
        <v>78</v>
      </c>
      <c r="J213" s="366" t="s">
        <v>133</v>
      </c>
      <c r="K213" s="159" t="s">
        <v>79</v>
      </c>
      <c r="L213" s="46">
        <v>42551</v>
      </c>
      <c r="M213" s="364" t="s">
        <v>50</v>
      </c>
      <c r="N213" s="364" t="s">
        <v>144</v>
      </c>
      <c r="O213" s="587" t="s">
        <v>777</v>
      </c>
      <c r="P213" s="46">
        <v>42765</v>
      </c>
      <c r="Q213" s="364"/>
      <c r="R213" s="368" t="s">
        <v>51</v>
      </c>
      <c r="S213" s="46"/>
      <c r="T213" s="368"/>
      <c r="U213" s="384">
        <f t="shared" ref="U213:U224" si="145">DAYS360(G213,L213,0)+1</f>
        <v>-109</v>
      </c>
      <c r="V213" s="376" t="s">
        <v>988</v>
      </c>
      <c r="W213" s="384">
        <f t="shared" ref="W213:W224" si="146">DAYS360(P213,S213,0)+1</f>
        <v>-42149</v>
      </c>
      <c r="X213" s="375"/>
    </row>
    <row r="214" spans="1:24" ht="106.5" customHeight="1" x14ac:dyDescent="0.2">
      <c r="A214" s="368">
        <f t="shared" si="134"/>
        <v>135</v>
      </c>
      <c r="B214" s="364" t="s">
        <v>337</v>
      </c>
      <c r="C214" s="364" t="s">
        <v>773</v>
      </c>
      <c r="D214" s="362" t="s">
        <v>43</v>
      </c>
      <c r="E214" s="372" t="s">
        <v>0</v>
      </c>
      <c r="F214" s="365" t="s">
        <v>528</v>
      </c>
      <c r="G214" s="46">
        <v>42663</v>
      </c>
      <c r="H214" s="43" t="s">
        <v>775</v>
      </c>
      <c r="I214" s="365" t="s">
        <v>78</v>
      </c>
      <c r="J214" s="366" t="s">
        <v>133</v>
      </c>
      <c r="K214" s="159" t="s">
        <v>79</v>
      </c>
      <c r="L214" s="46">
        <v>42644</v>
      </c>
      <c r="M214" s="364" t="s">
        <v>50</v>
      </c>
      <c r="N214" s="364" t="s">
        <v>776</v>
      </c>
      <c r="O214" s="587" t="s">
        <v>778</v>
      </c>
      <c r="P214" s="46">
        <v>42794</v>
      </c>
      <c r="Q214" s="364"/>
      <c r="R214" s="368" t="s">
        <v>51</v>
      </c>
      <c r="S214" s="46"/>
      <c r="T214" s="368"/>
      <c r="U214" s="384">
        <f t="shared" si="145"/>
        <v>-18</v>
      </c>
      <c r="V214" s="376" t="s">
        <v>988</v>
      </c>
      <c r="W214" s="384">
        <f t="shared" si="146"/>
        <v>-42179</v>
      </c>
      <c r="X214" s="375"/>
    </row>
    <row r="215" spans="1:24" ht="82.5" customHeight="1" x14ac:dyDescent="0.2">
      <c r="A215" s="368">
        <f t="shared" si="134"/>
        <v>136</v>
      </c>
      <c r="B215" s="364" t="s">
        <v>36</v>
      </c>
      <c r="C215" s="364" t="s">
        <v>773</v>
      </c>
      <c r="D215" s="362" t="s">
        <v>43</v>
      </c>
      <c r="E215" s="372" t="s">
        <v>0</v>
      </c>
      <c r="F215" s="365"/>
      <c r="G215" s="46">
        <v>42628</v>
      </c>
      <c r="H215" s="598" t="s">
        <v>779</v>
      </c>
      <c r="I215" s="365" t="s">
        <v>78</v>
      </c>
      <c r="J215" s="366" t="s">
        <v>133</v>
      </c>
      <c r="K215" s="159" t="s">
        <v>79</v>
      </c>
      <c r="L215" s="46">
        <v>42590</v>
      </c>
      <c r="M215" s="364" t="s">
        <v>50</v>
      </c>
      <c r="N215" s="446" t="s">
        <v>334</v>
      </c>
      <c r="O215" s="587" t="s">
        <v>783</v>
      </c>
      <c r="P215" s="46">
        <v>42735</v>
      </c>
      <c r="Q215" s="364"/>
      <c r="R215" s="368" t="s">
        <v>51</v>
      </c>
      <c r="S215" s="46"/>
      <c r="T215" s="368"/>
      <c r="U215" s="384">
        <f t="shared" si="145"/>
        <v>-36</v>
      </c>
      <c r="V215" s="376" t="s">
        <v>988</v>
      </c>
      <c r="W215" s="384">
        <f t="shared" si="146"/>
        <v>-42119</v>
      </c>
      <c r="X215" s="375"/>
    </row>
    <row r="216" spans="1:24" ht="127.5" x14ac:dyDescent="0.2">
      <c r="A216" s="368">
        <f t="shared" si="134"/>
        <v>137</v>
      </c>
      <c r="B216" s="364" t="s">
        <v>36</v>
      </c>
      <c r="C216" s="446" t="s">
        <v>773</v>
      </c>
      <c r="D216" s="362" t="s">
        <v>43</v>
      </c>
      <c r="E216" s="372" t="s">
        <v>0</v>
      </c>
      <c r="F216" s="365"/>
      <c r="G216" s="46">
        <v>42628</v>
      </c>
      <c r="H216" s="598" t="s">
        <v>780</v>
      </c>
      <c r="I216" s="365" t="s">
        <v>78</v>
      </c>
      <c r="J216" s="366" t="s">
        <v>133</v>
      </c>
      <c r="K216" s="159" t="s">
        <v>79</v>
      </c>
      <c r="L216" s="46">
        <v>42590</v>
      </c>
      <c r="M216" s="364" t="s">
        <v>54</v>
      </c>
      <c r="N216" s="446" t="s">
        <v>334</v>
      </c>
      <c r="O216" s="587" t="s">
        <v>782</v>
      </c>
      <c r="P216" s="46">
        <v>42735</v>
      </c>
      <c r="Q216" s="364"/>
      <c r="R216" s="368" t="s">
        <v>51</v>
      </c>
      <c r="S216" s="46"/>
      <c r="T216" s="368"/>
      <c r="U216" s="384">
        <f t="shared" si="145"/>
        <v>-36</v>
      </c>
      <c r="V216" s="376" t="s">
        <v>988</v>
      </c>
      <c r="W216" s="384">
        <f t="shared" si="146"/>
        <v>-42119</v>
      </c>
      <c r="X216" s="375"/>
    </row>
    <row r="217" spans="1:24" ht="63.75" x14ac:dyDescent="0.2">
      <c r="A217" s="368">
        <f t="shared" si="134"/>
        <v>138</v>
      </c>
      <c r="B217" s="364" t="s">
        <v>36</v>
      </c>
      <c r="C217" s="452" t="s">
        <v>204</v>
      </c>
      <c r="D217" s="362" t="s">
        <v>43</v>
      </c>
      <c r="E217" s="372" t="s">
        <v>0</v>
      </c>
      <c r="F217" s="365"/>
      <c r="G217" s="46">
        <v>42628</v>
      </c>
      <c r="H217" s="598" t="s">
        <v>781</v>
      </c>
      <c r="I217" s="365" t="s">
        <v>78</v>
      </c>
      <c r="J217" s="455" t="s">
        <v>133</v>
      </c>
      <c r="K217" s="159" t="s">
        <v>79</v>
      </c>
      <c r="L217" s="46">
        <v>42590</v>
      </c>
      <c r="M217" s="364" t="s">
        <v>54</v>
      </c>
      <c r="N217" s="446" t="s">
        <v>334</v>
      </c>
      <c r="O217" s="587" t="s">
        <v>784</v>
      </c>
      <c r="P217" s="46">
        <v>42622</v>
      </c>
      <c r="Q217" s="364"/>
      <c r="R217" s="368" t="s">
        <v>51</v>
      </c>
      <c r="S217" s="46"/>
      <c r="T217" s="368"/>
      <c r="U217" s="384">
        <f t="shared" si="145"/>
        <v>-36</v>
      </c>
      <c r="V217" s="376" t="s">
        <v>988</v>
      </c>
      <c r="W217" s="384">
        <f t="shared" si="146"/>
        <v>-42008</v>
      </c>
      <c r="X217" s="375"/>
    </row>
    <row r="218" spans="1:24" ht="216.75" x14ac:dyDescent="0.2">
      <c r="A218" s="368">
        <f t="shared" si="134"/>
        <v>139</v>
      </c>
      <c r="B218" s="364" t="s">
        <v>61</v>
      </c>
      <c r="C218" s="364" t="s">
        <v>816</v>
      </c>
      <c r="D218" s="362" t="s">
        <v>43</v>
      </c>
      <c r="E218" s="372" t="s">
        <v>0</v>
      </c>
      <c r="F218" s="365" t="s">
        <v>52</v>
      </c>
      <c r="G218" s="46">
        <v>42667</v>
      </c>
      <c r="H218" s="598" t="s">
        <v>818</v>
      </c>
      <c r="I218" s="365" t="s">
        <v>78</v>
      </c>
      <c r="J218" s="366" t="s">
        <v>134</v>
      </c>
      <c r="K218" s="159" t="s">
        <v>79</v>
      </c>
      <c r="L218" s="46">
        <v>42683</v>
      </c>
      <c r="M218" s="364" t="s">
        <v>50</v>
      </c>
      <c r="N218" s="364" t="s">
        <v>917</v>
      </c>
      <c r="O218" s="587" t="s">
        <v>842</v>
      </c>
      <c r="P218" s="46">
        <v>42683</v>
      </c>
      <c r="Q218" s="474" t="s">
        <v>843</v>
      </c>
      <c r="R218" s="368" t="s">
        <v>55</v>
      </c>
      <c r="S218" s="46"/>
      <c r="T218" s="368" t="s">
        <v>981</v>
      </c>
      <c r="U218" s="384">
        <f t="shared" si="145"/>
        <v>16</v>
      </c>
      <c r="V218" s="376" t="str">
        <f t="shared" ref="V218:V224" si="147">IF(U218&gt;15,"Inoportuno",(IF(U218&lt;0,"No ha formulado PM","Oportuno")))</f>
        <v>Inoportuno</v>
      </c>
      <c r="W218" s="384">
        <f t="shared" si="146"/>
        <v>-42068</v>
      </c>
      <c r="X218" s="375"/>
    </row>
    <row r="219" spans="1:24" ht="59.25" customHeight="1" x14ac:dyDescent="0.2">
      <c r="A219" s="637">
        <f>+A218+1</f>
        <v>140</v>
      </c>
      <c r="B219" s="639" t="s">
        <v>61</v>
      </c>
      <c r="C219" s="639" t="s">
        <v>773</v>
      </c>
      <c r="D219" s="646" t="s">
        <v>43</v>
      </c>
      <c r="E219" s="639" t="s">
        <v>0</v>
      </c>
      <c r="F219" s="676" t="s">
        <v>52</v>
      </c>
      <c r="G219" s="642">
        <v>42667</v>
      </c>
      <c r="H219" s="639" t="s">
        <v>817</v>
      </c>
      <c r="I219" s="676" t="s">
        <v>78</v>
      </c>
      <c r="J219" s="653" t="s">
        <v>133</v>
      </c>
      <c r="K219" s="637" t="s">
        <v>79</v>
      </c>
      <c r="L219" s="642">
        <v>42683</v>
      </c>
      <c r="M219" s="464" t="s">
        <v>104</v>
      </c>
      <c r="N219" s="639" t="s">
        <v>824</v>
      </c>
      <c r="O219" s="184" t="s">
        <v>827</v>
      </c>
      <c r="P219" s="46">
        <v>43115</v>
      </c>
      <c r="Q219" s="464"/>
      <c r="R219" s="463" t="s">
        <v>51</v>
      </c>
      <c r="S219" s="46"/>
      <c r="T219" s="463"/>
      <c r="U219" s="580">
        <f t="shared" si="145"/>
        <v>16</v>
      </c>
      <c r="V219" s="581" t="str">
        <f t="shared" si="147"/>
        <v>Inoportuno</v>
      </c>
      <c r="W219" s="466"/>
      <c r="X219" s="465"/>
    </row>
    <row r="220" spans="1:24" ht="204.75" customHeight="1" x14ac:dyDescent="0.2">
      <c r="A220" s="645"/>
      <c r="B220" s="641"/>
      <c r="C220" s="641"/>
      <c r="D220" s="647"/>
      <c r="E220" s="641"/>
      <c r="F220" s="677"/>
      <c r="G220" s="643"/>
      <c r="H220" s="641"/>
      <c r="I220" s="677"/>
      <c r="J220" s="655"/>
      <c r="K220" s="645"/>
      <c r="L220" s="643"/>
      <c r="M220" s="464" t="s">
        <v>50</v>
      </c>
      <c r="N220" s="640"/>
      <c r="O220" s="184" t="s">
        <v>821</v>
      </c>
      <c r="P220" s="46">
        <v>43115</v>
      </c>
      <c r="Q220" s="464"/>
      <c r="R220" s="463" t="s">
        <v>51</v>
      </c>
      <c r="S220" s="46"/>
      <c r="T220" s="463"/>
      <c r="U220" s="580">
        <f t="shared" si="145"/>
        <v>1</v>
      </c>
      <c r="V220" s="581" t="str">
        <f t="shared" si="147"/>
        <v>Oportuno</v>
      </c>
      <c r="W220" s="466"/>
      <c r="X220" s="465"/>
    </row>
    <row r="221" spans="1:24" ht="90" customHeight="1" x14ac:dyDescent="0.2">
      <c r="A221" s="638"/>
      <c r="B221" s="640"/>
      <c r="C221" s="640"/>
      <c r="D221" s="648"/>
      <c r="E221" s="640"/>
      <c r="F221" s="678"/>
      <c r="G221" s="644"/>
      <c r="H221" s="640"/>
      <c r="I221" s="678"/>
      <c r="J221" s="654"/>
      <c r="K221" s="638"/>
      <c r="L221" s="644"/>
      <c r="M221" s="364" t="s">
        <v>54</v>
      </c>
      <c r="N221" s="464" t="s">
        <v>824</v>
      </c>
      <c r="O221" s="184" t="s">
        <v>822</v>
      </c>
      <c r="P221" s="46">
        <v>43115</v>
      </c>
      <c r="Q221" s="364"/>
      <c r="R221" s="368" t="s">
        <v>51</v>
      </c>
      <c r="S221" s="46"/>
      <c r="T221" s="368"/>
      <c r="U221" s="384">
        <f>DAYS360(G219,L219,0)+1</f>
        <v>16</v>
      </c>
      <c r="V221" s="376" t="str">
        <f>IF(U221&gt;15,"Inoportuno",(IF(U221&lt;0,"No ha formulado PM","Oportuno")))</f>
        <v>Inoportuno</v>
      </c>
      <c r="W221" s="384">
        <f t="shared" si="146"/>
        <v>-42494</v>
      </c>
      <c r="X221" s="375"/>
    </row>
    <row r="222" spans="1:24" ht="67.5" customHeight="1" x14ac:dyDescent="0.2">
      <c r="A222" s="722">
        <f>+A219+1</f>
        <v>141</v>
      </c>
      <c r="B222" s="688" t="s">
        <v>61</v>
      </c>
      <c r="C222" s="688" t="s">
        <v>773</v>
      </c>
      <c r="D222" s="687" t="s">
        <v>43</v>
      </c>
      <c r="E222" s="688" t="s">
        <v>0</v>
      </c>
      <c r="F222" s="686" t="s">
        <v>52</v>
      </c>
      <c r="G222" s="685">
        <v>42667</v>
      </c>
      <c r="H222" s="639" t="s">
        <v>819</v>
      </c>
      <c r="I222" s="676" t="s">
        <v>78</v>
      </c>
      <c r="J222" s="653" t="s">
        <v>133</v>
      </c>
      <c r="K222" s="637" t="s">
        <v>79</v>
      </c>
      <c r="L222" s="685">
        <v>42683</v>
      </c>
      <c r="M222" s="464" t="s">
        <v>104</v>
      </c>
      <c r="N222" s="688" t="s">
        <v>823</v>
      </c>
      <c r="O222" s="184" t="s">
        <v>826</v>
      </c>
      <c r="P222" s="642">
        <v>42730</v>
      </c>
      <c r="Q222" s="464"/>
      <c r="R222" s="463" t="s">
        <v>51</v>
      </c>
      <c r="S222" s="46"/>
      <c r="T222" s="463"/>
      <c r="U222" s="580">
        <f>DAYS360(G220,L220,0)+1</f>
        <v>1</v>
      </c>
      <c r="V222" s="581" t="str">
        <f>IF(U222&gt;15,"Inoportuno",(IF(U222&lt;0,"No ha formulado PM","Oportuno")))</f>
        <v>Oportuno</v>
      </c>
      <c r="W222" s="466"/>
      <c r="X222" s="465"/>
    </row>
    <row r="223" spans="1:24" ht="212.25" customHeight="1" x14ac:dyDescent="0.2">
      <c r="A223" s="638"/>
      <c r="B223" s="640"/>
      <c r="C223" s="640"/>
      <c r="D223" s="648"/>
      <c r="E223" s="640"/>
      <c r="F223" s="678"/>
      <c r="G223" s="644"/>
      <c r="H223" s="640"/>
      <c r="I223" s="678"/>
      <c r="J223" s="654"/>
      <c r="K223" s="638"/>
      <c r="L223" s="644"/>
      <c r="M223" s="364" t="s">
        <v>50</v>
      </c>
      <c r="N223" s="640"/>
      <c r="O223" s="587" t="s">
        <v>825</v>
      </c>
      <c r="P223" s="644"/>
      <c r="Q223" s="364"/>
      <c r="R223" s="368" t="s">
        <v>51</v>
      </c>
      <c r="S223" s="46"/>
      <c r="T223" s="368"/>
      <c r="U223" s="384">
        <f>DAYS360(G222,L222,0)+1</f>
        <v>16</v>
      </c>
      <c r="V223" s="376" t="str">
        <f t="shared" si="147"/>
        <v>Inoportuno</v>
      </c>
      <c r="W223" s="384">
        <f t="shared" si="146"/>
        <v>1</v>
      </c>
      <c r="X223" s="375"/>
    </row>
    <row r="224" spans="1:24" ht="225" customHeight="1" x14ac:dyDescent="0.2">
      <c r="A224" s="368">
        <f>+A222+1</f>
        <v>142</v>
      </c>
      <c r="B224" s="364" t="s">
        <v>61</v>
      </c>
      <c r="C224" s="364" t="s">
        <v>773</v>
      </c>
      <c r="D224" s="362" t="s">
        <v>43</v>
      </c>
      <c r="E224" s="372" t="s">
        <v>0</v>
      </c>
      <c r="F224" s="365" t="s">
        <v>52</v>
      </c>
      <c r="G224" s="46">
        <v>42667</v>
      </c>
      <c r="H224" s="598" t="s">
        <v>820</v>
      </c>
      <c r="I224" s="365" t="s">
        <v>78</v>
      </c>
      <c r="J224" s="503" t="s">
        <v>134</v>
      </c>
      <c r="K224" s="159" t="s">
        <v>79</v>
      </c>
      <c r="L224" s="46">
        <v>42683</v>
      </c>
      <c r="M224" s="364" t="s">
        <v>104</v>
      </c>
      <c r="N224" s="364" t="s">
        <v>917</v>
      </c>
      <c r="O224" s="184" t="s">
        <v>994</v>
      </c>
      <c r="P224" s="46">
        <v>42683</v>
      </c>
      <c r="Q224" s="364" t="s">
        <v>841</v>
      </c>
      <c r="R224" s="368" t="s">
        <v>55</v>
      </c>
      <c r="S224" s="46">
        <v>42683</v>
      </c>
      <c r="T224" s="368" t="s">
        <v>916</v>
      </c>
      <c r="U224" s="384">
        <f t="shared" si="145"/>
        <v>16</v>
      </c>
      <c r="V224" s="376" t="str">
        <f t="shared" si="147"/>
        <v>Inoportuno</v>
      </c>
      <c r="W224" s="384">
        <f t="shared" si="146"/>
        <v>1</v>
      </c>
      <c r="X224" s="375"/>
    </row>
    <row r="225" spans="1:24" ht="53.25" customHeight="1" x14ac:dyDescent="0.2">
      <c r="A225" s="368">
        <f t="shared" si="134"/>
        <v>143</v>
      </c>
      <c r="B225" s="364" t="s">
        <v>267</v>
      </c>
      <c r="C225" s="364" t="s">
        <v>191</v>
      </c>
      <c r="D225" s="362" t="s">
        <v>43</v>
      </c>
      <c r="E225" s="372" t="s">
        <v>0</v>
      </c>
      <c r="F225" s="365" t="s">
        <v>52</v>
      </c>
      <c r="G225" s="46">
        <v>42669</v>
      </c>
      <c r="H225" s="598" t="s">
        <v>839</v>
      </c>
      <c r="I225" s="365" t="s">
        <v>78</v>
      </c>
      <c r="J225" s="366" t="s">
        <v>133</v>
      </c>
      <c r="K225" s="159" t="s">
        <v>79</v>
      </c>
      <c r="L225" s="46">
        <v>42683</v>
      </c>
      <c r="M225" s="364" t="s">
        <v>50</v>
      </c>
      <c r="N225" s="364" t="s">
        <v>267</v>
      </c>
      <c r="O225" s="587" t="s">
        <v>840</v>
      </c>
      <c r="P225" s="46">
        <v>42735</v>
      </c>
      <c r="Q225" s="364"/>
      <c r="R225" s="368" t="s">
        <v>51</v>
      </c>
      <c r="S225" s="46"/>
      <c r="T225" s="368"/>
      <c r="U225" s="384">
        <f t="shared" si="131"/>
        <v>14</v>
      </c>
      <c r="V225" s="376" t="str">
        <f t="shared" si="132"/>
        <v>Oportuno</v>
      </c>
      <c r="W225" s="384">
        <f t="shared" si="133"/>
        <v>-42119</v>
      </c>
      <c r="X225" s="375"/>
    </row>
    <row r="226" spans="1:24" ht="44.25" customHeight="1" x14ac:dyDescent="0.2">
      <c r="A226" s="735">
        <f>+A225+1</f>
        <v>144</v>
      </c>
      <c r="B226" s="639" t="s">
        <v>62</v>
      </c>
      <c r="C226" s="639" t="s">
        <v>191</v>
      </c>
      <c r="D226" s="646" t="s">
        <v>43</v>
      </c>
      <c r="E226" s="639" t="s">
        <v>0</v>
      </c>
      <c r="F226" s="676" t="s">
        <v>848</v>
      </c>
      <c r="G226" s="642">
        <v>42692</v>
      </c>
      <c r="H226" s="649" t="s">
        <v>919</v>
      </c>
      <c r="I226" s="676" t="s">
        <v>78</v>
      </c>
      <c r="J226" s="653" t="s">
        <v>133</v>
      </c>
      <c r="K226" s="649" t="s">
        <v>79</v>
      </c>
      <c r="L226" s="642">
        <v>42704</v>
      </c>
      <c r="M226" s="505" t="s">
        <v>50</v>
      </c>
      <c r="N226" s="505" t="s">
        <v>924</v>
      </c>
      <c r="O226" s="587" t="s">
        <v>961</v>
      </c>
      <c r="P226" s="507"/>
      <c r="Q226" s="505"/>
      <c r="R226" s="508" t="s">
        <v>51</v>
      </c>
      <c r="S226" s="507"/>
      <c r="T226" s="508"/>
      <c r="U226" s="580">
        <f t="shared" si="131"/>
        <v>13</v>
      </c>
      <c r="V226" s="581" t="str">
        <f t="shared" si="132"/>
        <v>Oportuno</v>
      </c>
      <c r="W226" s="515"/>
      <c r="X226" s="514"/>
    </row>
    <row r="227" spans="1:24" ht="60.75" customHeight="1" x14ac:dyDescent="0.2">
      <c r="A227" s="736"/>
      <c r="B227" s="640"/>
      <c r="C227" s="640"/>
      <c r="D227" s="648"/>
      <c r="E227" s="640"/>
      <c r="F227" s="678"/>
      <c r="G227" s="644"/>
      <c r="H227" s="650"/>
      <c r="I227" s="678"/>
      <c r="J227" s="654"/>
      <c r="K227" s="650"/>
      <c r="L227" s="644"/>
      <c r="M227" s="505" t="s">
        <v>104</v>
      </c>
      <c r="N227" s="505" t="s">
        <v>924</v>
      </c>
      <c r="O227" s="600" t="s">
        <v>960</v>
      </c>
      <c r="P227" s="482">
        <v>43099</v>
      </c>
      <c r="Q227" s="477"/>
      <c r="R227" s="478" t="s">
        <v>51</v>
      </c>
      <c r="S227" s="482"/>
      <c r="T227" s="460"/>
      <c r="U227" s="580">
        <f t="shared" si="131"/>
        <v>1</v>
      </c>
      <c r="V227" s="581" t="str">
        <f t="shared" si="132"/>
        <v>Oportuno</v>
      </c>
      <c r="W227" s="461"/>
      <c r="X227" s="462"/>
    </row>
    <row r="228" spans="1:24" ht="60.75" customHeight="1" x14ac:dyDescent="0.2">
      <c r="A228" s="637">
        <v>145</v>
      </c>
      <c r="B228" s="639" t="s">
        <v>62</v>
      </c>
      <c r="C228" s="639" t="s">
        <v>816</v>
      </c>
      <c r="D228" s="646" t="s">
        <v>43</v>
      </c>
      <c r="E228" s="639" t="s">
        <v>0</v>
      </c>
      <c r="F228" s="676" t="s">
        <v>848</v>
      </c>
      <c r="G228" s="642">
        <v>42692</v>
      </c>
      <c r="H228" s="649" t="s">
        <v>920</v>
      </c>
      <c r="I228" s="676" t="s">
        <v>78</v>
      </c>
      <c r="J228" s="653" t="s">
        <v>133</v>
      </c>
      <c r="K228" s="649" t="s">
        <v>79</v>
      </c>
      <c r="L228" s="642">
        <v>42704</v>
      </c>
      <c r="M228" s="505" t="s">
        <v>104</v>
      </c>
      <c r="N228" s="505" t="s">
        <v>925</v>
      </c>
      <c r="O228" s="600" t="s">
        <v>921</v>
      </c>
      <c r="P228" s="507">
        <v>43100</v>
      </c>
      <c r="Q228" s="505"/>
      <c r="R228" s="508" t="s">
        <v>51</v>
      </c>
      <c r="S228" s="507"/>
      <c r="T228" s="508"/>
      <c r="U228" s="580">
        <f t="shared" si="131"/>
        <v>13</v>
      </c>
      <c r="V228" s="581" t="str">
        <f t="shared" si="132"/>
        <v>Oportuno</v>
      </c>
      <c r="W228" s="515"/>
      <c r="X228" s="514"/>
    </row>
    <row r="229" spans="1:24" ht="60.75" customHeight="1" x14ac:dyDescent="0.2">
      <c r="A229" s="645"/>
      <c r="B229" s="641"/>
      <c r="C229" s="641"/>
      <c r="D229" s="647"/>
      <c r="E229" s="641"/>
      <c r="F229" s="677"/>
      <c r="G229" s="643"/>
      <c r="H229" s="662"/>
      <c r="I229" s="677"/>
      <c r="J229" s="655"/>
      <c r="K229" s="662"/>
      <c r="L229" s="643"/>
      <c r="M229" s="505" t="s">
        <v>50</v>
      </c>
      <c r="N229" s="505" t="s">
        <v>925</v>
      </c>
      <c r="O229" s="609" t="s">
        <v>922</v>
      </c>
      <c r="P229" s="507">
        <v>43100</v>
      </c>
      <c r="Q229" s="505"/>
      <c r="R229" s="508" t="s">
        <v>51</v>
      </c>
      <c r="S229" s="507"/>
      <c r="T229" s="508"/>
      <c r="U229" s="580">
        <f t="shared" si="131"/>
        <v>1</v>
      </c>
      <c r="V229" s="581" t="str">
        <f t="shared" si="132"/>
        <v>Oportuno</v>
      </c>
      <c r="W229" s="515"/>
      <c r="X229" s="514"/>
    </row>
    <row r="230" spans="1:24" ht="60.75" customHeight="1" x14ac:dyDescent="0.2">
      <c r="A230" s="638"/>
      <c r="B230" s="640"/>
      <c r="C230" s="640"/>
      <c r="D230" s="648"/>
      <c r="E230" s="640"/>
      <c r="F230" s="678"/>
      <c r="G230" s="644"/>
      <c r="H230" s="650"/>
      <c r="I230" s="678"/>
      <c r="J230" s="654"/>
      <c r="K230" s="650"/>
      <c r="L230" s="644"/>
      <c r="M230" s="505" t="s">
        <v>50</v>
      </c>
      <c r="N230" s="505" t="s">
        <v>925</v>
      </c>
      <c r="O230" s="609" t="s">
        <v>923</v>
      </c>
      <c r="P230" s="507">
        <v>43100</v>
      </c>
      <c r="Q230" s="505"/>
      <c r="R230" s="508" t="s">
        <v>51</v>
      </c>
      <c r="S230" s="507"/>
      <c r="T230" s="508"/>
      <c r="U230" s="580">
        <f t="shared" si="131"/>
        <v>1</v>
      </c>
      <c r="V230" s="581" t="str">
        <f t="shared" si="132"/>
        <v>Oportuno</v>
      </c>
      <c r="W230" s="515"/>
      <c r="X230" s="514"/>
    </row>
    <row r="231" spans="1:24" ht="60.75" customHeight="1" x14ac:dyDescent="0.2">
      <c r="A231" s="509">
        <v>146</v>
      </c>
      <c r="B231" s="505" t="s">
        <v>992</v>
      </c>
      <c r="C231" s="510" t="s">
        <v>816</v>
      </c>
      <c r="D231" s="511" t="s">
        <v>43</v>
      </c>
      <c r="E231" s="510" t="s">
        <v>0</v>
      </c>
      <c r="F231" s="512" t="s">
        <v>848</v>
      </c>
      <c r="G231" s="516">
        <v>42692</v>
      </c>
      <c r="H231" s="586" t="s">
        <v>926</v>
      </c>
      <c r="I231" s="506" t="s">
        <v>78</v>
      </c>
      <c r="J231" s="513" t="s">
        <v>133</v>
      </c>
      <c r="K231" s="221" t="s">
        <v>80</v>
      </c>
      <c r="L231" s="507">
        <v>42704</v>
      </c>
      <c r="M231" s="510"/>
      <c r="N231" s="510"/>
      <c r="O231" s="609"/>
      <c r="P231" s="516"/>
      <c r="Q231" s="510"/>
      <c r="R231" s="509" t="s">
        <v>51</v>
      </c>
      <c r="S231" s="516"/>
      <c r="T231" s="509"/>
      <c r="U231" s="580">
        <f t="shared" si="131"/>
        <v>13</v>
      </c>
      <c r="V231" s="581" t="str">
        <f t="shared" si="132"/>
        <v>Oportuno</v>
      </c>
      <c r="W231" s="557"/>
      <c r="X231" s="241"/>
    </row>
    <row r="232" spans="1:24" ht="60.75" customHeight="1" x14ac:dyDescent="0.2">
      <c r="A232" s="637">
        <v>147</v>
      </c>
      <c r="B232" s="639" t="s">
        <v>62</v>
      </c>
      <c r="C232" s="639" t="s">
        <v>816</v>
      </c>
      <c r="D232" s="646" t="s">
        <v>43</v>
      </c>
      <c r="E232" s="639" t="s">
        <v>0</v>
      </c>
      <c r="F232" s="676" t="s">
        <v>848</v>
      </c>
      <c r="G232" s="642">
        <v>42692</v>
      </c>
      <c r="H232" s="649" t="s">
        <v>927</v>
      </c>
      <c r="I232" s="676" t="s">
        <v>78</v>
      </c>
      <c r="J232" s="653" t="s">
        <v>133</v>
      </c>
      <c r="K232" s="649" t="s">
        <v>79</v>
      </c>
      <c r="L232" s="642">
        <v>42704</v>
      </c>
      <c r="M232" s="510" t="s">
        <v>104</v>
      </c>
      <c r="N232" s="510" t="s">
        <v>925</v>
      </c>
      <c r="O232" s="609" t="s">
        <v>943</v>
      </c>
      <c r="P232" s="516">
        <v>42892</v>
      </c>
      <c r="Q232" s="510"/>
      <c r="R232" s="509" t="s">
        <v>51</v>
      </c>
      <c r="S232" s="516"/>
      <c r="T232" s="509"/>
      <c r="U232" s="580">
        <f t="shared" si="131"/>
        <v>13</v>
      </c>
      <c r="V232" s="581" t="str">
        <f t="shared" si="132"/>
        <v>Oportuno</v>
      </c>
      <c r="W232" s="557"/>
      <c r="X232" s="241"/>
    </row>
    <row r="233" spans="1:24" ht="51" customHeight="1" x14ac:dyDescent="0.2">
      <c r="A233" s="638"/>
      <c r="B233" s="640"/>
      <c r="C233" s="640"/>
      <c r="D233" s="648"/>
      <c r="E233" s="640"/>
      <c r="F233" s="678"/>
      <c r="G233" s="644"/>
      <c r="H233" s="650"/>
      <c r="I233" s="678"/>
      <c r="J233" s="654"/>
      <c r="K233" s="650"/>
      <c r="L233" s="644"/>
      <c r="M233" s="510" t="s">
        <v>50</v>
      </c>
      <c r="N233" s="510" t="s">
        <v>925</v>
      </c>
      <c r="O233" s="609" t="s">
        <v>944</v>
      </c>
      <c r="P233" s="516">
        <v>42892</v>
      </c>
      <c r="Q233" s="510"/>
      <c r="R233" s="509" t="s">
        <v>51</v>
      </c>
      <c r="S233" s="516"/>
      <c r="T233" s="509"/>
      <c r="U233" s="580">
        <f t="shared" si="131"/>
        <v>1</v>
      </c>
      <c r="V233" s="581" t="str">
        <f t="shared" si="132"/>
        <v>Oportuno</v>
      </c>
      <c r="W233" s="557"/>
      <c r="X233" s="241"/>
    </row>
    <row r="234" spans="1:24" ht="51" customHeight="1" x14ac:dyDescent="0.2">
      <c r="A234" s="637">
        <v>148</v>
      </c>
      <c r="B234" s="639" t="s">
        <v>62</v>
      </c>
      <c r="C234" s="639" t="s">
        <v>816</v>
      </c>
      <c r="D234" s="646" t="s">
        <v>43</v>
      </c>
      <c r="E234" s="639" t="s">
        <v>0</v>
      </c>
      <c r="F234" s="676" t="s">
        <v>848</v>
      </c>
      <c r="G234" s="642">
        <v>42692</v>
      </c>
      <c r="H234" s="649" t="s">
        <v>928</v>
      </c>
      <c r="I234" s="676" t="s">
        <v>78</v>
      </c>
      <c r="J234" s="653" t="s">
        <v>133</v>
      </c>
      <c r="K234" s="649" t="s">
        <v>79</v>
      </c>
      <c r="L234" s="642">
        <v>42704</v>
      </c>
      <c r="M234" s="510" t="s">
        <v>104</v>
      </c>
      <c r="N234" s="510" t="s">
        <v>925</v>
      </c>
      <c r="O234" s="609" t="s">
        <v>943</v>
      </c>
      <c r="P234" s="516">
        <v>42892</v>
      </c>
      <c r="Q234" s="510"/>
      <c r="R234" s="509" t="s">
        <v>51</v>
      </c>
      <c r="S234" s="516"/>
      <c r="T234" s="509"/>
      <c r="U234" s="580">
        <f t="shared" si="131"/>
        <v>13</v>
      </c>
      <c r="V234" s="581" t="str">
        <f t="shared" si="132"/>
        <v>Oportuno</v>
      </c>
      <c r="W234" s="557"/>
      <c r="X234" s="241"/>
    </row>
    <row r="235" spans="1:24" ht="60.75" customHeight="1" x14ac:dyDescent="0.2">
      <c r="A235" s="638"/>
      <c r="B235" s="640"/>
      <c r="C235" s="640"/>
      <c r="D235" s="648"/>
      <c r="E235" s="640"/>
      <c r="F235" s="678"/>
      <c r="G235" s="644"/>
      <c r="H235" s="650"/>
      <c r="I235" s="678"/>
      <c r="J235" s="654"/>
      <c r="K235" s="650"/>
      <c r="L235" s="644"/>
      <c r="M235" s="510" t="s">
        <v>50</v>
      </c>
      <c r="N235" s="510" t="s">
        <v>925</v>
      </c>
      <c r="O235" s="609" t="s">
        <v>944</v>
      </c>
      <c r="P235" s="516">
        <v>42892</v>
      </c>
      <c r="Q235" s="510"/>
      <c r="R235" s="509" t="s">
        <v>51</v>
      </c>
      <c r="S235" s="516"/>
      <c r="T235" s="509"/>
      <c r="U235" s="580">
        <f t="shared" si="131"/>
        <v>1</v>
      </c>
      <c r="V235" s="581" t="str">
        <f t="shared" si="132"/>
        <v>Oportuno</v>
      </c>
      <c r="W235" s="557"/>
      <c r="X235" s="241"/>
    </row>
    <row r="236" spans="1:24" ht="60.75" customHeight="1" x14ac:dyDescent="0.2">
      <c r="A236" s="509">
        <v>149</v>
      </c>
      <c r="B236" s="501" t="s">
        <v>62</v>
      </c>
      <c r="C236" s="524" t="s">
        <v>816</v>
      </c>
      <c r="D236" s="504" t="s">
        <v>43</v>
      </c>
      <c r="E236" s="524" t="s">
        <v>0</v>
      </c>
      <c r="F236" s="525" t="s">
        <v>848</v>
      </c>
      <c r="G236" s="529">
        <v>42692</v>
      </c>
      <c r="H236" s="599" t="s">
        <v>929</v>
      </c>
      <c r="I236" s="559" t="s">
        <v>78</v>
      </c>
      <c r="J236" s="526" t="s">
        <v>133</v>
      </c>
      <c r="K236" s="570" t="s">
        <v>79</v>
      </c>
      <c r="L236" s="542">
        <v>42704</v>
      </c>
      <c r="M236" s="510" t="s">
        <v>50</v>
      </c>
      <c r="N236" s="510" t="s">
        <v>925</v>
      </c>
      <c r="O236" s="609" t="s">
        <v>944</v>
      </c>
      <c r="P236" s="516">
        <v>42892</v>
      </c>
      <c r="Q236" s="510"/>
      <c r="R236" s="509" t="s">
        <v>51</v>
      </c>
      <c r="S236" s="516"/>
      <c r="T236" s="509"/>
      <c r="U236" s="580">
        <f t="shared" si="131"/>
        <v>13</v>
      </c>
      <c r="V236" s="581" t="str">
        <f t="shared" si="132"/>
        <v>Oportuno</v>
      </c>
      <c r="W236" s="557"/>
      <c r="X236" s="241"/>
    </row>
    <row r="237" spans="1:24" ht="60.75" customHeight="1" x14ac:dyDescent="0.2">
      <c r="A237" s="509">
        <v>150</v>
      </c>
      <c r="B237" s="505" t="s">
        <v>62</v>
      </c>
      <c r="C237" s="510" t="s">
        <v>816</v>
      </c>
      <c r="D237" s="511" t="s">
        <v>43</v>
      </c>
      <c r="E237" s="510" t="s">
        <v>0</v>
      </c>
      <c r="F237" s="512" t="s">
        <v>848</v>
      </c>
      <c r="G237" s="516">
        <v>42692</v>
      </c>
      <c r="H237" s="586" t="s">
        <v>930</v>
      </c>
      <c r="I237" s="506" t="s">
        <v>78</v>
      </c>
      <c r="J237" s="513" t="s">
        <v>133</v>
      </c>
      <c r="K237" s="221" t="s">
        <v>79</v>
      </c>
      <c r="L237" s="507">
        <v>42704</v>
      </c>
      <c r="M237" s="510" t="s">
        <v>50</v>
      </c>
      <c r="N237" s="510" t="s">
        <v>946</v>
      </c>
      <c r="O237" s="609" t="s">
        <v>945</v>
      </c>
      <c r="P237" s="516">
        <v>42892</v>
      </c>
      <c r="Q237" s="510"/>
      <c r="R237" s="509" t="s">
        <v>51</v>
      </c>
      <c r="S237" s="516"/>
      <c r="T237" s="509"/>
      <c r="U237" s="580">
        <f t="shared" si="131"/>
        <v>13</v>
      </c>
      <c r="V237" s="581" t="str">
        <f t="shared" si="132"/>
        <v>Oportuno</v>
      </c>
      <c r="W237" s="557"/>
      <c r="X237" s="241"/>
    </row>
    <row r="238" spans="1:24" ht="60.75" customHeight="1" x14ac:dyDescent="0.2">
      <c r="A238" s="509">
        <v>151</v>
      </c>
      <c r="B238" s="505" t="s">
        <v>62</v>
      </c>
      <c r="C238" s="510" t="s">
        <v>816</v>
      </c>
      <c r="D238" s="511" t="s">
        <v>43</v>
      </c>
      <c r="E238" s="510" t="s">
        <v>0</v>
      </c>
      <c r="F238" s="512" t="s">
        <v>848</v>
      </c>
      <c r="G238" s="516">
        <v>42692</v>
      </c>
      <c r="H238" s="586" t="s">
        <v>931</v>
      </c>
      <c r="I238" s="506" t="s">
        <v>78</v>
      </c>
      <c r="J238" s="513" t="s">
        <v>133</v>
      </c>
      <c r="K238" s="221" t="s">
        <v>80</v>
      </c>
      <c r="L238" s="507">
        <v>42704</v>
      </c>
      <c r="M238" s="510"/>
      <c r="N238" s="510"/>
      <c r="O238" s="543"/>
      <c r="P238" s="516"/>
      <c r="Q238" s="510"/>
      <c r="R238" s="509" t="s">
        <v>51</v>
      </c>
      <c r="S238" s="516"/>
      <c r="T238" s="509"/>
      <c r="U238" s="580">
        <f t="shared" si="131"/>
        <v>13</v>
      </c>
      <c r="V238" s="581" t="str">
        <f t="shared" si="132"/>
        <v>Oportuno</v>
      </c>
      <c r="W238" s="557"/>
      <c r="X238" s="241"/>
    </row>
    <row r="239" spans="1:24" ht="60.75" customHeight="1" x14ac:dyDescent="0.2">
      <c r="A239" s="509">
        <v>152</v>
      </c>
      <c r="B239" s="505" t="s">
        <v>62</v>
      </c>
      <c r="C239" s="510" t="s">
        <v>816</v>
      </c>
      <c r="D239" s="511" t="s">
        <v>43</v>
      </c>
      <c r="E239" s="510" t="s">
        <v>0</v>
      </c>
      <c r="F239" s="512" t="s">
        <v>848</v>
      </c>
      <c r="G239" s="516">
        <v>42692</v>
      </c>
      <c r="H239" s="586" t="s">
        <v>932</v>
      </c>
      <c r="I239" s="506" t="s">
        <v>78</v>
      </c>
      <c r="J239" s="513" t="s">
        <v>133</v>
      </c>
      <c r="K239" s="221" t="s">
        <v>80</v>
      </c>
      <c r="L239" s="507">
        <v>42704</v>
      </c>
      <c r="M239" s="510"/>
      <c r="N239" s="510"/>
      <c r="O239" s="543"/>
      <c r="P239" s="516"/>
      <c r="Q239" s="510"/>
      <c r="R239" s="509" t="s">
        <v>51</v>
      </c>
      <c r="S239" s="516"/>
      <c r="T239" s="509"/>
      <c r="U239" s="557"/>
      <c r="V239" s="286"/>
      <c r="W239" s="557"/>
      <c r="X239" s="241"/>
    </row>
    <row r="240" spans="1:24" ht="60.75" customHeight="1" x14ac:dyDescent="0.2">
      <c r="A240" s="509">
        <v>153</v>
      </c>
      <c r="B240" s="505" t="s">
        <v>62</v>
      </c>
      <c r="C240" s="510" t="s">
        <v>816</v>
      </c>
      <c r="D240" s="511" t="s">
        <v>43</v>
      </c>
      <c r="E240" s="510" t="s">
        <v>0</v>
      </c>
      <c r="F240" s="512" t="s">
        <v>848</v>
      </c>
      <c r="G240" s="516">
        <v>42692</v>
      </c>
      <c r="H240" s="586" t="s">
        <v>933</v>
      </c>
      <c r="I240" s="506" t="s">
        <v>78</v>
      </c>
      <c r="J240" s="513" t="s">
        <v>133</v>
      </c>
      <c r="K240" s="221" t="s">
        <v>80</v>
      </c>
      <c r="L240" s="507">
        <v>42704</v>
      </c>
      <c r="M240" s="510"/>
      <c r="N240" s="510"/>
      <c r="O240" s="543"/>
      <c r="P240" s="516"/>
      <c r="Q240" s="510"/>
      <c r="R240" s="509" t="s">
        <v>51</v>
      </c>
      <c r="S240" s="516"/>
      <c r="T240" s="509"/>
      <c r="U240" s="557"/>
      <c r="V240" s="286"/>
      <c r="W240" s="557"/>
      <c r="X240" s="241"/>
    </row>
    <row r="241" spans="1:24" ht="60.75" customHeight="1" x14ac:dyDescent="0.2">
      <c r="A241" s="509">
        <v>154</v>
      </c>
      <c r="B241" s="505" t="s">
        <v>62</v>
      </c>
      <c r="C241" s="510" t="s">
        <v>816</v>
      </c>
      <c r="D241" s="511" t="s">
        <v>43</v>
      </c>
      <c r="E241" s="510" t="s">
        <v>0</v>
      </c>
      <c r="F241" s="512" t="s">
        <v>848</v>
      </c>
      <c r="G241" s="516">
        <v>42692</v>
      </c>
      <c r="H241" s="586" t="s">
        <v>934</v>
      </c>
      <c r="I241" s="506" t="s">
        <v>78</v>
      </c>
      <c r="J241" s="513" t="s">
        <v>133</v>
      </c>
      <c r="K241" s="221" t="s">
        <v>80</v>
      </c>
      <c r="L241" s="507">
        <v>42704</v>
      </c>
      <c r="M241" s="510"/>
      <c r="N241" s="510"/>
      <c r="O241" s="543"/>
      <c r="P241" s="516"/>
      <c r="Q241" s="510"/>
      <c r="R241" s="509" t="s">
        <v>51</v>
      </c>
      <c r="S241" s="516"/>
      <c r="T241" s="509"/>
      <c r="U241" s="557"/>
      <c r="V241" s="286"/>
      <c r="W241" s="557"/>
      <c r="X241" s="241"/>
    </row>
    <row r="242" spans="1:24" ht="60.75" customHeight="1" x14ac:dyDescent="0.2">
      <c r="A242" s="509">
        <v>155</v>
      </c>
      <c r="B242" s="505" t="s">
        <v>62</v>
      </c>
      <c r="C242" s="510" t="s">
        <v>816</v>
      </c>
      <c r="D242" s="511" t="s">
        <v>43</v>
      </c>
      <c r="E242" s="510" t="s">
        <v>0</v>
      </c>
      <c r="F242" s="512" t="s">
        <v>848</v>
      </c>
      <c r="G242" s="516">
        <v>42692</v>
      </c>
      <c r="H242" s="586" t="s">
        <v>935</v>
      </c>
      <c r="I242" s="506" t="s">
        <v>78</v>
      </c>
      <c r="J242" s="513" t="s">
        <v>133</v>
      </c>
      <c r="K242" s="221" t="s">
        <v>80</v>
      </c>
      <c r="L242" s="507">
        <v>42704</v>
      </c>
      <c r="M242" s="510"/>
      <c r="N242" s="510"/>
      <c r="O242" s="543"/>
      <c r="P242" s="516"/>
      <c r="Q242" s="510"/>
      <c r="R242" s="509" t="s">
        <v>51</v>
      </c>
      <c r="S242" s="516"/>
      <c r="T242" s="509"/>
      <c r="U242" s="557"/>
      <c r="V242" s="286"/>
      <c r="W242" s="557"/>
      <c r="X242" s="241"/>
    </row>
    <row r="243" spans="1:24" ht="112.5" customHeight="1" x14ac:dyDescent="0.2">
      <c r="A243" s="637">
        <v>156</v>
      </c>
      <c r="B243" s="639" t="s">
        <v>62</v>
      </c>
      <c r="C243" s="639" t="s">
        <v>816</v>
      </c>
      <c r="D243" s="646" t="s">
        <v>43</v>
      </c>
      <c r="E243" s="639" t="s">
        <v>0</v>
      </c>
      <c r="F243" s="676" t="s">
        <v>848</v>
      </c>
      <c r="G243" s="642">
        <v>42692</v>
      </c>
      <c r="H243" s="649" t="s">
        <v>936</v>
      </c>
      <c r="I243" s="676" t="s">
        <v>78</v>
      </c>
      <c r="J243" s="653" t="s">
        <v>133</v>
      </c>
      <c r="K243" s="649" t="s">
        <v>79</v>
      </c>
      <c r="L243" s="642">
        <v>42704</v>
      </c>
      <c r="M243" s="510" t="s">
        <v>50</v>
      </c>
      <c r="N243" s="510" t="s">
        <v>948</v>
      </c>
      <c r="O243" s="543" t="s">
        <v>947</v>
      </c>
      <c r="P243" s="516">
        <v>42825</v>
      </c>
      <c r="Q243" s="510"/>
      <c r="R243" s="509"/>
      <c r="S243" s="516"/>
      <c r="T243" s="509"/>
      <c r="U243" s="580">
        <f t="shared" si="131"/>
        <v>13</v>
      </c>
      <c r="V243" s="581" t="str">
        <f t="shared" si="132"/>
        <v>Oportuno</v>
      </c>
      <c r="W243" s="557"/>
      <c r="X243" s="241"/>
    </row>
    <row r="244" spans="1:24" ht="112.5" customHeight="1" x14ac:dyDescent="0.2">
      <c r="A244" s="638"/>
      <c r="B244" s="640"/>
      <c r="C244" s="640"/>
      <c r="D244" s="648"/>
      <c r="E244" s="640"/>
      <c r="F244" s="678"/>
      <c r="G244" s="644"/>
      <c r="H244" s="650"/>
      <c r="I244" s="678"/>
      <c r="J244" s="654"/>
      <c r="K244" s="650"/>
      <c r="L244" s="644"/>
      <c r="M244" s="510" t="s">
        <v>104</v>
      </c>
      <c r="N244" s="510" t="s">
        <v>948</v>
      </c>
      <c r="O244" s="543" t="s">
        <v>949</v>
      </c>
      <c r="P244" s="516"/>
      <c r="Q244" s="510"/>
      <c r="R244" s="509"/>
      <c r="S244" s="516"/>
      <c r="T244" s="509"/>
      <c r="U244" s="580">
        <f t="shared" si="131"/>
        <v>1</v>
      </c>
      <c r="V244" s="581" t="str">
        <f t="shared" si="132"/>
        <v>Oportuno</v>
      </c>
      <c r="W244" s="557"/>
      <c r="X244" s="241"/>
    </row>
    <row r="245" spans="1:24" ht="59.25" customHeight="1" x14ac:dyDescent="0.2">
      <c r="A245" s="637">
        <v>157</v>
      </c>
      <c r="B245" s="639" t="s">
        <v>62</v>
      </c>
      <c r="C245" s="639" t="s">
        <v>816</v>
      </c>
      <c r="D245" s="646" t="s">
        <v>43</v>
      </c>
      <c r="E245" s="639" t="s">
        <v>0</v>
      </c>
      <c r="F245" s="676" t="s">
        <v>848</v>
      </c>
      <c r="G245" s="642">
        <v>42692</v>
      </c>
      <c r="H245" s="649" t="s">
        <v>937</v>
      </c>
      <c r="I245" s="676" t="s">
        <v>78</v>
      </c>
      <c r="J245" s="653" t="s">
        <v>133</v>
      </c>
      <c r="K245" s="649" t="s">
        <v>79</v>
      </c>
      <c r="L245" s="642">
        <v>42704</v>
      </c>
      <c r="M245" s="510" t="s">
        <v>104</v>
      </c>
      <c r="N245" s="510" t="s">
        <v>950</v>
      </c>
      <c r="O245" s="543" t="s">
        <v>951</v>
      </c>
      <c r="P245" s="516">
        <v>42825</v>
      </c>
      <c r="Q245" s="510"/>
      <c r="R245" s="509"/>
      <c r="S245" s="516"/>
      <c r="T245" s="509"/>
      <c r="U245" s="580">
        <f t="shared" si="131"/>
        <v>13</v>
      </c>
      <c r="V245" s="581" t="str">
        <f t="shared" si="132"/>
        <v>Oportuno</v>
      </c>
      <c r="W245" s="557"/>
      <c r="X245" s="241"/>
    </row>
    <row r="246" spans="1:24" ht="82.5" customHeight="1" x14ac:dyDescent="0.2">
      <c r="A246" s="638"/>
      <c r="B246" s="640"/>
      <c r="C246" s="640"/>
      <c r="D246" s="648"/>
      <c r="E246" s="640"/>
      <c r="F246" s="678"/>
      <c r="G246" s="644"/>
      <c r="H246" s="650"/>
      <c r="I246" s="678"/>
      <c r="J246" s="654"/>
      <c r="K246" s="650"/>
      <c r="L246" s="644"/>
      <c r="M246" s="510" t="s">
        <v>50</v>
      </c>
      <c r="N246" s="510" t="s">
        <v>950</v>
      </c>
      <c r="O246" s="543" t="s">
        <v>952</v>
      </c>
      <c r="P246" s="516">
        <v>42825</v>
      </c>
      <c r="Q246" s="510"/>
      <c r="R246" s="509"/>
      <c r="S246" s="516"/>
      <c r="T246" s="509"/>
      <c r="U246" s="580">
        <f t="shared" si="131"/>
        <v>1</v>
      </c>
      <c r="V246" s="581" t="str">
        <f t="shared" si="132"/>
        <v>Oportuno</v>
      </c>
      <c r="W246" s="557"/>
      <c r="X246" s="241"/>
    </row>
    <row r="247" spans="1:24" ht="53.25" customHeight="1" x14ac:dyDescent="0.2">
      <c r="A247" s="637">
        <v>158</v>
      </c>
      <c r="B247" s="639" t="s">
        <v>62</v>
      </c>
      <c r="C247" s="639" t="s">
        <v>816</v>
      </c>
      <c r="D247" s="646" t="s">
        <v>43</v>
      </c>
      <c r="E247" s="639" t="s">
        <v>0</v>
      </c>
      <c r="F247" s="676" t="s">
        <v>848</v>
      </c>
      <c r="G247" s="642">
        <v>42692</v>
      </c>
      <c r="H247" s="649" t="s">
        <v>938</v>
      </c>
      <c r="I247" s="676" t="s">
        <v>78</v>
      </c>
      <c r="J247" s="653" t="s">
        <v>133</v>
      </c>
      <c r="K247" s="649" t="s">
        <v>79</v>
      </c>
      <c r="L247" s="642">
        <v>42704</v>
      </c>
      <c r="M247" s="510" t="s">
        <v>104</v>
      </c>
      <c r="N247" s="510" t="s">
        <v>950</v>
      </c>
      <c r="O247" s="543" t="s">
        <v>951</v>
      </c>
      <c r="P247" s="516">
        <v>42825</v>
      </c>
      <c r="Q247" s="510"/>
      <c r="R247" s="509"/>
      <c r="S247" s="516"/>
      <c r="T247" s="509"/>
      <c r="U247" s="557"/>
      <c r="V247" s="581" t="str">
        <f t="shared" si="132"/>
        <v>Oportuno</v>
      </c>
      <c r="W247" s="557"/>
      <c r="X247" s="241"/>
    </row>
    <row r="248" spans="1:24" ht="63" customHeight="1" x14ac:dyDescent="0.2">
      <c r="A248" s="638"/>
      <c r="B248" s="640"/>
      <c r="C248" s="640"/>
      <c r="D248" s="648"/>
      <c r="E248" s="640"/>
      <c r="F248" s="678"/>
      <c r="G248" s="644"/>
      <c r="H248" s="650"/>
      <c r="I248" s="678"/>
      <c r="J248" s="654"/>
      <c r="K248" s="650"/>
      <c r="L248" s="644"/>
      <c r="M248" s="510" t="s">
        <v>50</v>
      </c>
      <c r="N248" s="510" t="s">
        <v>950</v>
      </c>
      <c r="O248" s="543" t="s">
        <v>953</v>
      </c>
      <c r="P248" s="516">
        <v>42825</v>
      </c>
      <c r="Q248" s="510"/>
      <c r="R248" s="509"/>
      <c r="S248" s="516"/>
      <c r="T248" s="509"/>
      <c r="U248" s="557"/>
      <c r="V248" s="581" t="str">
        <f t="shared" si="132"/>
        <v>Oportuno</v>
      </c>
      <c r="W248" s="557"/>
      <c r="X248" s="241"/>
    </row>
    <row r="249" spans="1:24" ht="63" customHeight="1" x14ac:dyDescent="0.2">
      <c r="A249" s="637">
        <v>159</v>
      </c>
      <c r="B249" s="639" t="s">
        <v>62</v>
      </c>
      <c r="C249" s="639" t="s">
        <v>816</v>
      </c>
      <c r="D249" s="646" t="s">
        <v>43</v>
      </c>
      <c r="E249" s="639" t="s">
        <v>0</v>
      </c>
      <c r="F249" s="676" t="s">
        <v>848</v>
      </c>
      <c r="G249" s="642">
        <v>42692</v>
      </c>
      <c r="H249" s="649" t="s">
        <v>939</v>
      </c>
      <c r="I249" s="676" t="s">
        <v>78</v>
      </c>
      <c r="J249" s="653" t="s">
        <v>133</v>
      </c>
      <c r="K249" s="649" t="s">
        <v>79</v>
      </c>
      <c r="L249" s="642">
        <v>42704</v>
      </c>
      <c r="M249" s="510" t="s">
        <v>104</v>
      </c>
      <c r="N249" s="510" t="s">
        <v>954</v>
      </c>
      <c r="O249" s="543" t="s">
        <v>955</v>
      </c>
      <c r="P249" s="516">
        <v>42916</v>
      </c>
      <c r="Q249" s="510"/>
      <c r="R249" s="509"/>
      <c r="S249" s="516"/>
      <c r="T249" s="509"/>
      <c r="U249" s="557"/>
      <c r="V249" s="581" t="str">
        <f t="shared" si="132"/>
        <v>Oportuno</v>
      </c>
      <c r="W249" s="557"/>
      <c r="X249" s="241"/>
    </row>
    <row r="250" spans="1:24" ht="60.75" customHeight="1" x14ac:dyDescent="0.2">
      <c r="A250" s="638"/>
      <c r="B250" s="640"/>
      <c r="C250" s="640"/>
      <c r="D250" s="648"/>
      <c r="E250" s="640"/>
      <c r="F250" s="678"/>
      <c r="G250" s="644"/>
      <c r="H250" s="650"/>
      <c r="I250" s="678"/>
      <c r="J250" s="654"/>
      <c r="K250" s="650"/>
      <c r="L250" s="644"/>
      <c r="M250" s="510" t="s">
        <v>50</v>
      </c>
      <c r="N250" s="510" t="s">
        <v>954</v>
      </c>
      <c r="O250" s="543" t="s">
        <v>956</v>
      </c>
      <c r="P250" s="516">
        <v>42916</v>
      </c>
      <c r="Q250" s="510"/>
      <c r="R250" s="509"/>
      <c r="S250" s="516"/>
      <c r="T250" s="509"/>
      <c r="U250" s="557"/>
      <c r="V250" s="581" t="str">
        <f t="shared" si="132"/>
        <v>Oportuno</v>
      </c>
      <c r="W250" s="557"/>
      <c r="X250" s="241"/>
    </row>
    <row r="251" spans="1:24" ht="60.75" customHeight="1" x14ac:dyDescent="0.2">
      <c r="A251" s="509">
        <v>160</v>
      </c>
      <c r="B251" s="510" t="s">
        <v>62</v>
      </c>
      <c r="C251" s="510" t="s">
        <v>191</v>
      </c>
      <c r="D251" s="511" t="s">
        <v>43</v>
      </c>
      <c r="E251" s="510" t="s">
        <v>0</v>
      </c>
      <c r="F251" s="512" t="s">
        <v>848</v>
      </c>
      <c r="G251" s="516">
        <v>42692</v>
      </c>
      <c r="H251" s="585" t="s">
        <v>957</v>
      </c>
      <c r="I251" s="519" t="s">
        <v>78</v>
      </c>
      <c r="J251" s="518" t="s">
        <v>133</v>
      </c>
      <c r="K251" s="222" t="s">
        <v>79</v>
      </c>
      <c r="L251" s="507">
        <v>42704</v>
      </c>
      <c r="M251" s="510" t="s">
        <v>104</v>
      </c>
      <c r="N251" s="510" t="s">
        <v>611</v>
      </c>
      <c r="O251" s="543" t="s">
        <v>915</v>
      </c>
      <c r="P251" s="516">
        <v>42734</v>
      </c>
      <c r="Q251" s="510"/>
      <c r="R251" s="509"/>
      <c r="S251" s="516"/>
      <c r="T251" s="509"/>
      <c r="U251" s="557"/>
      <c r="V251" s="581" t="str">
        <f t="shared" si="132"/>
        <v>Oportuno</v>
      </c>
      <c r="W251" s="557"/>
      <c r="X251" s="241"/>
    </row>
    <row r="252" spans="1:24" ht="72.75" customHeight="1" x14ac:dyDescent="0.2">
      <c r="A252" s="722">
        <v>161</v>
      </c>
      <c r="B252" s="688" t="s">
        <v>62</v>
      </c>
      <c r="C252" s="688" t="s">
        <v>191</v>
      </c>
      <c r="D252" s="687" t="s">
        <v>43</v>
      </c>
      <c r="E252" s="688" t="s">
        <v>0</v>
      </c>
      <c r="F252" s="686" t="s">
        <v>848</v>
      </c>
      <c r="G252" s="685">
        <v>42692</v>
      </c>
      <c r="H252" s="675" t="s">
        <v>918</v>
      </c>
      <c r="I252" s="686" t="s">
        <v>78</v>
      </c>
      <c r="J252" s="663" t="s">
        <v>133</v>
      </c>
      <c r="K252" s="675" t="s">
        <v>79</v>
      </c>
      <c r="L252" s="685">
        <v>43100</v>
      </c>
      <c r="M252" s="510" t="s">
        <v>104</v>
      </c>
      <c r="N252" s="510" t="s">
        <v>611</v>
      </c>
      <c r="O252" s="532" t="s">
        <v>860</v>
      </c>
      <c r="P252" s="516">
        <v>42711</v>
      </c>
      <c r="Q252" s="498"/>
      <c r="R252" s="509" t="s">
        <v>51</v>
      </c>
      <c r="S252" s="516"/>
      <c r="T252" s="509"/>
      <c r="U252" s="557"/>
      <c r="V252" s="581" t="str">
        <f t="shared" si="132"/>
        <v>Oportuno</v>
      </c>
      <c r="W252" s="557"/>
      <c r="X252" s="241"/>
    </row>
    <row r="253" spans="1:24" ht="65.25" customHeight="1" x14ac:dyDescent="0.2">
      <c r="A253" s="722"/>
      <c r="B253" s="688"/>
      <c r="C253" s="688"/>
      <c r="D253" s="687"/>
      <c r="E253" s="688"/>
      <c r="F253" s="686"/>
      <c r="G253" s="685"/>
      <c r="H253" s="675"/>
      <c r="I253" s="686"/>
      <c r="J253" s="663"/>
      <c r="K253" s="675"/>
      <c r="L253" s="685"/>
      <c r="M253" s="510" t="s">
        <v>50</v>
      </c>
      <c r="N253" s="510" t="s">
        <v>611</v>
      </c>
      <c r="O253" s="532" t="s">
        <v>861</v>
      </c>
      <c r="P253" s="516">
        <v>42916</v>
      </c>
      <c r="Q253" s="510"/>
      <c r="R253" s="509" t="s">
        <v>51</v>
      </c>
      <c r="S253" s="516"/>
      <c r="T253" s="509"/>
      <c r="U253" s="557"/>
      <c r="V253" s="581" t="str">
        <f t="shared" si="132"/>
        <v>Oportuno</v>
      </c>
      <c r="W253" s="557"/>
      <c r="X253" s="241"/>
    </row>
    <row r="254" spans="1:24" ht="37.5" customHeight="1" x14ac:dyDescent="0.2">
      <c r="A254" s="722"/>
      <c r="B254" s="688"/>
      <c r="C254" s="688"/>
      <c r="D254" s="687"/>
      <c r="E254" s="688"/>
      <c r="F254" s="686"/>
      <c r="G254" s="685"/>
      <c r="H254" s="675"/>
      <c r="I254" s="686"/>
      <c r="J254" s="663"/>
      <c r="K254" s="675"/>
      <c r="L254" s="685"/>
      <c r="M254" s="510" t="s">
        <v>50</v>
      </c>
      <c r="N254" s="510" t="s">
        <v>611</v>
      </c>
      <c r="O254" s="532" t="s">
        <v>862</v>
      </c>
      <c r="P254" s="516">
        <v>43100</v>
      </c>
      <c r="Q254" s="510"/>
      <c r="R254" s="509" t="s">
        <v>51</v>
      </c>
      <c r="S254" s="516"/>
      <c r="T254" s="509"/>
      <c r="U254" s="557"/>
      <c r="V254" s="581" t="str">
        <f t="shared" si="132"/>
        <v>Oportuno</v>
      </c>
      <c r="W254" s="557"/>
      <c r="X254" s="241"/>
    </row>
    <row r="255" spans="1:24" ht="79.5" customHeight="1" x14ac:dyDescent="0.2">
      <c r="A255" s="509">
        <f>+A252+1</f>
        <v>162</v>
      </c>
      <c r="B255" s="510" t="s">
        <v>62</v>
      </c>
      <c r="C255" s="510" t="s">
        <v>191</v>
      </c>
      <c r="D255" s="511" t="s">
        <v>43</v>
      </c>
      <c r="E255" s="510" t="s">
        <v>0</v>
      </c>
      <c r="F255" s="512" t="s">
        <v>848</v>
      </c>
      <c r="G255" s="516">
        <v>42692</v>
      </c>
      <c r="H255" s="600" t="s">
        <v>851</v>
      </c>
      <c r="I255" s="512" t="s">
        <v>78</v>
      </c>
      <c r="J255" s="513" t="s">
        <v>133</v>
      </c>
      <c r="K255" s="221" t="s">
        <v>79</v>
      </c>
      <c r="L255" s="542">
        <v>42704</v>
      </c>
      <c r="M255" s="510" t="s">
        <v>50</v>
      </c>
      <c r="N255" s="510" t="s">
        <v>962</v>
      </c>
      <c r="O255" s="536" t="s">
        <v>963</v>
      </c>
      <c r="P255" s="516">
        <v>42794</v>
      </c>
      <c r="Q255" s="510"/>
      <c r="R255" s="509" t="s">
        <v>51</v>
      </c>
      <c r="S255" s="516"/>
      <c r="T255" s="509"/>
      <c r="U255" s="557"/>
      <c r="V255" s="581" t="str">
        <f t="shared" si="132"/>
        <v>Oportuno</v>
      </c>
      <c r="W255" s="557"/>
      <c r="X255" s="241"/>
    </row>
    <row r="256" spans="1:24" ht="70.5" customHeight="1" x14ac:dyDescent="0.2">
      <c r="A256" s="509">
        <f t="shared" si="134"/>
        <v>163</v>
      </c>
      <c r="B256" s="510" t="s">
        <v>62</v>
      </c>
      <c r="C256" s="510" t="s">
        <v>191</v>
      </c>
      <c r="D256" s="511" t="s">
        <v>43</v>
      </c>
      <c r="E256" s="510" t="s">
        <v>0</v>
      </c>
      <c r="F256" s="512" t="s">
        <v>848</v>
      </c>
      <c r="G256" s="516">
        <v>42692</v>
      </c>
      <c r="H256" s="600" t="s">
        <v>852</v>
      </c>
      <c r="I256" s="512" t="s">
        <v>78</v>
      </c>
      <c r="J256" s="513" t="s">
        <v>133</v>
      </c>
      <c r="K256" s="221" t="s">
        <v>79</v>
      </c>
      <c r="L256" s="542">
        <v>42704</v>
      </c>
      <c r="M256" s="510" t="s">
        <v>50</v>
      </c>
      <c r="N256" s="510" t="s">
        <v>962</v>
      </c>
      <c r="O256" s="558" t="s">
        <v>963</v>
      </c>
      <c r="P256" s="516">
        <v>42794</v>
      </c>
      <c r="Q256" s="510"/>
      <c r="R256" s="509" t="s">
        <v>51</v>
      </c>
      <c r="S256" s="516"/>
      <c r="T256" s="509"/>
      <c r="U256" s="557">
        <f t="shared" si="131"/>
        <v>13</v>
      </c>
      <c r="V256" s="581" t="str">
        <f t="shared" si="132"/>
        <v>Oportuno</v>
      </c>
      <c r="W256" s="557">
        <f t="shared" si="133"/>
        <v>-42179</v>
      </c>
      <c r="X256" s="241"/>
    </row>
    <row r="257" spans="1:24" ht="65.25" customHeight="1" x14ac:dyDescent="0.2">
      <c r="A257" s="509">
        <f t="shared" si="134"/>
        <v>164</v>
      </c>
      <c r="B257" s="510" t="s">
        <v>62</v>
      </c>
      <c r="C257" s="510" t="s">
        <v>191</v>
      </c>
      <c r="D257" s="511" t="s">
        <v>43</v>
      </c>
      <c r="E257" s="510" t="s">
        <v>0</v>
      </c>
      <c r="F257" s="512" t="s">
        <v>848</v>
      </c>
      <c r="G257" s="516">
        <v>42692</v>
      </c>
      <c r="H257" s="600" t="s">
        <v>853</v>
      </c>
      <c r="I257" s="512" t="s">
        <v>78</v>
      </c>
      <c r="J257" s="513" t="s">
        <v>133</v>
      </c>
      <c r="K257" s="221" t="s">
        <v>79</v>
      </c>
      <c r="L257" s="516">
        <v>42704</v>
      </c>
      <c r="M257" s="510" t="s">
        <v>104</v>
      </c>
      <c r="N257" s="510" t="s">
        <v>964</v>
      </c>
      <c r="O257" s="535" t="s">
        <v>863</v>
      </c>
      <c r="P257" s="516">
        <v>42794</v>
      </c>
      <c r="Q257" s="510"/>
      <c r="R257" s="509" t="s">
        <v>51</v>
      </c>
      <c r="S257" s="516"/>
      <c r="T257" s="509"/>
      <c r="U257" s="557">
        <f t="shared" si="131"/>
        <v>13</v>
      </c>
      <c r="V257" s="581" t="str">
        <f t="shared" si="132"/>
        <v>Oportuno</v>
      </c>
      <c r="W257" s="557"/>
      <c r="X257" s="241"/>
    </row>
    <row r="258" spans="1:24" ht="84.75" customHeight="1" x14ac:dyDescent="0.2">
      <c r="A258" s="509">
        <v>165</v>
      </c>
      <c r="B258" s="521" t="s">
        <v>62</v>
      </c>
      <c r="C258" s="521" t="s">
        <v>191</v>
      </c>
      <c r="D258" s="522" t="s">
        <v>43</v>
      </c>
      <c r="E258" s="521" t="s">
        <v>0</v>
      </c>
      <c r="F258" s="523" t="s">
        <v>848</v>
      </c>
      <c r="G258" s="520">
        <v>42692</v>
      </c>
      <c r="H258" s="600" t="s">
        <v>940</v>
      </c>
      <c r="I258" s="512" t="s">
        <v>78</v>
      </c>
      <c r="J258" s="513" t="s">
        <v>133</v>
      </c>
      <c r="K258" s="221" t="s">
        <v>80</v>
      </c>
      <c r="L258" s="520">
        <v>42704</v>
      </c>
      <c r="M258" s="510"/>
      <c r="N258" s="510"/>
      <c r="O258" s="535"/>
      <c r="P258" s="516"/>
      <c r="Q258" s="510"/>
      <c r="R258" s="509" t="s">
        <v>51</v>
      </c>
      <c r="S258" s="516"/>
      <c r="T258" s="509"/>
      <c r="U258" s="557">
        <f t="shared" si="131"/>
        <v>13</v>
      </c>
      <c r="V258" s="581" t="str">
        <f t="shared" si="132"/>
        <v>Oportuno</v>
      </c>
      <c r="W258" s="557"/>
      <c r="X258" s="241"/>
    </row>
    <row r="259" spans="1:24" ht="65.25" customHeight="1" x14ac:dyDescent="0.2">
      <c r="A259" s="509">
        <v>166</v>
      </c>
      <c r="B259" s="521" t="s">
        <v>62</v>
      </c>
      <c r="C259" s="521" t="s">
        <v>191</v>
      </c>
      <c r="D259" s="522" t="s">
        <v>43</v>
      </c>
      <c r="E259" s="521" t="s">
        <v>0</v>
      </c>
      <c r="F259" s="523" t="s">
        <v>848</v>
      </c>
      <c r="G259" s="520">
        <v>42692</v>
      </c>
      <c r="H259" s="600" t="s">
        <v>941</v>
      </c>
      <c r="I259" s="523" t="s">
        <v>78</v>
      </c>
      <c r="J259" s="518" t="s">
        <v>133</v>
      </c>
      <c r="K259" s="221" t="s">
        <v>80</v>
      </c>
      <c r="L259" s="520">
        <v>42704</v>
      </c>
      <c r="M259" s="510"/>
      <c r="N259" s="510"/>
      <c r="O259" s="535"/>
      <c r="P259" s="516"/>
      <c r="Q259" s="510"/>
      <c r="R259" s="509" t="s">
        <v>51</v>
      </c>
      <c r="S259" s="516"/>
      <c r="T259" s="509"/>
      <c r="U259" s="557">
        <f t="shared" si="131"/>
        <v>13</v>
      </c>
      <c r="V259" s="581" t="str">
        <f t="shared" si="132"/>
        <v>Oportuno</v>
      </c>
      <c r="W259" s="557"/>
      <c r="X259" s="241"/>
    </row>
    <row r="260" spans="1:24" ht="87.75" customHeight="1" x14ac:dyDescent="0.2">
      <c r="A260" s="509">
        <v>167</v>
      </c>
      <c r="B260" s="521" t="s">
        <v>62</v>
      </c>
      <c r="C260" s="521" t="s">
        <v>191</v>
      </c>
      <c r="D260" s="522" t="s">
        <v>43</v>
      </c>
      <c r="E260" s="521" t="s">
        <v>0</v>
      </c>
      <c r="F260" s="523" t="s">
        <v>848</v>
      </c>
      <c r="G260" s="520">
        <v>42692</v>
      </c>
      <c r="H260" s="600" t="s">
        <v>942</v>
      </c>
      <c r="I260" s="523" t="s">
        <v>78</v>
      </c>
      <c r="J260" s="518" t="s">
        <v>133</v>
      </c>
      <c r="K260" s="221" t="s">
        <v>80</v>
      </c>
      <c r="L260" s="520">
        <v>42704</v>
      </c>
      <c r="M260" s="510"/>
      <c r="N260" s="510"/>
      <c r="O260" s="535"/>
      <c r="P260" s="516"/>
      <c r="Q260" s="510"/>
      <c r="R260" s="509" t="s">
        <v>51</v>
      </c>
      <c r="S260" s="516"/>
      <c r="T260" s="509"/>
      <c r="U260" s="557">
        <f t="shared" ref="U260:U290" si="148">DAYS360(G260,L260,0)+1</f>
        <v>13</v>
      </c>
      <c r="V260" s="581" t="str">
        <f t="shared" ref="V260:V271" si="149">IF(U260&gt;15,"Inoportuno",(IF(U260&lt;0,"No ha formulado PM","Oportuno")))</f>
        <v>Oportuno</v>
      </c>
      <c r="W260" s="557"/>
      <c r="X260" s="241"/>
    </row>
    <row r="261" spans="1:24" ht="63" customHeight="1" x14ac:dyDescent="0.2">
      <c r="A261" s="509">
        <v>168</v>
      </c>
      <c r="B261" s="510" t="s">
        <v>62</v>
      </c>
      <c r="C261" s="510" t="s">
        <v>191</v>
      </c>
      <c r="D261" s="511" t="s">
        <v>43</v>
      </c>
      <c r="E261" s="510" t="s">
        <v>0</v>
      </c>
      <c r="F261" s="512" t="s">
        <v>848</v>
      </c>
      <c r="G261" s="516">
        <v>42692</v>
      </c>
      <c r="H261" s="600" t="s">
        <v>854</v>
      </c>
      <c r="I261" s="512" t="s">
        <v>78</v>
      </c>
      <c r="J261" s="513" t="s">
        <v>133</v>
      </c>
      <c r="K261" s="221" t="s">
        <v>79</v>
      </c>
      <c r="L261" s="516">
        <v>42704</v>
      </c>
      <c r="M261" s="510" t="s">
        <v>104</v>
      </c>
      <c r="N261" s="510" t="s">
        <v>964</v>
      </c>
      <c r="O261" s="532" t="s">
        <v>864</v>
      </c>
      <c r="P261" s="516">
        <v>42706</v>
      </c>
      <c r="Q261" s="510"/>
      <c r="R261" s="509" t="s">
        <v>51</v>
      </c>
      <c r="S261" s="516"/>
      <c r="T261" s="509"/>
      <c r="U261" s="557">
        <f t="shared" si="148"/>
        <v>13</v>
      </c>
      <c r="V261" s="581" t="str">
        <f t="shared" si="149"/>
        <v>Oportuno</v>
      </c>
      <c r="W261" s="557"/>
      <c r="X261" s="241"/>
    </row>
    <row r="262" spans="1:24" ht="84" customHeight="1" x14ac:dyDescent="0.2">
      <c r="A262" s="509">
        <f t="shared" si="134"/>
        <v>169</v>
      </c>
      <c r="B262" s="510" t="s">
        <v>62</v>
      </c>
      <c r="C262" s="510" t="s">
        <v>191</v>
      </c>
      <c r="D262" s="511" t="s">
        <v>43</v>
      </c>
      <c r="E262" s="510" t="s">
        <v>0</v>
      </c>
      <c r="F262" s="512" t="s">
        <v>848</v>
      </c>
      <c r="G262" s="516">
        <v>42692</v>
      </c>
      <c r="H262" s="600" t="s">
        <v>855</v>
      </c>
      <c r="I262" s="512" t="s">
        <v>78</v>
      </c>
      <c r="J262" s="513" t="s">
        <v>133</v>
      </c>
      <c r="K262" s="221" t="s">
        <v>79</v>
      </c>
      <c r="L262" s="516">
        <v>42794</v>
      </c>
      <c r="M262" s="510" t="s">
        <v>50</v>
      </c>
      <c r="N262" s="510" t="s">
        <v>372</v>
      </c>
      <c r="O262" s="532" t="s">
        <v>865</v>
      </c>
      <c r="P262" s="516">
        <v>42794</v>
      </c>
      <c r="Q262" s="510"/>
      <c r="R262" s="509" t="s">
        <v>51</v>
      </c>
      <c r="S262" s="516"/>
      <c r="T262" s="509"/>
      <c r="U262" s="557">
        <f t="shared" si="148"/>
        <v>101</v>
      </c>
      <c r="V262" s="581" t="str">
        <f t="shared" si="149"/>
        <v>Inoportuno</v>
      </c>
      <c r="W262" s="557"/>
      <c r="X262" s="241"/>
    </row>
    <row r="263" spans="1:24" ht="70.5" customHeight="1" x14ac:dyDescent="0.2">
      <c r="A263" s="509">
        <f t="shared" si="134"/>
        <v>170</v>
      </c>
      <c r="B263" s="510" t="s">
        <v>62</v>
      </c>
      <c r="C263" s="510" t="s">
        <v>191</v>
      </c>
      <c r="D263" s="511" t="s">
        <v>43</v>
      </c>
      <c r="E263" s="510" t="s">
        <v>0</v>
      </c>
      <c r="F263" s="512" t="s">
        <v>848</v>
      </c>
      <c r="G263" s="516">
        <v>42692</v>
      </c>
      <c r="H263" s="600" t="s">
        <v>856</v>
      </c>
      <c r="I263" s="512" t="s">
        <v>78</v>
      </c>
      <c r="J263" s="513" t="s">
        <v>133</v>
      </c>
      <c r="K263" s="221" t="s">
        <v>79</v>
      </c>
      <c r="L263" s="516">
        <v>43099</v>
      </c>
      <c r="M263" s="510" t="s">
        <v>50</v>
      </c>
      <c r="N263" s="510" t="s">
        <v>372</v>
      </c>
      <c r="O263" s="536" t="s">
        <v>866</v>
      </c>
      <c r="P263" s="516">
        <v>43099</v>
      </c>
      <c r="Q263" s="510"/>
      <c r="R263" s="509" t="s">
        <v>51</v>
      </c>
      <c r="S263" s="516"/>
      <c r="T263" s="509"/>
      <c r="U263" s="557">
        <f t="shared" si="148"/>
        <v>403</v>
      </c>
      <c r="V263" s="581" t="str">
        <f t="shared" si="149"/>
        <v>Inoportuno</v>
      </c>
      <c r="W263" s="557"/>
      <c r="X263" s="241"/>
    </row>
    <row r="264" spans="1:24" ht="112.5" customHeight="1" x14ac:dyDescent="0.2">
      <c r="A264" s="637">
        <v>171</v>
      </c>
      <c r="B264" s="639" t="s">
        <v>49</v>
      </c>
      <c r="C264" s="639" t="s">
        <v>191</v>
      </c>
      <c r="D264" s="646" t="s">
        <v>43</v>
      </c>
      <c r="E264" s="639" t="s">
        <v>0</v>
      </c>
      <c r="F264" s="676" t="s">
        <v>847</v>
      </c>
      <c r="G264" s="642">
        <v>42704</v>
      </c>
      <c r="H264" s="649" t="s">
        <v>857</v>
      </c>
      <c r="I264" s="676" t="s">
        <v>78</v>
      </c>
      <c r="J264" s="653" t="s">
        <v>133</v>
      </c>
      <c r="K264" s="649" t="s">
        <v>79</v>
      </c>
      <c r="L264" s="642">
        <v>42725</v>
      </c>
      <c r="M264" s="477" t="s">
        <v>50</v>
      </c>
      <c r="N264" s="477" t="s">
        <v>116</v>
      </c>
      <c r="O264" s="536" t="s">
        <v>867</v>
      </c>
      <c r="P264" s="482">
        <v>42735</v>
      </c>
      <c r="Q264" s="477"/>
      <c r="R264" s="478" t="s">
        <v>51</v>
      </c>
      <c r="S264" s="482"/>
      <c r="T264" s="478"/>
      <c r="U264" s="557">
        <f t="shared" si="148"/>
        <v>22</v>
      </c>
      <c r="V264" s="581" t="str">
        <f t="shared" si="149"/>
        <v>Inoportuno</v>
      </c>
      <c r="W264" s="484"/>
      <c r="X264" s="485"/>
    </row>
    <row r="265" spans="1:24" ht="112.5" customHeight="1" x14ac:dyDescent="0.2">
      <c r="A265" s="638"/>
      <c r="B265" s="640"/>
      <c r="C265" s="640"/>
      <c r="D265" s="648"/>
      <c r="E265" s="640"/>
      <c r="F265" s="678"/>
      <c r="G265" s="644"/>
      <c r="H265" s="650"/>
      <c r="I265" s="678"/>
      <c r="J265" s="654"/>
      <c r="K265" s="650"/>
      <c r="L265" s="644"/>
      <c r="M265" s="505" t="s">
        <v>104</v>
      </c>
      <c r="N265" s="505" t="s">
        <v>116</v>
      </c>
      <c r="O265" s="536" t="s">
        <v>912</v>
      </c>
      <c r="P265" s="507">
        <v>42734</v>
      </c>
      <c r="Q265" s="505"/>
      <c r="R265" s="508" t="s">
        <v>51</v>
      </c>
      <c r="S265" s="507"/>
      <c r="T265" s="508"/>
      <c r="U265" s="557">
        <f t="shared" si="148"/>
        <v>1</v>
      </c>
      <c r="V265" s="581" t="str">
        <f t="shared" si="149"/>
        <v>Oportuno</v>
      </c>
      <c r="W265" s="515"/>
      <c r="X265" s="514"/>
    </row>
    <row r="266" spans="1:24" ht="78" customHeight="1" x14ac:dyDescent="0.2">
      <c r="A266" s="637">
        <f>+A264+1</f>
        <v>172</v>
      </c>
      <c r="B266" s="639" t="s">
        <v>49</v>
      </c>
      <c r="C266" s="639" t="s">
        <v>191</v>
      </c>
      <c r="D266" s="646" t="s">
        <v>43</v>
      </c>
      <c r="E266" s="639" t="s">
        <v>0</v>
      </c>
      <c r="F266" s="676" t="s">
        <v>847</v>
      </c>
      <c r="G266" s="642">
        <v>42704</v>
      </c>
      <c r="H266" s="649" t="s">
        <v>858</v>
      </c>
      <c r="I266" s="676" t="s">
        <v>78</v>
      </c>
      <c r="J266" s="653" t="s">
        <v>133</v>
      </c>
      <c r="K266" s="649" t="s">
        <v>79</v>
      </c>
      <c r="L266" s="642">
        <v>42730</v>
      </c>
      <c r="M266" s="477" t="s">
        <v>50</v>
      </c>
      <c r="N266" s="477" t="s">
        <v>116</v>
      </c>
      <c r="O266" s="536" t="s">
        <v>868</v>
      </c>
      <c r="P266" s="482">
        <v>42794</v>
      </c>
      <c r="Q266" s="477"/>
      <c r="R266" s="478" t="s">
        <v>51</v>
      </c>
      <c r="S266" s="482"/>
      <c r="T266" s="478"/>
      <c r="U266" s="557">
        <f t="shared" si="148"/>
        <v>27</v>
      </c>
      <c r="V266" s="581" t="str">
        <f t="shared" si="149"/>
        <v>Inoportuno</v>
      </c>
      <c r="W266" s="484"/>
      <c r="X266" s="485"/>
    </row>
    <row r="267" spans="1:24" ht="55.5" customHeight="1" x14ac:dyDescent="0.2">
      <c r="A267" s="638"/>
      <c r="B267" s="640"/>
      <c r="C267" s="640"/>
      <c r="D267" s="648"/>
      <c r="E267" s="640"/>
      <c r="F267" s="678"/>
      <c r="G267" s="644"/>
      <c r="H267" s="650"/>
      <c r="I267" s="678"/>
      <c r="J267" s="654"/>
      <c r="K267" s="650"/>
      <c r="L267" s="644"/>
      <c r="M267" s="505" t="s">
        <v>104</v>
      </c>
      <c r="N267" s="505" t="s">
        <v>116</v>
      </c>
      <c r="O267" s="536" t="s">
        <v>913</v>
      </c>
      <c r="P267" s="507">
        <v>42794</v>
      </c>
      <c r="Q267" s="505"/>
      <c r="R267" s="508" t="s">
        <v>51</v>
      </c>
      <c r="S267" s="507"/>
      <c r="T267" s="508"/>
      <c r="U267" s="557">
        <f t="shared" si="148"/>
        <v>1</v>
      </c>
      <c r="V267" s="581" t="str">
        <f t="shared" si="149"/>
        <v>Oportuno</v>
      </c>
      <c r="W267" s="515"/>
      <c r="X267" s="514"/>
    </row>
    <row r="268" spans="1:24" ht="88.5" customHeight="1" x14ac:dyDescent="0.2">
      <c r="A268" s="637">
        <f>+A266+1</f>
        <v>173</v>
      </c>
      <c r="B268" s="639" t="s">
        <v>49</v>
      </c>
      <c r="C268" s="639" t="s">
        <v>191</v>
      </c>
      <c r="D268" s="646" t="s">
        <v>43</v>
      </c>
      <c r="E268" s="639" t="s">
        <v>0</v>
      </c>
      <c r="F268" s="676" t="s">
        <v>847</v>
      </c>
      <c r="G268" s="642">
        <v>42704</v>
      </c>
      <c r="H268" s="649" t="s">
        <v>859</v>
      </c>
      <c r="I268" s="676" t="s">
        <v>78</v>
      </c>
      <c r="J268" s="653" t="s">
        <v>133</v>
      </c>
      <c r="K268" s="649" t="s">
        <v>79</v>
      </c>
      <c r="L268" s="642">
        <v>42730</v>
      </c>
      <c r="M268" s="477" t="s">
        <v>50</v>
      </c>
      <c r="N268" s="639" t="s">
        <v>116</v>
      </c>
      <c r="O268" s="536" t="s">
        <v>869</v>
      </c>
      <c r="P268" s="482">
        <v>42766</v>
      </c>
      <c r="Q268" s="477"/>
      <c r="R268" s="478" t="s">
        <v>51</v>
      </c>
      <c r="S268" s="482"/>
      <c r="T268" s="561" t="s">
        <v>969</v>
      </c>
      <c r="U268" s="557">
        <f t="shared" si="148"/>
        <v>27</v>
      </c>
      <c r="V268" s="581" t="str">
        <f t="shared" si="149"/>
        <v>Inoportuno</v>
      </c>
      <c r="W268" s="484"/>
      <c r="X268" s="485"/>
    </row>
    <row r="269" spans="1:24" ht="30" customHeight="1" x14ac:dyDescent="0.2">
      <c r="A269" s="638"/>
      <c r="B269" s="640"/>
      <c r="C269" s="640"/>
      <c r="D269" s="648"/>
      <c r="E269" s="640"/>
      <c r="F269" s="678"/>
      <c r="G269" s="644"/>
      <c r="H269" s="650"/>
      <c r="I269" s="678"/>
      <c r="J269" s="654"/>
      <c r="K269" s="650"/>
      <c r="L269" s="644"/>
      <c r="M269" s="477" t="s">
        <v>104</v>
      </c>
      <c r="N269" s="640"/>
      <c r="O269" s="506" t="s">
        <v>914</v>
      </c>
      <c r="P269" s="482">
        <v>42766</v>
      </c>
      <c r="Q269" s="477"/>
      <c r="R269" s="478" t="s">
        <v>51</v>
      </c>
      <c r="S269" s="482"/>
      <c r="T269" s="478"/>
      <c r="U269" s="557">
        <f t="shared" si="148"/>
        <v>1</v>
      </c>
      <c r="V269" s="581" t="str">
        <f t="shared" si="149"/>
        <v>Oportuno</v>
      </c>
      <c r="W269" s="484"/>
      <c r="X269" s="485"/>
    </row>
    <row r="270" spans="1:24" ht="47.25" customHeight="1" x14ac:dyDescent="0.2">
      <c r="A270" s="478">
        <v>174</v>
      </c>
      <c r="B270" s="477" t="s">
        <v>65</v>
      </c>
      <c r="C270" s="477" t="s">
        <v>773</v>
      </c>
      <c r="D270" s="479" t="s">
        <v>43</v>
      </c>
      <c r="E270" s="486" t="s">
        <v>0</v>
      </c>
      <c r="F270" s="480"/>
      <c r="G270" s="482">
        <v>42704</v>
      </c>
      <c r="H270" s="576" t="s">
        <v>965</v>
      </c>
      <c r="I270" s="480" t="s">
        <v>78</v>
      </c>
      <c r="J270" s="481" t="s">
        <v>133</v>
      </c>
      <c r="K270" s="159" t="s">
        <v>79</v>
      </c>
      <c r="L270" s="482">
        <v>42706</v>
      </c>
      <c r="M270" s="477" t="s">
        <v>50</v>
      </c>
      <c r="N270" s="477" t="s">
        <v>65</v>
      </c>
      <c r="O270" s="519" t="s">
        <v>967</v>
      </c>
      <c r="P270" s="482">
        <v>42766</v>
      </c>
      <c r="Q270" s="477"/>
      <c r="R270" s="478" t="s">
        <v>51</v>
      </c>
      <c r="S270" s="482"/>
      <c r="T270" s="478"/>
      <c r="U270" s="557">
        <f t="shared" si="148"/>
        <v>3</v>
      </c>
      <c r="V270" s="581" t="str">
        <f t="shared" si="149"/>
        <v>Oportuno</v>
      </c>
      <c r="W270" s="484"/>
      <c r="X270" s="485"/>
    </row>
    <row r="271" spans="1:24" ht="45.75" customHeight="1" x14ac:dyDescent="0.2">
      <c r="A271" s="478">
        <f t="shared" si="134"/>
        <v>175</v>
      </c>
      <c r="B271" s="477" t="s">
        <v>65</v>
      </c>
      <c r="C271" s="477" t="s">
        <v>773</v>
      </c>
      <c r="D271" s="479" t="s">
        <v>43</v>
      </c>
      <c r="E271" s="486" t="s">
        <v>0</v>
      </c>
      <c r="F271" s="480"/>
      <c r="G271" s="482">
        <v>42704</v>
      </c>
      <c r="H271" s="576" t="s">
        <v>966</v>
      </c>
      <c r="I271" s="480" t="s">
        <v>78</v>
      </c>
      <c r="J271" s="481" t="s">
        <v>133</v>
      </c>
      <c r="K271" s="159" t="s">
        <v>79</v>
      </c>
      <c r="L271" s="482">
        <v>42706</v>
      </c>
      <c r="M271" s="477" t="s">
        <v>50</v>
      </c>
      <c r="N271" s="517" t="s">
        <v>65</v>
      </c>
      <c r="O271" s="519" t="s">
        <v>968</v>
      </c>
      <c r="P271" s="482">
        <v>42719</v>
      </c>
      <c r="Q271" s="477"/>
      <c r="R271" s="478" t="s">
        <v>51</v>
      </c>
      <c r="S271" s="482"/>
      <c r="T271" s="478"/>
      <c r="U271" s="557">
        <f t="shared" si="148"/>
        <v>3</v>
      </c>
      <c r="V271" s="581" t="str">
        <f t="shared" si="149"/>
        <v>Oportuno</v>
      </c>
      <c r="W271" s="484"/>
      <c r="X271" s="485"/>
    </row>
    <row r="272" spans="1:24" x14ac:dyDescent="0.2">
      <c r="A272" s="478">
        <f t="shared" si="134"/>
        <v>176</v>
      </c>
      <c r="B272" s="477"/>
      <c r="C272" s="477"/>
      <c r="D272" s="479"/>
      <c r="E272" s="486"/>
      <c r="F272" s="480"/>
      <c r="G272" s="482"/>
      <c r="H272" s="506"/>
      <c r="I272" s="480"/>
      <c r="J272" s="481"/>
      <c r="K272" s="159"/>
      <c r="L272" s="482"/>
      <c r="M272" s="477"/>
      <c r="N272" s="477"/>
      <c r="O272" s="506"/>
      <c r="P272" s="482"/>
      <c r="Q272" s="477"/>
      <c r="R272" s="478"/>
      <c r="S272" s="482"/>
      <c r="T272" s="478"/>
      <c r="U272" s="557">
        <f t="shared" si="148"/>
        <v>1</v>
      </c>
      <c r="V272" s="581"/>
      <c r="W272" s="484"/>
      <c r="X272" s="485"/>
    </row>
    <row r="273" spans="1:24" x14ac:dyDescent="0.2">
      <c r="A273" s="478">
        <f t="shared" si="134"/>
        <v>177</v>
      </c>
      <c r="B273" s="477"/>
      <c r="C273" s="477"/>
      <c r="D273" s="479"/>
      <c r="E273" s="486"/>
      <c r="F273" s="480"/>
      <c r="G273" s="482"/>
      <c r="H273" s="506"/>
      <c r="I273" s="480"/>
      <c r="J273" s="481"/>
      <c r="K273" s="159"/>
      <c r="L273" s="482"/>
      <c r="M273" s="477"/>
      <c r="N273" s="477"/>
      <c r="O273" s="506"/>
      <c r="P273" s="482"/>
      <c r="Q273" s="477"/>
      <c r="R273" s="478"/>
      <c r="S273" s="482"/>
      <c r="T273" s="478"/>
      <c r="U273" s="557">
        <f t="shared" si="148"/>
        <v>1</v>
      </c>
      <c r="V273" s="581"/>
      <c r="W273" s="484"/>
      <c r="X273" s="485"/>
    </row>
    <row r="274" spans="1:24" x14ac:dyDescent="0.2">
      <c r="A274" s="478">
        <f t="shared" si="134"/>
        <v>178</v>
      </c>
      <c r="B274" s="477"/>
      <c r="C274" s="477"/>
      <c r="D274" s="479"/>
      <c r="E274" s="486"/>
      <c r="F274" s="480"/>
      <c r="G274" s="482"/>
      <c r="H274" s="506"/>
      <c r="I274" s="480"/>
      <c r="J274" s="481"/>
      <c r="K274" s="159"/>
      <c r="L274" s="482"/>
      <c r="M274" s="477"/>
      <c r="N274" s="477"/>
      <c r="O274" s="506"/>
      <c r="P274" s="482"/>
      <c r="Q274" s="477"/>
      <c r="R274" s="478"/>
      <c r="S274" s="482"/>
      <c r="T274" s="478"/>
      <c r="U274" s="557">
        <f t="shared" si="148"/>
        <v>1</v>
      </c>
      <c r="V274" s="581"/>
      <c r="W274" s="484"/>
      <c r="X274" s="485"/>
    </row>
    <row r="275" spans="1:24" x14ac:dyDescent="0.2">
      <c r="A275" s="492">
        <f t="shared" si="134"/>
        <v>179</v>
      </c>
      <c r="B275" s="477"/>
      <c r="C275" s="477"/>
      <c r="D275" s="479"/>
      <c r="E275" s="486"/>
      <c r="F275" s="480"/>
      <c r="G275" s="482"/>
      <c r="H275" s="506"/>
      <c r="I275" s="480"/>
      <c r="J275" s="481"/>
      <c r="K275" s="159"/>
      <c r="L275" s="482"/>
      <c r="M275" s="477"/>
      <c r="N275" s="477"/>
      <c r="O275" s="506"/>
      <c r="P275" s="482"/>
      <c r="Q275" s="477"/>
      <c r="R275" s="478"/>
      <c r="S275" s="482"/>
      <c r="T275" s="478"/>
      <c r="U275" s="557">
        <f t="shared" si="148"/>
        <v>1</v>
      </c>
      <c r="V275" s="581"/>
      <c r="W275" s="484"/>
      <c r="X275" s="485"/>
    </row>
    <row r="276" spans="1:24" x14ac:dyDescent="0.2">
      <c r="A276" s="492">
        <f t="shared" si="134"/>
        <v>180</v>
      </c>
      <c r="B276" s="487"/>
      <c r="C276" s="487"/>
      <c r="D276" s="491"/>
      <c r="E276" s="493"/>
      <c r="F276" s="489"/>
      <c r="G276" s="490"/>
      <c r="H276" s="506"/>
      <c r="I276" s="489"/>
      <c r="J276" s="488"/>
      <c r="K276" s="159"/>
      <c r="L276" s="490"/>
      <c r="M276" s="487"/>
      <c r="N276" s="487"/>
      <c r="O276" s="506"/>
      <c r="P276" s="490"/>
      <c r="Q276" s="487"/>
      <c r="R276" s="492"/>
      <c r="S276" s="490"/>
      <c r="T276" s="492"/>
      <c r="U276" s="557">
        <f t="shared" si="148"/>
        <v>1</v>
      </c>
      <c r="V276" s="581"/>
      <c r="W276" s="497"/>
      <c r="X276" s="495"/>
    </row>
    <row r="277" spans="1:24" x14ac:dyDescent="0.2">
      <c r="A277" s="492">
        <f t="shared" si="134"/>
        <v>181</v>
      </c>
      <c r="B277" s="487"/>
      <c r="C277" s="487"/>
      <c r="D277" s="491"/>
      <c r="E277" s="493"/>
      <c r="F277" s="489"/>
      <c r="G277" s="490"/>
      <c r="H277" s="506"/>
      <c r="I277" s="489"/>
      <c r="J277" s="488"/>
      <c r="K277" s="159"/>
      <c r="L277" s="490"/>
      <c r="M277" s="487"/>
      <c r="N277" s="487"/>
      <c r="O277" s="506"/>
      <c r="P277" s="490"/>
      <c r="Q277" s="487"/>
      <c r="R277" s="492"/>
      <c r="S277" s="490"/>
      <c r="T277" s="492"/>
      <c r="U277" s="557">
        <f t="shared" si="148"/>
        <v>1</v>
      </c>
      <c r="V277" s="581"/>
      <c r="W277" s="497"/>
      <c r="X277" s="495"/>
    </row>
    <row r="278" spans="1:24" x14ac:dyDescent="0.2">
      <c r="A278" s="492">
        <f t="shared" si="134"/>
        <v>182</v>
      </c>
      <c r="B278" s="487"/>
      <c r="C278" s="487"/>
      <c r="D278" s="491"/>
      <c r="E278" s="493"/>
      <c r="F278" s="489"/>
      <c r="G278" s="490"/>
      <c r="H278" s="506"/>
      <c r="I278" s="489"/>
      <c r="J278" s="488"/>
      <c r="K278" s="159"/>
      <c r="L278" s="490"/>
      <c r="M278" s="487"/>
      <c r="N278" s="487"/>
      <c r="O278" s="506"/>
      <c r="P278" s="490"/>
      <c r="Q278" s="487"/>
      <c r="R278" s="492"/>
      <c r="S278" s="490"/>
      <c r="T278" s="492"/>
      <c r="U278" s="557">
        <f t="shared" si="148"/>
        <v>1</v>
      </c>
      <c r="V278" s="581"/>
      <c r="W278" s="497"/>
      <c r="X278" s="495"/>
    </row>
    <row r="279" spans="1:24" x14ac:dyDescent="0.2">
      <c r="A279" s="492">
        <f t="shared" si="134"/>
        <v>183</v>
      </c>
      <c r="B279" s="487"/>
      <c r="C279" s="487"/>
      <c r="D279" s="491"/>
      <c r="E279" s="493"/>
      <c r="F279" s="489"/>
      <c r="G279" s="490"/>
      <c r="H279" s="506"/>
      <c r="I279" s="489"/>
      <c r="J279" s="488"/>
      <c r="K279" s="159"/>
      <c r="L279" s="490"/>
      <c r="M279" s="487"/>
      <c r="N279" s="487"/>
      <c r="O279" s="506"/>
      <c r="P279" s="490"/>
      <c r="Q279" s="487"/>
      <c r="R279" s="492"/>
      <c r="S279" s="490"/>
      <c r="T279" s="492"/>
      <c r="U279" s="557">
        <f t="shared" si="148"/>
        <v>1</v>
      </c>
      <c r="V279" s="496"/>
      <c r="W279" s="497"/>
      <c r="X279" s="495"/>
    </row>
    <row r="280" spans="1:24" x14ac:dyDescent="0.2">
      <c r="A280" s="492">
        <f t="shared" si="134"/>
        <v>184</v>
      </c>
      <c r="B280" s="477"/>
      <c r="C280" s="477"/>
      <c r="D280" s="479"/>
      <c r="E280" s="486"/>
      <c r="F280" s="480"/>
      <c r="G280" s="482"/>
      <c r="H280" s="506"/>
      <c r="I280" s="480"/>
      <c r="J280" s="481"/>
      <c r="K280" s="159"/>
      <c r="L280" s="482"/>
      <c r="M280" s="477"/>
      <c r="N280" s="477"/>
      <c r="O280" s="506"/>
      <c r="P280" s="482"/>
      <c r="Q280" s="477"/>
      <c r="R280" s="478"/>
      <c r="S280" s="482"/>
      <c r="T280" s="478"/>
      <c r="U280" s="557">
        <f t="shared" si="148"/>
        <v>1</v>
      </c>
      <c r="V280" s="483"/>
      <c r="W280" s="484"/>
      <c r="X280" s="485"/>
    </row>
    <row r="281" spans="1:24" x14ac:dyDescent="0.2">
      <c r="A281" s="492">
        <f t="shared" si="134"/>
        <v>185</v>
      </c>
      <c r="B281" s="477"/>
      <c r="C281" s="477"/>
      <c r="D281" s="479"/>
      <c r="E281" s="486"/>
      <c r="F281" s="480"/>
      <c r="G281" s="482"/>
      <c r="H281" s="506"/>
      <c r="I281" s="480"/>
      <c r="J281" s="481"/>
      <c r="K281" s="159"/>
      <c r="L281" s="482"/>
      <c r="M281" s="477"/>
      <c r="N281" s="477"/>
      <c r="O281" s="506"/>
      <c r="P281" s="482"/>
      <c r="Q281" s="477"/>
      <c r="R281" s="478"/>
      <c r="S281" s="482"/>
      <c r="T281" s="478"/>
      <c r="U281" s="557">
        <f t="shared" si="148"/>
        <v>1</v>
      </c>
      <c r="V281" s="483"/>
      <c r="W281" s="484"/>
      <c r="X281" s="485"/>
    </row>
    <row r="282" spans="1:24" ht="16.5" customHeight="1" x14ac:dyDescent="0.2">
      <c r="A282" s="492">
        <f t="shared" si="134"/>
        <v>186</v>
      </c>
      <c r="B282" s="487"/>
      <c r="C282" s="487"/>
      <c r="D282" s="491"/>
      <c r="E282" s="493"/>
      <c r="F282" s="480"/>
      <c r="G282" s="490"/>
      <c r="H282" s="544"/>
      <c r="I282" s="489"/>
      <c r="J282" s="494"/>
      <c r="K282" s="159"/>
      <c r="L282" s="490"/>
      <c r="M282" s="487"/>
      <c r="N282" s="487"/>
      <c r="O282" s="506"/>
      <c r="P282" s="490"/>
      <c r="Q282" s="487"/>
      <c r="R282" s="492"/>
      <c r="S282" s="490"/>
      <c r="T282" s="492"/>
      <c r="U282" s="557">
        <f t="shared" si="148"/>
        <v>1</v>
      </c>
      <c r="V282" s="496"/>
      <c r="W282" s="497"/>
      <c r="X282" s="485"/>
    </row>
    <row r="283" spans="1:24" x14ac:dyDescent="0.2">
      <c r="A283" s="492">
        <f t="shared" si="134"/>
        <v>187</v>
      </c>
      <c r="B283" s="477"/>
      <c r="C283" s="477"/>
      <c r="D283" s="479"/>
      <c r="E283" s="486"/>
      <c r="F283" s="480"/>
      <c r="G283" s="482"/>
      <c r="H283" s="506"/>
      <c r="I283" s="480"/>
      <c r="J283" s="481"/>
      <c r="K283" s="159"/>
      <c r="L283" s="482"/>
      <c r="M283" s="477"/>
      <c r="N283" s="477"/>
      <c r="O283" s="506"/>
      <c r="P283" s="482"/>
      <c r="Q283" s="477"/>
      <c r="R283" s="478"/>
      <c r="S283" s="482"/>
      <c r="T283" s="478"/>
      <c r="U283" s="557">
        <f t="shared" si="148"/>
        <v>1</v>
      </c>
      <c r="V283" s="496"/>
      <c r="W283" s="497"/>
      <c r="X283" s="485"/>
    </row>
    <row r="284" spans="1:24" x14ac:dyDescent="0.2">
      <c r="A284" s="492">
        <f t="shared" si="134"/>
        <v>188</v>
      </c>
      <c r="B284" s="477"/>
      <c r="C284" s="477"/>
      <c r="D284" s="479"/>
      <c r="E284" s="486"/>
      <c r="F284" s="480"/>
      <c r="G284" s="482"/>
      <c r="H284" s="506"/>
      <c r="I284" s="480"/>
      <c r="J284" s="481"/>
      <c r="K284" s="159"/>
      <c r="L284" s="482"/>
      <c r="M284" s="477"/>
      <c r="N284" s="477"/>
      <c r="O284" s="506"/>
      <c r="P284" s="482"/>
      <c r="Q284" s="477"/>
      <c r="R284" s="478"/>
      <c r="S284" s="482"/>
      <c r="T284" s="478"/>
      <c r="U284" s="557">
        <f t="shared" si="148"/>
        <v>1</v>
      </c>
      <c r="V284" s="496"/>
      <c r="W284" s="497"/>
      <c r="X284" s="485"/>
    </row>
    <row r="285" spans="1:24" x14ac:dyDescent="0.2">
      <c r="A285" s="492">
        <f t="shared" si="134"/>
        <v>189</v>
      </c>
      <c r="B285" s="364"/>
      <c r="C285" s="364"/>
      <c r="D285" s="362"/>
      <c r="E285" s="372"/>
      <c r="F285" s="365"/>
      <c r="G285" s="46"/>
      <c r="H285" s="506"/>
      <c r="I285" s="365"/>
      <c r="J285" s="366"/>
      <c r="K285" s="159"/>
      <c r="L285" s="46"/>
      <c r="M285" s="364"/>
      <c r="N285" s="364"/>
      <c r="O285" s="506"/>
      <c r="P285" s="46"/>
      <c r="Q285" s="364"/>
      <c r="R285" s="368"/>
      <c r="S285" s="46"/>
      <c r="T285" s="368"/>
      <c r="U285" s="557">
        <f t="shared" si="148"/>
        <v>1</v>
      </c>
      <c r="V285" s="496"/>
      <c r="W285" s="497"/>
      <c r="X285" s="375"/>
    </row>
    <row r="286" spans="1:24" x14ac:dyDescent="0.2">
      <c r="A286" s="492">
        <f t="shared" si="134"/>
        <v>190</v>
      </c>
      <c r="B286" s="477"/>
      <c r="C286" s="477"/>
      <c r="D286" s="479"/>
      <c r="E286" s="486"/>
      <c r="F286" s="480"/>
      <c r="G286" s="482"/>
      <c r="H286" s="506"/>
      <c r="I286" s="480"/>
      <c r="J286" s="481"/>
      <c r="K286" s="159"/>
      <c r="L286" s="482"/>
      <c r="M286" s="477"/>
      <c r="N286" s="477"/>
      <c r="O286" s="506"/>
      <c r="P286" s="482"/>
      <c r="Q286" s="477"/>
      <c r="R286" s="478"/>
      <c r="S286" s="482"/>
      <c r="T286" s="478"/>
      <c r="U286" s="557">
        <f t="shared" si="148"/>
        <v>1</v>
      </c>
      <c r="V286" s="496"/>
      <c r="W286" s="497"/>
      <c r="X286" s="485"/>
    </row>
    <row r="287" spans="1:24" x14ac:dyDescent="0.2">
      <c r="A287" s="492">
        <f t="shared" si="134"/>
        <v>191</v>
      </c>
      <c r="B287" s="477"/>
      <c r="C287" s="477"/>
      <c r="D287" s="479"/>
      <c r="E287" s="486"/>
      <c r="F287" s="480"/>
      <c r="G287" s="482"/>
      <c r="H287" s="506"/>
      <c r="I287" s="480"/>
      <c r="J287" s="481"/>
      <c r="K287" s="159"/>
      <c r="L287" s="482"/>
      <c r="M287" s="477"/>
      <c r="N287" s="477"/>
      <c r="O287" s="506"/>
      <c r="P287" s="482"/>
      <c r="Q287" s="477"/>
      <c r="R287" s="478"/>
      <c r="S287" s="482"/>
      <c r="T287" s="478"/>
      <c r="U287" s="557">
        <f t="shared" si="148"/>
        <v>1</v>
      </c>
      <c r="V287" s="496"/>
      <c r="W287" s="497"/>
      <c r="X287" s="485"/>
    </row>
    <row r="288" spans="1:24" x14ac:dyDescent="0.2">
      <c r="A288" s="492">
        <f t="shared" si="134"/>
        <v>192</v>
      </c>
      <c r="B288" s="477"/>
      <c r="C288" s="477"/>
      <c r="D288" s="479"/>
      <c r="E288" s="486"/>
      <c r="F288" s="480"/>
      <c r="G288" s="482"/>
      <c r="H288" s="506"/>
      <c r="I288" s="480"/>
      <c r="J288" s="481"/>
      <c r="K288" s="159"/>
      <c r="L288" s="482"/>
      <c r="M288" s="477"/>
      <c r="N288" s="477"/>
      <c r="O288" s="506"/>
      <c r="P288" s="482"/>
      <c r="Q288" s="477"/>
      <c r="R288" s="478"/>
      <c r="S288" s="482"/>
      <c r="T288" s="478"/>
      <c r="U288" s="557">
        <f t="shared" si="148"/>
        <v>1</v>
      </c>
      <c r="V288" s="496"/>
      <c r="W288" s="497"/>
      <c r="X288" s="485"/>
    </row>
    <row r="289" spans="1:31" x14ac:dyDescent="0.2">
      <c r="A289" s="492">
        <f t="shared" si="134"/>
        <v>193</v>
      </c>
      <c r="B289" s="477"/>
      <c r="C289" s="477"/>
      <c r="D289" s="479"/>
      <c r="E289" s="486"/>
      <c r="F289" s="480"/>
      <c r="G289" s="482"/>
      <c r="H289" s="506"/>
      <c r="I289" s="480"/>
      <c r="J289" s="481"/>
      <c r="K289" s="159"/>
      <c r="L289" s="482"/>
      <c r="M289" s="477"/>
      <c r="N289" s="477"/>
      <c r="O289" s="506"/>
      <c r="P289" s="482"/>
      <c r="Q289" s="477"/>
      <c r="R289" s="478"/>
      <c r="S289" s="482"/>
      <c r="T289" s="478"/>
      <c r="U289" s="557">
        <f t="shared" si="148"/>
        <v>1</v>
      </c>
      <c r="V289" s="496"/>
      <c r="W289" s="497"/>
      <c r="X289" s="485"/>
    </row>
    <row r="290" spans="1:31" x14ac:dyDescent="0.2">
      <c r="A290" s="368"/>
      <c r="B290" s="53"/>
      <c r="C290" s="53"/>
      <c r="D290" s="385"/>
      <c r="E290" s="372"/>
      <c r="F290" s="365"/>
      <c r="G290" s="46"/>
      <c r="H290" s="506"/>
      <c r="I290" s="365"/>
      <c r="J290" s="374"/>
      <c r="K290" s="566"/>
      <c r="L290" s="46"/>
      <c r="M290" s="364"/>
      <c r="N290" s="364"/>
      <c r="O290" s="506"/>
      <c r="P290" s="46"/>
      <c r="Q290" s="364"/>
      <c r="R290" s="368"/>
      <c r="S290" s="46"/>
      <c r="T290" s="368"/>
      <c r="U290" s="557">
        <f t="shared" si="148"/>
        <v>1</v>
      </c>
      <c r="V290" s="497"/>
      <c r="W290" s="497"/>
      <c r="X290" s="375"/>
    </row>
    <row r="291" spans="1:31" x14ac:dyDescent="0.2">
      <c r="B291" s="407" t="s">
        <v>81</v>
      </c>
      <c r="W291" s="384"/>
    </row>
    <row r="292" spans="1:31" x14ac:dyDescent="0.2">
      <c r="B292" s="408"/>
      <c r="C292" s="32" t="s">
        <v>202</v>
      </c>
    </row>
    <row r="293" spans="1:31" ht="15.75" customHeight="1" thickBot="1" x14ac:dyDescent="0.25">
      <c r="C293" s="470" t="s">
        <v>129</v>
      </c>
      <c r="D293" s="470"/>
      <c r="E293" s="470"/>
      <c r="F293" s="470"/>
      <c r="G293" s="470"/>
      <c r="H293" s="545"/>
      <c r="I293" s="470"/>
      <c r="J293" s="470"/>
      <c r="K293" s="568"/>
      <c r="L293" s="470"/>
      <c r="Q293" s="696"/>
      <c r="R293" s="696"/>
      <c r="S293" s="696"/>
      <c r="T293" s="696"/>
      <c r="U293" s="696"/>
      <c r="V293" s="696"/>
      <c r="W293" s="696"/>
      <c r="Y293" s="32">
        <f>COUNTIF(X4:X140,"X")</f>
        <v>137</v>
      </c>
    </row>
    <row r="294" spans="1:31" ht="15.75" x14ac:dyDescent="0.2">
      <c r="C294" s="626" t="s">
        <v>83</v>
      </c>
      <c r="D294" s="627"/>
      <c r="E294" s="691" t="s">
        <v>3</v>
      </c>
      <c r="F294" s="692"/>
      <c r="G294" s="165"/>
      <c r="H294" s="193" t="s">
        <v>84</v>
      </c>
      <c r="I294" s="257" t="s">
        <v>43</v>
      </c>
      <c r="J294" s="60" t="s">
        <v>44</v>
      </c>
      <c r="K294" s="253" t="s">
        <v>46</v>
      </c>
      <c r="L294" s="61" t="s">
        <v>184</v>
      </c>
      <c r="P294" s="165"/>
      <c r="Q294" s="165"/>
      <c r="R294" s="166"/>
      <c r="S294" s="166"/>
      <c r="T294" s="167"/>
      <c r="U294" s="165"/>
      <c r="V294" s="165"/>
      <c r="W294" s="431"/>
      <c r="X294" s="166"/>
    </row>
    <row r="295" spans="1:31" x14ac:dyDescent="0.2">
      <c r="C295" s="432" t="s">
        <v>78</v>
      </c>
      <c r="D295" s="341">
        <f>COUNTIF($I$4:I291,"No Conformidad")</f>
        <v>174</v>
      </c>
      <c r="E295" s="70" t="s">
        <v>79</v>
      </c>
      <c r="F295" s="267">
        <f>COUNTIF($K$4:K291,"Si")</f>
        <v>163</v>
      </c>
      <c r="G295" s="99"/>
      <c r="H295" s="546" t="s">
        <v>78</v>
      </c>
      <c r="I295" s="258">
        <f>COUNTIFS($I$4:I291,"No Conformidad",$D$4:D291,"Auditoria")</f>
        <v>149</v>
      </c>
      <c r="J295" s="381">
        <f>COUNTIFS($I$4:I291,"No Conformidad",$D$4:D291,"Especial")</f>
        <v>0</v>
      </c>
      <c r="K295" s="254">
        <f>COUNTIFS($I$4:I291,"No Conformidad",$D$4:D291,"Informes")</f>
        <v>21</v>
      </c>
      <c r="L295" s="71">
        <f>COUNTIFS($I$4:J291,"No Conformidad",$D$4:E291,"Autocontrol")</f>
        <v>4</v>
      </c>
      <c r="P295" s="165"/>
      <c r="Q295" s="99"/>
      <c r="R295" s="99"/>
      <c r="S295" s="99"/>
      <c r="T295" s="99"/>
      <c r="U295" s="99"/>
      <c r="V295" s="99"/>
      <c r="X295" s="99"/>
    </row>
    <row r="296" spans="1:31" ht="15" thickBot="1" x14ac:dyDescent="0.25">
      <c r="C296" s="433" t="s">
        <v>53</v>
      </c>
      <c r="D296" s="341">
        <f>COUNTIF($I$4:I291,"Recomendación")</f>
        <v>0</v>
      </c>
      <c r="E296" s="79" t="s">
        <v>80</v>
      </c>
      <c r="F296" s="80">
        <f>COUNTIF($K$4:K291,"No")</f>
        <v>11</v>
      </c>
      <c r="G296" s="99"/>
      <c r="H296" s="547" t="s">
        <v>53</v>
      </c>
      <c r="I296" s="258">
        <f>COUNTIFS($I$4:I291,"Recomendación",$D$4:D291,"Auditoria")</f>
        <v>0</v>
      </c>
      <c r="J296" s="381">
        <f>COUNTIFS($I$4:I291,"Recomendación",$D$4:D291,"Especial")</f>
        <v>0</v>
      </c>
      <c r="K296" s="254">
        <f>COUNTIFS($I$4:I291,"Recomendación",$D$4:D291,"Informes")</f>
        <v>0</v>
      </c>
      <c r="L296" s="71">
        <f>COUNTIFS($I$4:J292,"Recomendación",$D$4:E292,"Autocontrol")</f>
        <v>0</v>
      </c>
      <c r="P296" s="165"/>
      <c r="Q296" s="99"/>
      <c r="R296" s="99"/>
      <c r="S296" s="99"/>
      <c r="T296" s="99"/>
      <c r="U296" s="99"/>
      <c r="V296" s="99"/>
      <c r="X296" s="99"/>
    </row>
    <row r="297" spans="1:31" ht="15.75" thickTop="1" thickBot="1" x14ac:dyDescent="0.25">
      <c r="C297" s="337" t="s">
        <v>371</v>
      </c>
      <c r="D297" s="342">
        <f>COUNTIF($I$4:I291,"Oportunidad de mejora")</f>
        <v>0</v>
      </c>
      <c r="G297" s="165"/>
      <c r="H297" s="409" t="s">
        <v>371</v>
      </c>
      <c r="I297" s="249">
        <f>COUNTIFS($I$4:I292,"Oportunidad de mejora",$D$4:D292,"Auditoria")</f>
        <v>0</v>
      </c>
      <c r="J297" s="78">
        <f>COUNTIFS($I$4:I292,"Oportunidad de mejora",$D$4:D292,"Especial")</f>
        <v>0</v>
      </c>
      <c r="K297" s="255">
        <f>COUNTIFS($I$4:I292,"Oportunidad de mejora",$D$4:D292,"Informes")</f>
        <v>0</v>
      </c>
      <c r="L297" s="80">
        <f>COUNTIFS($I$4:J293,"Oportunidad de mejora",$D$4:E293,"Autocontrol")</f>
        <v>0</v>
      </c>
      <c r="P297" s="99"/>
      <c r="Q297" s="99"/>
      <c r="R297" s="99"/>
      <c r="S297" s="99"/>
      <c r="T297" s="99"/>
      <c r="U297" s="165"/>
      <c r="V297" s="165"/>
      <c r="X297" s="99"/>
    </row>
    <row r="298" spans="1:31" ht="19.5" customHeight="1" thickTop="1" thickBot="1" x14ac:dyDescent="0.25">
      <c r="C298" s="82" t="s">
        <v>86</v>
      </c>
      <c r="D298" s="348">
        <f>SUM(D295:D297)</f>
        <v>174</v>
      </c>
      <c r="E298" s="260" t="s">
        <v>86</v>
      </c>
      <c r="F298" s="261">
        <f>SUM(F295:F296)</f>
        <v>174</v>
      </c>
      <c r="G298" s="32"/>
      <c r="H298" s="548" t="s">
        <v>86</v>
      </c>
      <c r="I298" s="247">
        <f>SUM(I295:I297)</f>
        <v>149</v>
      </c>
      <c r="J298" s="247">
        <f t="shared" ref="J298:L298" si="150">SUM(J295:J297)</f>
        <v>0</v>
      </c>
      <c r="K298" s="256">
        <f t="shared" si="150"/>
        <v>21</v>
      </c>
      <c r="L298" s="259">
        <f t="shared" si="150"/>
        <v>4</v>
      </c>
      <c r="Q298" s="165"/>
      <c r="R298" s="99"/>
      <c r="S298" s="99"/>
      <c r="T298" s="99"/>
      <c r="U298" s="99"/>
      <c r="V298" s="99"/>
      <c r="W298" s="99"/>
      <c r="X298" s="166"/>
    </row>
    <row r="299" spans="1:31" ht="15" thickBot="1" x14ac:dyDescent="0.25">
      <c r="B299" s="32" t="s">
        <v>89</v>
      </c>
      <c r="G299" s="434"/>
      <c r="H299" s="549"/>
      <c r="I299" s="410" t="s">
        <v>88</v>
      </c>
      <c r="J299" s="98">
        <f>SUM(I298:L298)</f>
        <v>174</v>
      </c>
      <c r="K299" s="99"/>
      <c r="L299" s="99"/>
      <c r="M299" s="99"/>
      <c r="N299" s="99"/>
      <c r="P299" s="99"/>
      <c r="Q299" s="168"/>
      <c r="R299" s="166"/>
      <c r="S299" s="166"/>
      <c r="T299" s="167"/>
      <c r="U299" s="99"/>
      <c r="V299" s="99"/>
      <c r="X299" s="99"/>
    </row>
    <row r="300" spans="1:31" ht="15.75" thickBot="1" x14ac:dyDescent="0.25">
      <c r="C300" s="403" t="s">
        <v>91</v>
      </c>
      <c r="D300" s="351">
        <f>C1</f>
        <v>2017</v>
      </c>
      <c r="G300" s="434"/>
      <c r="N300" s="152"/>
      <c r="P300" s="99"/>
      <c r="Q300" s="99"/>
      <c r="R300" s="99"/>
      <c r="S300" s="99"/>
      <c r="T300" s="99"/>
      <c r="U300" s="99"/>
      <c r="V300" s="99"/>
      <c r="X300" s="99"/>
      <c r="Z300" s="297"/>
      <c r="AA300" s="297"/>
      <c r="AB300" s="296"/>
    </row>
    <row r="301" spans="1:31" ht="23.25" customHeight="1" thickBot="1" x14ac:dyDescent="0.25">
      <c r="B301" s="719" t="s">
        <v>0</v>
      </c>
      <c r="C301" s="681" t="s">
        <v>204</v>
      </c>
      <c r="D301" s="682"/>
      <c r="E301" s="719" t="s">
        <v>128</v>
      </c>
      <c r="F301" s="720"/>
      <c r="G301" s="720"/>
      <c r="H301" s="720"/>
      <c r="I301" s="721"/>
      <c r="J301" s="679" t="s">
        <v>86</v>
      </c>
      <c r="L301" s="689" t="s">
        <v>132</v>
      </c>
      <c r="M301" s="690"/>
      <c r="N301" s="693" t="s">
        <v>95</v>
      </c>
      <c r="O301" s="694"/>
      <c r="P301" s="695"/>
      <c r="Q301" s="697" t="s">
        <v>96</v>
      </c>
      <c r="R301" s="698"/>
      <c r="T301" s="435"/>
      <c r="U301" s="99"/>
      <c r="V301" s="99"/>
      <c r="W301" s="99"/>
      <c r="X301" s="99"/>
      <c r="Y301" s="99"/>
      <c r="Z301" s="99"/>
      <c r="AA301" s="99"/>
      <c r="AB301" s="296"/>
    </row>
    <row r="302" spans="1:31" ht="22.5" customHeight="1" thickBot="1" x14ac:dyDescent="0.25">
      <c r="B302" s="621"/>
      <c r="C302" s="187" t="s">
        <v>205</v>
      </c>
      <c r="D302" s="343" t="s">
        <v>0</v>
      </c>
      <c r="E302" s="112" t="s">
        <v>43</v>
      </c>
      <c r="F302" s="112" t="s">
        <v>44</v>
      </c>
      <c r="G302" s="112" t="s">
        <v>46</v>
      </c>
      <c r="H302" s="550"/>
      <c r="I302" s="112" t="s">
        <v>184</v>
      </c>
      <c r="J302" s="680"/>
      <c r="L302" s="292" t="s">
        <v>133</v>
      </c>
      <c r="M302" s="293" t="s">
        <v>134</v>
      </c>
      <c r="N302" s="186" t="s">
        <v>78</v>
      </c>
      <c r="O302" s="537" t="s">
        <v>53</v>
      </c>
      <c r="P302" s="337" t="s">
        <v>371</v>
      </c>
      <c r="Q302" s="115" t="s">
        <v>79</v>
      </c>
      <c r="R302" s="116" t="s">
        <v>80</v>
      </c>
      <c r="U302" s="99"/>
      <c r="V302" s="99"/>
      <c r="W302" s="165"/>
      <c r="X302" s="99"/>
      <c r="Y302" s="99"/>
      <c r="Z302" s="99"/>
      <c r="AA302" s="99"/>
      <c r="AB302" s="336"/>
    </row>
    <row r="303" spans="1:31" ht="31.5" customHeight="1" thickTop="1" x14ac:dyDescent="0.2">
      <c r="B303" s="411" t="s">
        <v>49</v>
      </c>
      <c r="C303" s="368">
        <f>COUNTIFS($E$4:$E290,$C$302,$B$4:$B290,$B303)</f>
        <v>27</v>
      </c>
      <c r="D303" s="344">
        <f>COUNTIFS($E$4:$E290,$D$302,$B$4:$B290,$B303)</f>
        <v>7</v>
      </c>
      <c r="E303" s="368">
        <f>COUNTIFS($D$4:$D290,"Auditoria",$B$4:$B290,$B303)</f>
        <v>25</v>
      </c>
      <c r="F303" s="368">
        <f>COUNTIFS($D$4:$D290,"Especial",$B$4:$B290,$B303)</f>
        <v>0</v>
      </c>
      <c r="G303" s="368">
        <f>COUNTIFS($D$4:$D290,"Informes",$B$4:$B290,$B303)</f>
        <v>9</v>
      </c>
      <c r="H303" s="551"/>
      <c r="I303" s="368">
        <f>COUNTIFS($D$4:$D290,"Autocontrol",$B$4:$B290,$B303)</f>
        <v>0</v>
      </c>
      <c r="J303" s="368">
        <f t="shared" ref="J303:K315" si="151">SUM(E303:I303)</f>
        <v>34</v>
      </c>
      <c r="L303" s="248">
        <f>COUNTIFS($J$4:$J290,"Hallazgo Abierto",$B$4:$B290,$B303)</f>
        <v>6</v>
      </c>
      <c r="M303" s="75">
        <f>COUNTIFS($J$4:$J290,"Hallazgo Cerrado",$B$4:$B290,$B303)</f>
        <v>28</v>
      </c>
      <c r="N303" s="373">
        <f>COUNTIFS($I$4:$I290,"No Conformidad",$B$4:$B290,$B303)</f>
        <v>34</v>
      </c>
      <c r="O303" s="538">
        <f>COUNTIFS($I$4:$I290,"Recomendación",$B$4:$B290,$B303)</f>
        <v>0</v>
      </c>
      <c r="P303" s="368">
        <f>COUNTIFS($I$4:$I290,"Oportunidad de mejora",$B$4:$B290,$B303)</f>
        <v>0</v>
      </c>
      <c r="Q303" s="368">
        <f>COUNTIFS($K$4:K290,"Si",$B$4:B290,$B303)</f>
        <v>34</v>
      </c>
      <c r="R303" s="75">
        <f>COUNTIFS($K$4:K290,"No",$B$4:B290,$B303)</f>
        <v>0</v>
      </c>
      <c r="T303" s="99"/>
      <c r="U303" s="99"/>
      <c r="V303" s="99"/>
      <c r="W303" s="165"/>
      <c r="X303" s="99"/>
      <c r="Y303" s="99"/>
      <c r="Z303" s="99"/>
      <c r="AA303" s="436"/>
      <c r="AB303" s="151"/>
    </row>
    <row r="304" spans="1:31" ht="20.25" customHeight="1" x14ac:dyDescent="0.2">
      <c r="B304" s="412" t="s">
        <v>10</v>
      </c>
      <c r="C304" s="368">
        <f>COUNTIFS($E$4:$E290,$C$302,$B$4:$B290,$B304)</f>
        <v>0</v>
      </c>
      <c r="D304" s="344">
        <f>COUNTIFS($E$4:$E290,$D$302,$B$4:$B290,$B304)</f>
        <v>11</v>
      </c>
      <c r="E304" s="368">
        <f>COUNTIFS($D$4:$D290,"Auditoria",$B$4:$B290,$B304)</f>
        <v>11</v>
      </c>
      <c r="F304" s="368">
        <f>COUNTIFS($D$4:$D292,"Especial",$B$4:$B292,$B304)</f>
        <v>0</v>
      </c>
      <c r="G304" s="368">
        <f>COUNTIFS($D$4:$D292,"Informes",$B$4:$B292,$B304)</f>
        <v>0</v>
      </c>
      <c r="H304" s="551"/>
      <c r="I304" s="368">
        <f>COUNTIFS($D$4:$D292,"Autocontrol",$B$4:$B292,$B304)</f>
        <v>0</v>
      </c>
      <c r="J304" s="368">
        <f t="shared" si="151"/>
        <v>11</v>
      </c>
      <c r="L304" s="248">
        <f>COUNTIFS($J$4:$J290,"Hallazgo Abierto",$B$4:$B290,$B304)</f>
        <v>2</v>
      </c>
      <c r="M304" s="75">
        <f>COUNTIFS($J$4:$J290,"Hallazgo Cerrado",$B$4:$B290,$B304)</f>
        <v>9</v>
      </c>
      <c r="N304" s="159">
        <f>COUNTIFS($I$4:$I290,"No Conformidad",$B$4:$B290,$B304)</f>
        <v>11</v>
      </c>
      <c r="O304" s="539">
        <f>COUNTIFS($I$4:$I290,"Recomendación",$B$4:$B290,$B304)</f>
        <v>0</v>
      </c>
      <c r="P304" s="381">
        <f>COUNTIFS($I$4:$I290,"Oportunidad de mejora",$B$4:$B290,$B304)</f>
        <v>0</v>
      </c>
      <c r="Q304" s="381">
        <f>COUNTIFS($K$4:$K290,"Si",$B$4:$B290,$B304)</f>
        <v>11</v>
      </c>
      <c r="R304" s="71">
        <f>COUNTIFS($K$4:$K290,"No",$B$4:$B290,$B304)</f>
        <v>0</v>
      </c>
      <c r="T304" s="151"/>
      <c r="U304" s="99"/>
      <c r="V304" s="99"/>
      <c r="W304" s="99"/>
      <c r="X304" s="99"/>
      <c r="Y304" s="99"/>
      <c r="Z304" s="99"/>
      <c r="AA304" s="436"/>
      <c r="AB304" s="151"/>
      <c r="AE304" s="32"/>
    </row>
    <row r="305" spans="1:28" ht="51" x14ac:dyDescent="0.2">
      <c r="A305" s="32">
        <v>205</v>
      </c>
      <c r="B305" s="258" t="s">
        <v>337</v>
      </c>
      <c r="C305" s="368">
        <f>COUNTIFS($E$4:$E290,$C$302,$B$4:$B290,$B305)</f>
        <v>0</v>
      </c>
      <c r="D305" s="344">
        <f>COUNTIFS($E$4:$E290,$D$302,$B$4:$B290,$B305)</f>
        <v>18</v>
      </c>
      <c r="E305" s="368">
        <f>COUNTIFS($D$4:$D290,"Auditoria",$B$4:$B290,$B305)</f>
        <v>17</v>
      </c>
      <c r="F305" s="368">
        <f>COUNTIFS($D$4:$D290,"Especial",$B$4:$B290,$B305)</f>
        <v>0</v>
      </c>
      <c r="G305" s="368">
        <f>COUNTIFS($D$4:$D290,"Informes",$B$4:$B290,$B305)</f>
        <v>0</v>
      </c>
      <c r="H305" s="551"/>
      <c r="I305" s="368">
        <f>COUNTIFS($D$4:$D290,"Autocontrol",$B$4:$B290,$B305)</f>
        <v>1</v>
      </c>
      <c r="J305" s="368">
        <f t="shared" si="151"/>
        <v>18</v>
      </c>
      <c r="L305" s="248">
        <f>COUNTIFS($J$4:$J290,"Hallazgo Abierto",$B$4:$B290,$B305)</f>
        <v>8</v>
      </c>
      <c r="M305" s="75">
        <f>COUNTIFS($J$4:$J290,"Hallazgo Cerrado",$B$4:$B290,$B305)</f>
        <v>10</v>
      </c>
      <c r="N305" s="159">
        <f>COUNTIFS($I$4:$I290,"No Conformidad",$B$4:$B290,$B305)</f>
        <v>18</v>
      </c>
      <c r="O305" s="539">
        <f>COUNTIFS($I$4:$I290,"Recomendación",$B$4:$B290,$B305)</f>
        <v>0</v>
      </c>
      <c r="P305" s="381">
        <f>COUNTIFS($I$4:$I290,"Oportunidad de mejora",$B$4:$B290,$B305)</f>
        <v>0</v>
      </c>
      <c r="Q305" s="381">
        <f>COUNTIFS($K$4:$K290,"Si",$B$4:$B290,$B305)</f>
        <v>18</v>
      </c>
      <c r="R305" s="71">
        <f>COUNTIFS($K$4:$K290,"No",$B$4:$B290,$B305)</f>
        <v>0</v>
      </c>
      <c r="T305" s="151"/>
      <c r="U305" s="99"/>
      <c r="V305" s="99"/>
      <c r="W305" s="165"/>
      <c r="X305" s="99"/>
      <c r="Y305" s="99"/>
      <c r="Z305" s="99"/>
      <c r="AA305" s="436"/>
      <c r="AB305" s="151"/>
    </row>
    <row r="306" spans="1:28" ht="28.5" x14ac:dyDescent="0.2">
      <c r="B306" s="437" t="s">
        <v>2</v>
      </c>
      <c r="C306" s="368">
        <f>COUNTIFS($E$4:$E290,$C$302,$B$4:$B290,$B306)</f>
        <v>0</v>
      </c>
      <c r="D306" s="344">
        <f>COUNTIFS($E$4:$E290,$D$302,$B$4:$B290,$B306)</f>
        <v>6</v>
      </c>
      <c r="E306" s="368">
        <f>COUNTIFS($D$4:$D290,"Auditoria",$B$4:$B290,$B306)</f>
        <v>6</v>
      </c>
      <c r="F306" s="368">
        <f>COUNTIFS($D$4:$D290,"Especial",$B$4:$B290,$B306)</f>
        <v>0</v>
      </c>
      <c r="G306" s="368">
        <f>COUNTIFS($D$4:$D290,"Informes",$B$4:$B290,$B306)</f>
        <v>0</v>
      </c>
      <c r="H306" s="551"/>
      <c r="I306" s="368">
        <f>COUNTIFS($D$4:$D290,"Autocontrol",$B$4:$B290,$B306)</f>
        <v>0</v>
      </c>
      <c r="J306" s="368">
        <f t="shared" si="151"/>
        <v>6</v>
      </c>
      <c r="L306" s="248">
        <f>COUNTIFS($J$4:$J290,"Hallazgo Abierto",$B$4:$B290,$B306)</f>
        <v>1</v>
      </c>
      <c r="M306" s="75">
        <f>COUNTIFS($J$4:$J290,"Hallazgo Cerrado",$B$4:$B290,$B306)</f>
        <v>5</v>
      </c>
      <c r="N306" s="159">
        <f>COUNTIFS($I$4:$I290,"No Conformidad",$B$4:$B290,$B306)</f>
        <v>6</v>
      </c>
      <c r="O306" s="539">
        <f>COUNTIFS($I$4:$I290,"Recomendación",$B$4:$B290,$B306)</f>
        <v>0</v>
      </c>
      <c r="P306" s="381">
        <f>COUNTIFS($I$4:$I290,"Oportunidad de mejora",$B$4:$B290,$B306)</f>
        <v>0</v>
      </c>
      <c r="Q306" s="381">
        <f>COUNTIFS($K$4:$K290,"Si",$B$4:$B290,$B306)</f>
        <v>6</v>
      </c>
      <c r="R306" s="71">
        <f>COUNTIFS($K$4:$K290,"No",$B$4:$B290,$B306)</f>
        <v>0</v>
      </c>
      <c r="T306" s="151"/>
      <c r="U306" s="99"/>
      <c r="V306" s="99"/>
      <c r="W306" s="168"/>
      <c r="X306" s="166"/>
      <c r="Y306" s="166"/>
      <c r="Z306" s="166"/>
      <c r="AA306" s="167"/>
      <c r="AB306" s="151"/>
    </row>
    <row r="307" spans="1:28" ht="28.5" x14ac:dyDescent="0.2">
      <c r="B307" s="412" t="s">
        <v>25</v>
      </c>
      <c r="C307" s="368">
        <f>COUNTIFS($E$4:$E290,$C$302,$B$4:$B290,$B307)</f>
        <v>3</v>
      </c>
      <c r="D307" s="344">
        <f>COUNTIFS($E$4:$E290,$D$302,$B$4:$B290,$B307)</f>
        <v>5</v>
      </c>
      <c r="E307" s="368">
        <f>COUNTIFS($D$4:$D290,"Auditoria",$B$4:$B290,$B307)</f>
        <v>8</v>
      </c>
      <c r="F307" s="368">
        <f>COUNTIFS($D$4:$D290,"Especial",$B$4:$B290,$B307)</f>
        <v>0</v>
      </c>
      <c r="G307" s="368">
        <f>COUNTIFS($D$4:$D290,"Informes",$B$4:$B290,$B307)</f>
        <v>0</v>
      </c>
      <c r="H307" s="551"/>
      <c r="I307" s="368">
        <f>COUNTIFS($D$4:$D290,"Autocontrol",$B$4:$B290,$B307)</f>
        <v>0</v>
      </c>
      <c r="J307" s="368">
        <f t="shared" si="151"/>
        <v>8</v>
      </c>
      <c r="L307" s="248">
        <f>COUNTIFS($J$4:$J290,"Hallazgo Abierto",$B$4:$B290,$B307)</f>
        <v>6</v>
      </c>
      <c r="M307" s="75">
        <f>COUNTIFS($J$4:$J290,"Hallazgo Cerrado",$B$4:$B290,$B307)</f>
        <v>2</v>
      </c>
      <c r="N307" s="159">
        <f>COUNTIFS($I$4:$I290,"No Conformidad",$B$4:$B290,$B307)</f>
        <v>8</v>
      </c>
      <c r="O307" s="539">
        <f>COUNTIFS($I$4:$I290,"Recomendación",$B$4:$B290,$B307)</f>
        <v>0</v>
      </c>
      <c r="P307" s="381">
        <f>COUNTIFS($I$4:$I290,"Oportunidad de mejora",$B$4:$B290,$B307)</f>
        <v>0</v>
      </c>
      <c r="Q307" s="381">
        <f>COUNTIFS($K$4:$K290,"Si",$B$4:$B290,$B307)</f>
        <v>8</v>
      </c>
      <c r="R307" s="71">
        <f>COUNTIFS($K$4:$K290,"No",$B$4:$B290,$B307)</f>
        <v>0</v>
      </c>
      <c r="T307" s="151"/>
      <c r="U307" s="99"/>
      <c r="V307" s="99"/>
      <c r="W307" s="99"/>
      <c r="X307" s="99"/>
      <c r="Y307" s="99"/>
      <c r="Z307" s="99"/>
      <c r="AA307" s="99"/>
      <c r="AB307" s="151"/>
    </row>
    <row r="308" spans="1:28" ht="28.5" x14ac:dyDescent="0.2">
      <c r="B308" s="437" t="s">
        <v>37</v>
      </c>
      <c r="C308" s="368">
        <f>COUNTIFS($E$4:$E290,$C$302,$B$4:$B290,$B308)</f>
        <v>0</v>
      </c>
      <c r="D308" s="344">
        <f>COUNTIFS($E$4:$E290,$D$302,$B$4:$B290,$B308)</f>
        <v>4</v>
      </c>
      <c r="E308" s="368">
        <f>COUNTIFS($D$4:$D290,"Auditoria",$B$4:$B290,$B308)</f>
        <v>4</v>
      </c>
      <c r="F308" s="368">
        <f>COUNTIFS($D$4:$D290,"Especial",$B$4:$B290,$B308)</f>
        <v>0</v>
      </c>
      <c r="G308" s="368">
        <f>COUNTIFS($D$4:$D290,"Informes",$B$4:$B290,$B308)</f>
        <v>0</v>
      </c>
      <c r="H308" s="551"/>
      <c r="I308" s="368">
        <f>COUNTIFS($D$4:$D290,"Autocontrol",$B$4:$B290,$B308)</f>
        <v>0</v>
      </c>
      <c r="J308" s="368">
        <f t="shared" si="151"/>
        <v>4</v>
      </c>
      <c r="L308" s="248">
        <f>COUNTIFS($J$4:$J290,"Hallazgo Abierto",$B$4:$B290,$B308)</f>
        <v>4</v>
      </c>
      <c r="M308" s="75">
        <f>COUNTIFS($J$4:$J290,"Hallazgo Cerrado",$B$4:$B290,$B308)</f>
        <v>0</v>
      </c>
      <c r="N308" s="159">
        <f>COUNTIFS($I$4:$I290,"No Conformidad",$B$4:$B290,$B308)</f>
        <v>4</v>
      </c>
      <c r="O308" s="539">
        <f>COUNTIFS($I$4:$I290,"Recomendación",$B$4:$B290,$B308)</f>
        <v>0</v>
      </c>
      <c r="P308" s="381">
        <f>COUNTIFS($I$4:$I290,"Oportunidad de mejora",$B$4:$B290,$B308)</f>
        <v>0</v>
      </c>
      <c r="Q308" s="381">
        <f>COUNTIFS($K$4:$K290,"Si",$B$4:$B290,$B308)</f>
        <v>4</v>
      </c>
      <c r="R308" s="71">
        <f>COUNTIFS($K$4:$K290,"No",$B$4:$B290,$B308)</f>
        <v>0</v>
      </c>
      <c r="T308" s="151"/>
      <c r="U308" s="99"/>
      <c r="V308" s="99"/>
      <c r="W308" s="99"/>
      <c r="X308" s="99"/>
      <c r="Y308" s="99"/>
      <c r="Z308" s="99"/>
      <c r="AA308" s="99"/>
      <c r="AB308" s="151"/>
    </row>
    <row r="309" spans="1:28" ht="28.5" x14ac:dyDescent="0.2">
      <c r="B309" s="412" t="s">
        <v>36</v>
      </c>
      <c r="C309" s="368">
        <f>COUNTIFS($E$4:$E290,$C$302,$B$4:$B290,$B309)</f>
        <v>0</v>
      </c>
      <c r="D309" s="344">
        <f>COUNTIFS($E$4:$E290,$D$302,$B$4:$B290,$B309)</f>
        <v>7</v>
      </c>
      <c r="E309" s="368">
        <f>COUNTIFS($D$4:$D290,"Auditoria",$B$4:$B290,$B309)</f>
        <v>7</v>
      </c>
      <c r="F309" s="368">
        <f>COUNTIFS($D$4:$D290,"Especial",$B$4:$B290,$B309)</f>
        <v>0</v>
      </c>
      <c r="G309" s="368">
        <f>COUNTIFS($D$4:$D290,"Informes",$B$4:$B290,$B309)</f>
        <v>0</v>
      </c>
      <c r="H309" s="551"/>
      <c r="I309" s="368">
        <f>COUNTIFS($D$4:$D290,"Autocontrol",$B$4:$B290,$B309)</f>
        <v>0</v>
      </c>
      <c r="J309" s="368">
        <f t="shared" si="151"/>
        <v>7</v>
      </c>
      <c r="K309" s="565">
        <f t="shared" si="151"/>
        <v>7</v>
      </c>
      <c r="L309" s="248">
        <f>COUNTIFS($J$4:$J290,"Hallazgo Abierto",$B$4:$B290,$B309)</f>
        <v>7</v>
      </c>
      <c r="M309" s="75">
        <f>COUNTIFS($J$4:$J290,"Hallazgo Cerrado",$B$4:$B290,$B309)</f>
        <v>0</v>
      </c>
      <c r="N309" s="159">
        <f>COUNTIFS($I$4:$I290,"No Conformidad",$B$4:$B290,$B309)</f>
        <v>7</v>
      </c>
      <c r="O309" s="539">
        <f>COUNTIFS($I$4:$I290,"Recomendación",$B$4:$B290,$B309)</f>
        <v>0</v>
      </c>
      <c r="P309" s="381">
        <f>COUNTIFS($I$4:$I290,"Oportunidad de mejora",$B$4:$B290,$B309)</f>
        <v>0</v>
      </c>
      <c r="Q309" s="381">
        <f>COUNTIFS($K$4:$K290,"Si",$B$4:$B290,$B309)</f>
        <v>7</v>
      </c>
      <c r="R309" s="71">
        <f>COUNTIFS($K$4:$K290,"No",$B$4:$B290,$B309)</f>
        <v>0</v>
      </c>
      <c r="T309" s="151"/>
      <c r="U309" s="99"/>
      <c r="V309" s="99"/>
      <c r="W309" s="165"/>
      <c r="X309" s="99"/>
      <c r="Y309" s="99"/>
      <c r="Z309" s="99"/>
      <c r="AA309" s="99"/>
      <c r="AB309" s="151"/>
    </row>
    <row r="310" spans="1:28" x14ac:dyDescent="0.2">
      <c r="B310" s="438" t="s">
        <v>267</v>
      </c>
      <c r="C310" s="368">
        <f>COUNTIFS($E$4:$E291,$C$302,$B$4:$B291,$B310)</f>
        <v>0</v>
      </c>
      <c r="D310" s="344">
        <f>COUNTIFS($E$4:$E291,$D$302,$B$4:$B291,$B310)</f>
        <v>8</v>
      </c>
      <c r="E310" s="368">
        <f>COUNTIFS($D$4:$D291,"Auditoria",$B$4:$B291,$B310)</f>
        <v>2</v>
      </c>
      <c r="F310" s="368">
        <f>COUNTIFS($D$4:$D291,"Especial",$B$4:$B291,$B310)</f>
        <v>0</v>
      </c>
      <c r="G310" s="368">
        <f>COUNTIFS($D$4:$D291,"Informes",$B$4:$B291,$B310)</f>
        <v>6</v>
      </c>
      <c r="H310" s="551"/>
      <c r="I310" s="368">
        <f>COUNTIFS($D$4:$D291,"Autocontrol",$B$4:$B291,$B310)</f>
        <v>0</v>
      </c>
      <c r="J310" s="368">
        <f t="shared" si="151"/>
        <v>8</v>
      </c>
      <c r="L310" s="248">
        <f>COUNTIFS($J$4:$J291,"Hallazgo Abierto",$B$4:$B291,$B310)</f>
        <v>8</v>
      </c>
      <c r="M310" s="75">
        <f>COUNTIFS($J$4:$J291,"Hallazgo Cerrado",$B$4:$B291,$B310)</f>
        <v>0</v>
      </c>
      <c r="N310" s="159">
        <f>COUNTIFS($I$4:$I291,"No Conformidad",$B$4:$B291,$B310)</f>
        <v>8</v>
      </c>
      <c r="O310" s="539">
        <f>COUNTIFS($I$4:$I291,"Recomendación",$B$4:$B291,$B310)</f>
        <v>0</v>
      </c>
      <c r="P310" s="381">
        <f>COUNTIFS($I$4:$I291,"Oportunidad de mejora",$B$4:$B291,$B310)</f>
        <v>0</v>
      </c>
      <c r="Q310" s="381">
        <f>COUNTIFS($K$4:$K291,"Si",$B$4:$B291,$B310)</f>
        <v>8</v>
      </c>
      <c r="R310" s="71">
        <f>COUNTIFS($K$4:$K291,"No",$B$4:$B291,$B310)</f>
        <v>0</v>
      </c>
      <c r="T310" s="151"/>
      <c r="U310" s="99"/>
      <c r="V310" s="99"/>
      <c r="W310" s="165"/>
      <c r="X310" s="99"/>
      <c r="Y310" s="99"/>
      <c r="Z310" s="99"/>
      <c r="AA310" s="99"/>
      <c r="AB310" s="151"/>
    </row>
    <row r="311" spans="1:28" ht="42.75" x14ac:dyDescent="0.2">
      <c r="B311" s="437" t="s">
        <v>62</v>
      </c>
      <c r="C311" s="368">
        <f>COUNTIFS($E$4:$E290,$C$302,$B$4:$B290,$B311)</f>
        <v>1</v>
      </c>
      <c r="D311" s="344">
        <f>COUNTIFS($E$4:$E290,$D$302,$B$4:$B290,$B311)</f>
        <v>29</v>
      </c>
      <c r="E311" s="368">
        <f>COUNTIFS($D$4:$D290,"Auditoria",$B$4:$B290,$B311)</f>
        <v>29</v>
      </c>
      <c r="F311" s="368">
        <f>COUNTIFS($D$4:$D290,"Especial",$B$4:$B290,$B311)</f>
        <v>0</v>
      </c>
      <c r="G311" s="368">
        <f>COUNTIFS($D$4:$D290,"Informes",$B$4:$B290,$B311)</f>
        <v>1</v>
      </c>
      <c r="H311" s="551"/>
      <c r="I311" s="368">
        <f>COUNTIFS($D$4:$D290,"Autocontrol",$B$4:$B290,$B311)</f>
        <v>0</v>
      </c>
      <c r="J311" s="368">
        <f t="shared" si="151"/>
        <v>30</v>
      </c>
      <c r="L311" s="248">
        <f>COUNTIFS($J$4:$J290,"Hallazgo Abierto",$B$4:$B290,$B311)</f>
        <v>30</v>
      </c>
      <c r="M311" s="75">
        <f>COUNTIFS($J$4:$J290,"Hallazgo Cerrado",$B$4:$B290,$B311)</f>
        <v>0</v>
      </c>
      <c r="N311" s="159">
        <f>COUNTIFS($I$4:$I290,"No Conformidad",$B$4:$B290,$B311)</f>
        <v>30</v>
      </c>
      <c r="O311" s="539">
        <f>COUNTIFS($I$4:$I290,"Recomendación",$B$4:$B290,$B311)</f>
        <v>0</v>
      </c>
      <c r="P311" s="381">
        <f>COUNTIFS($I$4:$I290,"Oportunidad de mejora",$B$4:$B290,$B311)</f>
        <v>0</v>
      </c>
      <c r="Q311" s="381">
        <f>COUNTIFS($K$4:$K290,"Si",$B$4:$B290,$B311)</f>
        <v>22</v>
      </c>
      <c r="R311" s="71">
        <f>COUNTIFS($K$4:$K290,"No",$B$4:$B290,$B311)</f>
        <v>8</v>
      </c>
      <c r="T311" s="151"/>
      <c r="U311" s="99"/>
      <c r="V311" s="99"/>
      <c r="W311" s="165"/>
      <c r="X311" s="99"/>
      <c r="Y311" s="99"/>
      <c r="Z311" s="99"/>
      <c r="AA311" s="436"/>
      <c r="AB311" s="151"/>
    </row>
    <row r="312" spans="1:28" ht="25.5" x14ac:dyDescent="0.2">
      <c r="B312" s="248" t="s">
        <v>63</v>
      </c>
      <c r="C312" s="368">
        <f>COUNTIFS($E$4:$E290,$C$302,$B$4:$B290,$B312)</f>
        <v>1</v>
      </c>
      <c r="D312" s="344">
        <f>COUNTIFS($E$4:$E290,$D$302,$B$4:$B290,$B312)</f>
        <v>8</v>
      </c>
      <c r="E312" s="368">
        <f>COUNTIFS($D$4:$D290,"Auditoria",$B$4:$B290,$B312)</f>
        <v>9</v>
      </c>
      <c r="F312" s="368">
        <f>COUNTIFS($D$4:$D290,"Especial",$B$4:$B290,$B312)</f>
        <v>0</v>
      </c>
      <c r="G312" s="368">
        <f>COUNTIFS($D$4:$D290,"Informes",$B$4:$B290,$B312)</f>
        <v>1</v>
      </c>
      <c r="H312" s="551"/>
      <c r="I312" s="368">
        <f>COUNTIFS($D$4:$D290,"Autocontrol",$B$4:$B290,$B312)</f>
        <v>0</v>
      </c>
      <c r="J312" s="368">
        <f t="shared" si="151"/>
        <v>10</v>
      </c>
      <c r="L312" s="248">
        <f>COUNTIFS($J$4:$J290,"Hallazgo Abierto",$B$4:$B290,$B312)</f>
        <v>10</v>
      </c>
      <c r="M312" s="75">
        <f>COUNTIFS($J$4:$J290,"Hallazgo Cerrado",$B$4:$B290,$B312)</f>
        <v>0</v>
      </c>
      <c r="N312" s="159">
        <f>COUNTIFS($I$4:$I290,"No Conformidad",$B$4:$B290,$B312)</f>
        <v>10</v>
      </c>
      <c r="O312" s="539">
        <f>COUNTIFS($I$4:$I290,"Recomendación",$B$4:$B290,$B312)</f>
        <v>0</v>
      </c>
      <c r="P312" s="381">
        <f>COUNTIFS($I$4:$I290,"Oportunidad de mejora",$B$4:$B290,$B312)</f>
        <v>0</v>
      </c>
      <c r="Q312" s="381">
        <f>COUNTIFS($K$4:$K290,"Si",$B$4:$B290,$B312)</f>
        <v>9</v>
      </c>
      <c r="R312" s="71">
        <f>COUNTIFS($K$4:$K290,"No",$B$4:$B290,$B312)</f>
        <v>1</v>
      </c>
      <c r="T312" s="151"/>
      <c r="U312" s="99"/>
      <c r="V312" s="99"/>
      <c r="Z312" s="151"/>
      <c r="AA312" s="297"/>
      <c r="AB312" s="151"/>
    </row>
    <row r="313" spans="1:28" ht="25.5" x14ac:dyDescent="0.2">
      <c r="B313" s="258" t="s">
        <v>335</v>
      </c>
      <c r="C313" s="368">
        <f>COUNTIFS($E$4:$E290,$C$302,$B$4:$B290,$B313)</f>
        <v>0</v>
      </c>
      <c r="D313" s="344">
        <f>COUNTIFS($E$4:$E290,$D$302,$B$4:$B290,$B313)</f>
        <v>20</v>
      </c>
      <c r="E313" s="368">
        <f>COUNTIFS($D$4:$D290,"Auditoria",$B$4:$B290,$B313)</f>
        <v>17</v>
      </c>
      <c r="F313" s="368">
        <f>COUNTIFS($D$4:$D290,"Especial",$B$4:$B290,$B313)</f>
        <v>0</v>
      </c>
      <c r="G313" s="368">
        <f>COUNTIFS($D$4:$D290,"Informes",$B$4:$B290,$B313)</f>
        <v>3</v>
      </c>
      <c r="H313" s="551"/>
      <c r="I313" s="368">
        <f>COUNTIFS($D$4:$D290,"Autocontrol",$B$4:$B290,$B313)</f>
        <v>0</v>
      </c>
      <c r="J313" s="368">
        <f t="shared" si="151"/>
        <v>20</v>
      </c>
      <c r="L313" s="248">
        <f>COUNTIFS($J$4:$J290,"Hallazgo Abierto",$B$4:$B290,$B313)</f>
        <v>8</v>
      </c>
      <c r="M313" s="75">
        <f>COUNTIFS($J$4:$J290,"Hallazgo Cerrado",$B$4:$B290,$B313)</f>
        <v>12</v>
      </c>
      <c r="N313" s="159">
        <f>COUNTIFS($I$4:$I290,"No Conformidad",$B$4:$B290,$B313)</f>
        <v>20</v>
      </c>
      <c r="O313" s="539">
        <f>COUNTIFS($I$4:$I290,"Recomendación",$B$4:$B290,$B313)</f>
        <v>0</v>
      </c>
      <c r="P313" s="381">
        <f>COUNTIFS($I$4:$I290,"Oportunidad de mejora",$B$4:$B290,$B313)</f>
        <v>0</v>
      </c>
      <c r="Q313" s="381">
        <f>COUNTIFS($K$4:$K290,"Si",$B$4:$B290,$B313)</f>
        <v>19</v>
      </c>
      <c r="R313" s="71">
        <f>COUNTIFS($K$4:$K290,"No",$B$4:$B290,$B313)</f>
        <v>1</v>
      </c>
      <c r="T313" s="151"/>
      <c r="U313" s="99"/>
      <c r="V313" s="99"/>
      <c r="Z313" s="99"/>
      <c r="AA313" s="436"/>
      <c r="AB313" s="99"/>
    </row>
    <row r="314" spans="1:28" x14ac:dyDescent="0.2">
      <c r="B314" s="438" t="s">
        <v>61</v>
      </c>
      <c r="C314" s="368">
        <f>COUNTIFS($E$4:$E290,$C$302,$B$4:$B290,$B314)</f>
        <v>0</v>
      </c>
      <c r="D314" s="344">
        <f>COUNTIFS($E$4:$E290,$D$302,$B$4:$B290,$B314)</f>
        <v>9</v>
      </c>
      <c r="E314" s="368">
        <f>COUNTIFS($D$4:$D290,"Auditoria",$B$4:$B290,$B314)</f>
        <v>9</v>
      </c>
      <c r="F314" s="368">
        <f>COUNTIFS($D$4:$D290,"Especial",$B$4:$B290,$B314)</f>
        <v>0</v>
      </c>
      <c r="G314" s="368">
        <f>COUNTIFS($D$4:$D290,"Informes",$B$4:$B290,$B314)</f>
        <v>0</v>
      </c>
      <c r="H314" s="551"/>
      <c r="I314" s="368">
        <f>COUNTIFS($D$4:$D290,"Autocontrol",$B$4:$B290,$B314)</f>
        <v>0</v>
      </c>
      <c r="J314" s="368">
        <f t="shared" si="151"/>
        <v>9</v>
      </c>
      <c r="L314" s="248">
        <f>COUNTIFS($J$4:$J290,"Hallazgo Abierto",$B$4:$B290,$B314)</f>
        <v>7</v>
      </c>
      <c r="M314" s="75">
        <f>COUNTIFS($J$4:$J290,"Hallazgo Cerrado",$B$4:$B290,$B314)</f>
        <v>2</v>
      </c>
      <c r="N314" s="159">
        <f>COUNTIFS($I$4:$I290,"No Conformidad",$B$4:$B290,$B314)</f>
        <v>9</v>
      </c>
      <c r="O314" s="539">
        <f>COUNTIFS($I$4:$I290,"Recomendación",$B$4:$B290,$B314)</f>
        <v>0</v>
      </c>
      <c r="P314" s="381">
        <f>COUNTIFS($I$4:$I290,"Oportunidad de mejora",$B$4:$B290,$B314)</f>
        <v>0</v>
      </c>
      <c r="Q314" s="381">
        <f>COUNTIFS($K$4:$K290,"Si",$B$4:$B290,$B314)</f>
        <v>9</v>
      </c>
      <c r="R314" s="71">
        <f>COUNTIFS($K$4:$K290,"No",$B$4:$B290,$B314)</f>
        <v>0</v>
      </c>
      <c r="T314" s="99"/>
      <c r="U314" s="99"/>
      <c r="V314" s="99"/>
      <c r="Z314" s="99"/>
      <c r="AA314" s="436"/>
      <c r="AB314" s="99"/>
    </row>
    <row r="315" spans="1:28" ht="29.25" thickBot="1" x14ac:dyDescent="0.25">
      <c r="B315" s="439" t="s">
        <v>65</v>
      </c>
      <c r="C315" s="78">
        <f>COUNTIFS($E$4:$E290,$C$302,$B$4:$B290,$B315)</f>
        <v>1</v>
      </c>
      <c r="D315" s="342">
        <f>COUNTIFS($E$4:$E290,$D$302,$B$4:$B290,$B315)</f>
        <v>7</v>
      </c>
      <c r="E315" s="78">
        <f>COUNTIFS($D$4:$D290,"Auditoria",$B$4:$B290,$B315)</f>
        <v>4</v>
      </c>
      <c r="F315" s="78">
        <f>COUNTIFS($D$4:$D290,"Especial",$B$4:$B290,$B315)</f>
        <v>0</v>
      </c>
      <c r="G315" s="78">
        <f>COUNTIFS($D$4:$D290,"Informes",$B$4:$B290,$B315)</f>
        <v>1</v>
      </c>
      <c r="H315" s="552"/>
      <c r="I315" s="78">
        <f>COUNTIFS($D$4:$D290,"Autocontrol",$B$4:$B290,$B315)</f>
        <v>3</v>
      </c>
      <c r="J315" s="368">
        <f t="shared" si="151"/>
        <v>8</v>
      </c>
      <c r="L315" s="249">
        <f>COUNTIFS($J$4:$J290,"Hallazgo Abierto",$B$4:$B290,$B315)</f>
        <v>4</v>
      </c>
      <c r="M315" s="80">
        <f>COUNTIFS($J$4:$J290,"Hallazgo Cerrado",$B$4:$B290,$B315)</f>
        <v>4</v>
      </c>
      <c r="N315" s="111">
        <f>COUNTIFS($I$4:$I290,"No Conformidad",$B$4:$B290,$B315)</f>
        <v>8</v>
      </c>
      <c r="O315" s="540">
        <f>COUNTIFS($I$4:$I290,"Recomendación",$B$4:$B290,$B315)</f>
        <v>0</v>
      </c>
      <c r="P315" s="78">
        <f>COUNTIFS($I$4:$I290,"Oportunidad de mejora",$B$4:$B290,$B315)</f>
        <v>0</v>
      </c>
      <c r="Q315" s="78">
        <f>COUNTIFS($K$4:$K290,"Si",$B$4:$B290,$B315)</f>
        <v>8</v>
      </c>
      <c r="R315" s="80">
        <f>COUNTIFS($K$4:$K290,"No",$B$4:$B290,$B315)</f>
        <v>0</v>
      </c>
      <c r="T315" s="99"/>
      <c r="U315" s="99"/>
      <c r="V315" s="99"/>
      <c r="Z315" s="99"/>
      <c r="AA315" s="436"/>
      <c r="AB315" s="99"/>
    </row>
    <row r="316" spans="1:28" ht="17.25" thickTop="1" thickBot="1" x14ac:dyDescent="0.25">
      <c r="B316" s="431" t="s">
        <v>86</v>
      </c>
      <c r="C316" s="146">
        <f>SUM(C303:C315)</f>
        <v>33</v>
      </c>
      <c r="D316" s="345">
        <f>SUM(D303:D315)</f>
        <v>139</v>
      </c>
      <c r="E316" s="117">
        <f>SUM(E303:E315)</f>
        <v>148</v>
      </c>
      <c r="F316" s="118">
        <f>SUM(F303:F315)</f>
        <v>0</v>
      </c>
      <c r="G316" s="118">
        <f>SUBTOTAL(9,G303:G315)</f>
        <v>21</v>
      </c>
      <c r="H316" s="541"/>
      <c r="I316" s="118">
        <f>SUBTOTAL(9,I303:I315)</f>
        <v>4</v>
      </c>
      <c r="J316" s="157">
        <f>SUM(J303:J315)</f>
        <v>173</v>
      </c>
      <c r="K316" s="568" t="s">
        <v>86</v>
      </c>
      <c r="L316" s="250">
        <f t="shared" ref="L316:R316" si="152">SUM(L303:L315)</f>
        <v>101</v>
      </c>
      <c r="M316" s="161">
        <f t="shared" si="152"/>
        <v>72</v>
      </c>
      <c r="N316" s="158">
        <f t="shared" si="152"/>
        <v>173</v>
      </c>
      <c r="O316" s="541">
        <f t="shared" si="152"/>
        <v>0</v>
      </c>
      <c r="P316" s="93">
        <f t="shared" si="152"/>
        <v>0</v>
      </c>
      <c r="Q316" s="93">
        <f t="shared" si="152"/>
        <v>163</v>
      </c>
      <c r="R316" s="94">
        <f t="shared" si="152"/>
        <v>10</v>
      </c>
      <c r="T316" s="99"/>
      <c r="U316" s="99"/>
      <c r="V316" s="99"/>
      <c r="Z316" s="99"/>
      <c r="AA316" s="436"/>
      <c r="AB316" s="165"/>
    </row>
    <row r="317" spans="1:28" ht="15" thickBot="1" x14ac:dyDescent="0.25">
      <c r="F317" s="403" t="s">
        <v>86</v>
      </c>
      <c r="G317" s="137">
        <f>SUM(E316:I316)</f>
        <v>173</v>
      </c>
      <c r="H317" s="553"/>
      <c r="I317" s="138"/>
      <c r="J317" s="138"/>
      <c r="K317" s="430"/>
      <c r="L317" s="266">
        <f>SUM(L316:M316)</f>
        <v>173</v>
      </c>
      <c r="Q317" s="152"/>
      <c r="R317" s="99"/>
      <c r="S317" s="99"/>
      <c r="Z317" s="436"/>
      <c r="AA317" s="436"/>
      <c r="AB317" s="103"/>
    </row>
    <row r="318" spans="1:28" x14ac:dyDescent="0.2">
      <c r="G318" s="32"/>
      <c r="H318" s="549"/>
      <c r="I318" s="32"/>
      <c r="J318" s="430"/>
      <c r="R318" s="152"/>
      <c r="Z318" s="436"/>
      <c r="AA318" s="436"/>
      <c r="AB318" s="103"/>
    </row>
    <row r="319" spans="1:28" ht="12.75" x14ac:dyDescent="0.2">
      <c r="B319" s="718" t="s">
        <v>147</v>
      </c>
      <c r="C319" s="718"/>
      <c r="D319" s="718"/>
      <c r="E319" s="718"/>
      <c r="F319" s="718"/>
      <c r="G319" s="718"/>
      <c r="H319" s="545"/>
      <c r="I319" s="403"/>
      <c r="J319" s="403"/>
      <c r="K319" s="568"/>
      <c r="L319" s="403"/>
      <c r="Z319" s="436"/>
      <c r="AA319" s="436"/>
      <c r="AB319" s="103"/>
    </row>
    <row r="320" spans="1:28" ht="15" thickBot="1" x14ac:dyDescent="0.25">
      <c r="G320" s="32"/>
      <c r="H320" s="549"/>
      <c r="I320" s="32"/>
      <c r="J320" s="430"/>
      <c r="X320" s="99"/>
      <c r="Y320" s="99"/>
      <c r="Z320" s="436"/>
      <c r="AA320" s="436"/>
      <c r="AB320" s="103"/>
    </row>
    <row r="321" spans="2:28" ht="51" customHeight="1" thickBot="1" x14ac:dyDescent="0.25">
      <c r="B321" s="671"/>
      <c r="C321" s="683" t="s">
        <v>0</v>
      </c>
      <c r="D321" s="668" t="s">
        <v>130</v>
      </c>
      <c r="E321" s="669"/>
      <c r="F321" s="669"/>
      <c r="G321" s="670"/>
      <c r="H321" s="554"/>
      <c r="I321" s="440"/>
      <c r="J321" s="738" t="s">
        <v>260</v>
      </c>
      <c r="K321" s="739"/>
      <c r="L321" s="740"/>
      <c r="X321" s="99"/>
      <c r="Y321" s="99"/>
      <c r="Z321" s="436"/>
      <c r="AA321" s="297"/>
      <c r="AB321" s="296"/>
    </row>
    <row r="322" spans="2:28" ht="26.25" thickBot="1" x14ac:dyDescent="0.25">
      <c r="B322" s="671"/>
      <c r="C322" s="684"/>
      <c r="D322" s="346" t="s">
        <v>104</v>
      </c>
      <c r="E322" s="112" t="s">
        <v>50</v>
      </c>
      <c r="F322" s="295" t="s">
        <v>54</v>
      </c>
      <c r="G322" s="294" t="s">
        <v>126</v>
      </c>
      <c r="H322" s="555"/>
      <c r="I322" s="151"/>
      <c r="J322" s="251" t="s">
        <v>127</v>
      </c>
      <c r="K322" s="155" t="s">
        <v>51</v>
      </c>
      <c r="L322" s="156" t="s">
        <v>55</v>
      </c>
      <c r="X322" s="99"/>
      <c r="Y322" s="165"/>
      <c r="Z322" s="436"/>
      <c r="AA322" s="297"/>
      <c r="AB322" s="296"/>
    </row>
    <row r="323" spans="2:28" ht="15" thickTop="1" x14ac:dyDescent="0.2">
      <c r="B323" s="413"/>
      <c r="C323" s="298" t="s">
        <v>49</v>
      </c>
      <c r="D323" s="347">
        <f>COUNTIFS($M$4:M290,"Corrección",$B$4:B290,$C323)</f>
        <v>16</v>
      </c>
      <c r="E323" s="121">
        <f>COUNTIFS($M$4:M290,"Acción Correctiva",$B$4:B290,$C323)</f>
        <v>18</v>
      </c>
      <c r="F323" s="121">
        <f>COUNTIFS($M$4:M290,"Acción Preventiva",$B$4:B290,$C323)</f>
        <v>1</v>
      </c>
      <c r="G323" s="121">
        <f>COUNTIFS($M$4:M290,"Acción Mejora",$B$4:B290,$C323)</f>
        <v>0</v>
      </c>
      <c r="H323" s="555"/>
      <c r="I323" s="151"/>
      <c r="J323" s="298">
        <f>SUM(D323:G323)</f>
        <v>35</v>
      </c>
      <c r="K323" s="121">
        <f>COUNTIFS($R$4:R290,"Abierta",$B$4:B290,$C323)</f>
        <v>5</v>
      </c>
      <c r="L323" s="163">
        <f>COUNTIFS($R$4:R290,"Cerrada",$B$4:B290,$C323)</f>
        <v>30</v>
      </c>
      <c r="X323" s="99"/>
      <c r="Y323" s="99"/>
      <c r="Z323" s="436"/>
      <c r="AA323" s="297"/>
      <c r="AB323" s="296"/>
    </row>
    <row r="324" spans="2:28" x14ac:dyDescent="0.2">
      <c r="B324" s="414"/>
      <c r="C324" s="298" t="s">
        <v>10</v>
      </c>
      <c r="D324" s="347">
        <f>COUNTIFS($M$4:M290,"Corrección",$B$4:B290,$C324)</f>
        <v>5</v>
      </c>
      <c r="E324" s="121">
        <f>COUNTIFS($M$4:M290,"Acción Correctiva",$B$4:B290,$C324)</f>
        <v>6</v>
      </c>
      <c r="F324" s="121">
        <f>COUNTIFS($M$4:M290,"Acción Preventiva",$B$4:B290,$C324)</f>
        <v>0</v>
      </c>
      <c r="G324" s="121">
        <f>COUNTIFS($M$4:M290,"Acción Mejora",$B$4:B290,$C324)</f>
        <v>0</v>
      </c>
      <c r="H324" s="555"/>
      <c r="I324" s="151"/>
      <c r="J324" s="298">
        <f t="shared" ref="J324:J335" si="153">SUM(D324:G324)</f>
        <v>11</v>
      </c>
      <c r="K324" s="121">
        <f>COUNTIFS($R$4:R290,"Abierta",$B$4:B290,$C324)</f>
        <v>3</v>
      </c>
      <c r="L324" s="163">
        <f>COUNTIFS($R$4:R290,"Cerrada",$B$4:B290,$C324)</f>
        <v>8</v>
      </c>
      <c r="X324" s="99"/>
      <c r="Y324" s="99"/>
      <c r="Z324" s="436"/>
      <c r="AA324" s="297"/>
      <c r="AB324" s="296"/>
    </row>
    <row r="325" spans="2:28" ht="38.25" x14ac:dyDescent="0.2">
      <c r="B325" s="415"/>
      <c r="C325" s="298" t="s">
        <v>337</v>
      </c>
      <c r="D325" s="347">
        <f>COUNTIFS($M$4:M290,"Corrección",$B$4:B290,$C325)</f>
        <v>10</v>
      </c>
      <c r="E325" s="121">
        <f>COUNTIFS($M$4:M290,"Acción Correctiva",$B$4:B290,$C325)</f>
        <v>8</v>
      </c>
      <c r="F325" s="121">
        <f>COUNTIFS($M$4:M290,"Acción Preventiva",$B$4:B290,$C325)</f>
        <v>0</v>
      </c>
      <c r="G325" s="121">
        <f>COUNTIFS($M$4:M290,"Acción Mejora",$B$4:B290,$C325)</f>
        <v>0</v>
      </c>
      <c r="H325" s="555"/>
      <c r="I325" s="151"/>
      <c r="J325" s="298">
        <f t="shared" si="153"/>
        <v>18</v>
      </c>
      <c r="K325" s="121">
        <f>COUNTIFS($R$4:R290,"Abierta",$B$4:B290,$C325)</f>
        <v>8</v>
      </c>
      <c r="L325" s="163">
        <f>COUNTIFS($R$4:R290,"Cerrada",$B$4:B290,$C325)</f>
        <v>10</v>
      </c>
      <c r="X325" s="99"/>
      <c r="Y325" s="99"/>
      <c r="Z325" s="436"/>
      <c r="AA325" s="297"/>
      <c r="AB325" s="296"/>
    </row>
    <row r="326" spans="2:28" x14ac:dyDescent="0.2">
      <c r="B326" s="413"/>
      <c r="C326" s="298" t="s">
        <v>2</v>
      </c>
      <c r="D326" s="347">
        <f>COUNTIFS($M$4:M290,"Corrección",$B$4:B290,$C326)</f>
        <v>1</v>
      </c>
      <c r="E326" s="121">
        <f>COUNTIFS($M$4:M290,"Acción Correctiva",$B$4:B290,$C326)</f>
        <v>5</v>
      </c>
      <c r="F326" s="121">
        <f>COUNTIFS($M$4:M290,"Acción Preventiva",$B$4:B290,$C326)</f>
        <v>0</v>
      </c>
      <c r="G326" s="121">
        <f>COUNTIFS($M$4:M290,"Acción Mejora",$B$4:B290,$C326)</f>
        <v>0</v>
      </c>
      <c r="H326" s="555"/>
      <c r="I326" s="151"/>
      <c r="J326" s="299">
        <f t="shared" si="153"/>
        <v>6</v>
      </c>
      <c r="K326" s="121">
        <f>COUNTIFS($R$4:R290,"Abierta",$B$4:B290,$C326)</f>
        <v>1</v>
      </c>
      <c r="L326" s="163">
        <f>COUNTIFS($R$4:R290,"Cerrada",$B$4:B290,$C326)</f>
        <v>5</v>
      </c>
      <c r="X326" s="99"/>
      <c r="Y326" s="99"/>
      <c r="Z326" s="436"/>
      <c r="AA326" s="297"/>
      <c r="AB326" s="296"/>
    </row>
    <row r="327" spans="2:28" x14ac:dyDescent="0.2">
      <c r="B327" s="414"/>
      <c r="C327" s="298" t="s">
        <v>25</v>
      </c>
      <c r="D327" s="347">
        <f>COUNTIFS($M$4:M290,"Corrección",$B$4:B290,$C327)</f>
        <v>0</v>
      </c>
      <c r="E327" s="121">
        <f>COUNTIFS($M$4:M290,"Acción Correctiva",$B$4:B290,$C327)</f>
        <v>8</v>
      </c>
      <c r="F327" s="121">
        <f>COUNTIFS($M$4:M290,"Acción Preventiva",$B$4:B290,$C327)</f>
        <v>0</v>
      </c>
      <c r="G327" s="121">
        <f>COUNTIFS($M$4:M290,"Acción Mejora",$B$4:B290,$C327)</f>
        <v>0</v>
      </c>
      <c r="H327" s="555"/>
      <c r="I327" s="151"/>
      <c r="J327" s="298">
        <f t="shared" si="153"/>
        <v>8</v>
      </c>
      <c r="K327" s="121">
        <f>COUNTIFS($R$4:R290,"Abierta",$B$4:B290,$C327)</f>
        <v>6</v>
      </c>
      <c r="L327" s="163">
        <f>COUNTIFS($R$4:R290,"Cerrada",$B$4:B290,$C327)</f>
        <v>2</v>
      </c>
      <c r="X327" s="99"/>
      <c r="Y327" s="99"/>
      <c r="Z327" s="436"/>
      <c r="AA327" s="297"/>
      <c r="AB327" s="296"/>
    </row>
    <row r="328" spans="2:28" x14ac:dyDescent="0.2">
      <c r="B328" s="413"/>
      <c r="C328" s="298" t="s">
        <v>37</v>
      </c>
      <c r="D328" s="347">
        <f>COUNTIFS($M$4:M290,"Corrección",$B$4:B290,$C328)</f>
        <v>1</v>
      </c>
      <c r="E328" s="121">
        <f>COUNTIFS($M$4:M290,"Acción Correctiva",$B$4:B290,$C328)</f>
        <v>3</v>
      </c>
      <c r="F328" s="121">
        <f>COUNTIFS($M$4:M290,"Acción Preventiva",$B$4:B290,$C328)</f>
        <v>0</v>
      </c>
      <c r="G328" s="121">
        <f>COUNTIFS($M$4:M290,"Acción Mejora",$B$4:B290,$C328)</f>
        <v>0</v>
      </c>
      <c r="H328" s="555"/>
      <c r="I328" s="151"/>
      <c r="J328" s="298">
        <f t="shared" si="153"/>
        <v>4</v>
      </c>
      <c r="K328" s="121">
        <f>COUNTIFS($R$4:R290,"Abierta",$B$4:B290,$C328)</f>
        <v>3</v>
      </c>
      <c r="L328" s="163">
        <f>COUNTIFS($R$4:R290,"Cerrada",$B$4:B290,$C328)</f>
        <v>1</v>
      </c>
      <c r="X328" s="99"/>
      <c r="Y328" s="99"/>
      <c r="Z328" s="436"/>
      <c r="AA328" s="297"/>
      <c r="AB328" s="296"/>
    </row>
    <row r="329" spans="2:28" x14ac:dyDescent="0.2">
      <c r="B329" s="414"/>
      <c r="C329" s="298" t="s">
        <v>36</v>
      </c>
      <c r="D329" s="347">
        <f>COUNTIFS($M$4:M290,"Corrección",$B$4:B290,$C329)</f>
        <v>0</v>
      </c>
      <c r="E329" s="121">
        <f>COUNTIFS($M$4:M290,"Acción Correctiva",$B$4:B290,$C329)</f>
        <v>2</v>
      </c>
      <c r="F329" s="121">
        <f>COUNTIFS($M$4:M290,"Acción Preventiva",$B$4:B290,$C329)</f>
        <v>5</v>
      </c>
      <c r="G329" s="121">
        <f>COUNTIFS($M$4:M290,"Acción Mejora",$B$4:B290,$C329)</f>
        <v>0</v>
      </c>
      <c r="H329" s="555"/>
      <c r="I329" s="151"/>
      <c r="J329" s="298">
        <f t="shared" si="153"/>
        <v>7</v>
      </c>
      <c r="K329" s="121">
        <f>COUNTIFS($R$4:R290,"Abierta",$B$4:B290,$C329)</f>
        <v>7</v>
      </c>
      <c r="L329" s="163">
        <f>COUNTIFS($R$4:R290,"Cerrada",$B$4:B290,$C329)</f>
        <v>0</v>
      </c>
      <c r="X329" s="99"/>
      <c r="Y329" s="99"/>
      <c r="Z329" s="436"/>
      <c r="AA329" s="297"/>
      <c r="AB329" s="296"/>
    </row>
    <row r="330" spans="2:28" x14ac:dyDescent="0.2">
      <c r="B330" s="441"/>
      <c r="C330" s="298" t="s">
        <v>267</v>
      </c>
      <c r="D330" s="347">
        <f>COUNTIFS($M$4:M291,"Corrección",$B$4:B291,$C330)</f>
        <v>4</v>
      </c>
      <c r="E330" s="121">
        <f>COUNTIFS($M$4:M291,"Acción Correctiva",$B$4:B291,$C330)</f>
        <v>4</v>
      </c>
      <c r="F330" s="121">
        <f>COUNTIFS($M$4:M291,"Acción Preventiva",$B$4:B291,$C330)</f>
        <v>0</v>
      </c>
      <c r="G330" s="121">
        <f>COUNTIFS($M$4:M291,"Acción Mejora",$B$4:B291,$C330)</f>
        <v>0</v>
      </c>
      <c r="H330" s="555"/>
      <c r="I330" s="151"/>
      <c r="J330" s="298">
        <f t="shared" si="153"/>
        <v>8</v>
      </c>
      <c r="K330" s="121">
        <f>COUNTIFS($R$4:R291,"Abierta",$B$4:B291,$C330)</f>
        <v>5</v>
      </c>
      <c r="L330" s="163">
        <f>COUNTIFS($R$4:R291,"Cerrada",$B$4:B291,$C330)</f>
        <v>3</v>
      </c>
      <c r="X330" s="99"/>
      <c r="Y330" s="99"/>
      <c r="Z330" s="436"/>
      <c r="AA330" s="297"/>
      <c r="AB330" s="296"/>
    </row>
    <row r="331" spans="2:28" ht="25.5" x14ac:dyDescent="0.2">
      <c r="B331" s="413"/>
      <c r="C331" s="298" t="s">
        <v>62</v>
      </c>
      <c r="D331" s="347">
        <f>COUNTIFS($M$4:M290,"Corrección",$B$4:B290,$C331)</f>
        <v>12</v>
      </c>
      <c r="E331" s="121">
        <f>COUNTIFS($M$4:M290,"Acción Correctiva",$B$4:B290,$C331)</f>
        <v>10</v>
      </c>
      <c r="F331" s="121">
        <f>COUNTIFS($M$4:M290,"Acción Preventiva",$B$4:B290,$C331)</f>
        <v>0</v>
      </c>
      <c r="G331" s="121">
        <f>COUNTIFS($M$4:M290,"Acción Mejora",$B$4:B290,$C331)</f>
        <v>0</v>
      </c>
      <c r="H331" s="555"/>
      <c r="I331" s="151"/>
      <c r="J331" s="298">
        <f t="shared" si="153"/>
        <v>22</v>
      </c>
      <c r="K331" s="121">
        <f>COUNTIFS($R$4:R292,"Abierta",$B$4:B292,$C331)</f>
        <v>25</v>
      </c>
      <c r="L331" s="163">
        <f>COUNTIFS($R$4:R292,"Cerrada",$B$4:B292,$C331)</f>
        <v>0</v>
      </c>
      <c r="X331" s="99"/>
      <c r="Y331" s="99"/>
      <c r="Z331" s="436"/>
      <c r="AA331" s="297"/>
      <c r="AB331" s="296"/>
    </row>
    <row r="332" spans="2:28" ht="25.5" x14ac:dyDescent="0.2">
      <c r="B332" s="415"/>
      <c r="C332" s="298" t="s">
        <v>63</v>
      </c>
      <c r="D332" s="347">
        <f>COUNTIFS($M$4:M290,"Corrección",$B$4:B290,$C332)</f>
        <v>3</v>
      </c>
      <c r="E332" s="121">
        <f>COUNTIFS($M$4:M290,"Acción Correctiva",$B$4:B290,$C332)</f>
        <v>6</v>
      </c>
      <c r="F332" s="121">
        <f>COUNTIFS($M$4:M290,"Acción Preventiva",$B$4:B290,$C332)</f>
        <v>0</v>
      </c>
      <c r="G332" s="121">
        <f>COUNTIFS($M$4:M290,"Acción Mejora",$B$4:B290,$C332)</f>
        <v>0</v>
      </c>
      <c r="H332" s="555"/>
      <c r="I332" s="151"/>
      <c r="J332" s="298">
        <f t="shared" si="153"/>
        <v>9</v>
      </c>
      <c r="K332" s="121">
        <f>COUNTIFS($R$4:R293,"Abierta",$B$4:B293,$C332)</f>
        <v>9</v>
      </c>
      <c r="L332" s="163">
        <f>COUNTIFS($R$4:R293,"Cerrada",$B$4:B293,$C332)</f>
        <v>0</v>
      </c>
      <c r="X332" s="99"/>
      <c r="Y332" s="99"/>
      <c r="Z332" s="436"/>
      <c r="AA332" s="297"/>
      <c r="AB332" s="296"/>
    </row>
    <row r="333" spans="2:28" ht="25.5" x14ac:dyDescent="0.2">
      <c r="B333" s="415"/>
      <c r="C333" s="298" t="s">
        <v>335</v>
      </c>
      <c r="D333" s="347">
        <f>COUNTIFS($M$4:M290,"Corrección",$B$4:B290,$C333)</f>
        <v>8</v>
      </c>
      <c r="E333" s="121">
        <f>COUNTIFS($M$4:M290,"Acción Correctiva",$B$4:B290,$C333)</f>
        <v>11</v>
      </c>
      <c r="F333" s="121">
        <f>COUNTIFS($M$4:M290,"Acción Preventiva",$B$4:B290,$C333)</f>
        <v>0</v>
      </c>
      <c r="G333" s="121">
        <f>COUNTIFS($M$4:M290,"Acción Mejora",$B$4:B290,$C333)</f>
        <v>0</v>
      </c>
      <c r="H333" s="555"/>
      <c r="I333" s="151"/>
      <c r="J333" s="298">
        <f t="shared" si="153"/>
        <v>19</v>
      </c>
      <c r="K333" s="121">
        <f>COUNTIFS($R$4:R294,"Abierta",$B$4:B294,$C333)</f>
        <v>7</v>
      </c>
      <c r="L333" s="163">
        <f>COUNTIFS($R$4:R294,"Cerrada",$B$4:B294,$C333)</f>
        <v>13</v>
      </c>
      <c r="X333" s="99"/>
      <c r="Y333" s="99"/>
      <c r="Z333" s="436"/>
      <c r="AA333" s="297"/>
      <c r="AB333" s="296"/>
    </row>
    <row r="334" spans="2:28" x14ac:dyDescent="0.2">
      <c r="B334" s="441"/>
      <c r="C334" s="298" t="s">
        <v>61</v>
      </c>
      <c r="D334" s="347">
        <f>COUNTIFS($M$4:M290,"Corrección",$B$4:B290,$C334)</f>
        <v>7</v>
      </c>
      <c r="E334" s="121">
        <f>COUNTIFS($M$4:M290,"Acción Correctiva",$B$4:B290,$C334)</f>
        <v>2</v>
      </c>
      <c r="F334" s="121">
        <f>COUNTIFS($M$4:M290,"Acción Preventiva",$B$4:B290,$C334)</f>
        <v>0</v>
      </c>
      <c r="G334" s="121">
        <f>COUNTIFS($M$4:M290,"Acción Mejora",$B$4:B290,$C334)</f>
        <v>0</v>
      </c>
      <c r="H334" s="555"/>
      <c r="I334" s="151"/>
      <c r="J334" s="298">
        <f t="shared" si="153"/>
        <v>9</v>
      </c>
      <c r="K334" s="121">
        <f>COUNTIFS($R$4:R295,"Abierta",$B$4:B295,$C334)</f>
        <v>7</v>
      </c>
      <c r="L334" s="163">
        <f>COUNTIFS($R$4:R295,"Cerrada",$B$4:B295,$C334)</f>
        <v>2</v>
      </c>
      <c r="X334" s="99"/>
      <c r="Y334" s="99"/>
      <c r="Z334" s="436"/>
      <c r="AA334" s="297"/>
      <c r="AB334" s="296"/>
    </row>
    <row r="335" spans="2:28" ht="15" thickBot="1" x14ac:dyDescent="0.25">
      <c r="B335" s="413"/>
      <c r="C335" s="416" t="s">
        <v>65</v>
      </c>
      <c r="D335" s="347">
        <f>COUNTIFS($M$4:M290,"Corrección",$B$4:B290,$C335)</f>
        <v>2</v>
      </c>
      <c r="E335" s="131">
        <f>COUNTIFS($M$4:M290,"Acción Correctiva",$B$4:B290,$C335)</f>
        <v>6</v>
      </c>
      <c r="F335" s="131">
        <f>COUNTIFS($M$4:M290,"Acción Preventiva",$B$4:B290,$C335)</f>
        <v>0</v>
      </c>
      <c r="G335" s="131">
        <f>COUNTIFS($M$4:M290,"Acción Mejora",$B$4:B290,$C335)</f>
        <v>0</v>
      </c>
      <c r="H335" s="555"/>
      <c r="I335" s="151"/>
      <c r="J335" s="301">
        <f t="shared" si="153"/>
        <v>8</v>
      </c>
      <c r="K335" s="131">
        <f>COUNTIFS($R$4:R296,"Abierta",$B$4:B296,$C335)</f>
        <v>4</v>
      </c>
      <c r="L335" s="300">
        <f>COUNTIFS($R$4:R296,"Cerrada",$B$4:B296,$C335)</f>
        <v>4</v>
      </c>
      <c r="X335" s="99"/>
      <c r="Y335" s="99"/>
      <c r="Z335" s="436"/>
      <c r="AA335" s="297"/>
      <c r="AB335" s="296"/>
    </row>
    <row r="336" spans="2:28" ht="17.25" thickTop="1" thickBot="1" x14ac:dyDescent="0.25">
      <c r="B336" s="99"/>
      <c r="C336" s="442" t="s">
        <v>86</v>
      </c>
      <c r="D336" s="352">
        <f>SUM(D323:D335)</f>
        <v>69</v>
      </c>
      <c r="E336" s="353">
        <f>SUM(E323:E335)</f>
        <v>89</v>
      </c>
      <c r="F336" s="574">
        <f>SUM(F323:F335)</f>
        <v>6</v>
      </c>
      <c r="G336" s="353">
        <f>SUM(G323:G335)</f>
        <v>0</v>
      </c>
      <c r="H336" s="549"/>
      <c r="I336" s="32"/>
      <c r="J336" s="252">
        <f>SUM(J323:J335)</f>
        <v>164</v>
      </c>
      <c r="K336" s="162">
        <f>SUM(K323:K335)</f>
        <v>90</v>
      </c>
      <c r="L336" s="162">
        <f>SUM(L323:L335)</f>
        <v>78</v>
      </c>
      <c r="X336" s="99"/>
      <c r="Y336" s="165"/>
      <c r="Z336" s="436"/>
      <c r="AA336" s="297"/>
      <c r="AB336" s="296"/>
    </row>
    <row r="337" spans="2:28" ht="15" thickBot="1" x14ac:dyDescent="0.25">
      <c r="B337" s="99"/>
      <c r="F337" s="566" t="s">
        <v>203</v>
      </c>
      <c r="G337" s="573">
        <f>SUM(D336:G336)</f>
        <v>164</v>
      </c>
      <c r="H337" s="549"/>
      <c r="I337" s="32"/>
      <c r="J337" s="430"/>
      <c r="X337" s="99"/>
      <c r="Y337" s="99"/>
      <c r="Z337" s="436"/>
      <c r="AA337" s="297"/>
      <c r="AB337" s="296"/>
    </row>
    <row r="338" spans="2:28" ht="36.75" customHeight="1" x14ac:dyDescent="0.2">
      <c r="G338" s="32"/>
      <c r="H338" s="556"/>
      <c r="I338" s="32"/>
      <c r="J338" s="741" t="s">
        <v>982</v>
      </c>
      <c r="K338" s="741"/>
      <c r="L338" s="741"/>
      <c r="X338" s="99"/>
      <c r="Y338" s="99"/>
      <c r="Z338" s="436"/>
      <c r="AA338" s="297"/>
      <c r="AB338" s="296"/>
    </row>
    <row r="339" spans="2:28" x14ac:dyDescent="0.2">
      <c r="G339" s="32"/>
      <c r="H339" s="549"/>
      <c r="I339" s="32"/>
      <c r="J339" s="430"/>
      <c r="X339" s="99"/>
      <c r="Y339" s="99"/>
      <c r="Z339" s="436"/>
      <c r="AA339" s="297"/>
      <c r="AB339" s="296"/>
    </row>
    <row r="340" spans="2:28" x14ac:dyDescent="0.2">
      <c r="G340" s="32"/>
      <c r="H340" s="549"/>
      <c r="I340" s="32"/>
      <c r="J340" s="430"/>
      <c r="X340" s="99"/>
      <c r="Y340" s="99"/>
      <c r="Z340" s="436"/>
      <c r="AA340" s="297"/>
      <c r="AB340" s="296"/>
    </row>
    <row r="341" spans="2:28" x14ac:dyDescent="0.2">
      <c r="G341" s="32"/>
      <c r="H341" s="549"/>
      <c r="I341" s="32"/>
      <c r="J341" s="430"/>
      <c r="X341" s="99"/>
      <c r="Y341" s="99"/>
      <c r="Z341" s="436"/>
      <c r="AA341" s="297"/>
      <c r="AB341" s="296"/>
    </row>
    <row r="342" spans="2:28" x14ac:dyDescent="0.2">
      <c r="G342" s="32"/>
      <c r="H342" s="549"/>
      <c r="I342" s="32"/>
      <c r="J342" s="430"/>
      <c r="Z342" s="297"/>
      <c r="AA342" s="297"/>
      <c r="AB342" s="296"/>
    </row>
    <row r="343" spans="2:28" x14ac:dyDescent="0.2">
      <c r="G343" s="32"/>
      <c r="H343" s="549"/>
      <c r="I343" s="32"/>
      <c r="J343" s="430"/>
      <c r="Z343" s="297"/>
      <c r="AA343" s="297"/>
      <c r="AB343" s="296"/>
    </row>
    <row r="344" spans="2:28" x14ac:dyDescent="0.2">
      <c r="G344" s="32"/>
      <c r="H344" s="549"/>
      <c r="I344" s="32"/>
      <c r="J344" s="430"/>
      <c r="Z344" s="297"/>
      <c r="AA344" s="297"/>
      <c r="AB344" s="296"/>
    </row>
    <row r="345" spans="2:28" x14ac:dyDescent="0.2">
      <c r="G345" s="32"/>
      <c r="H345" s="549"/>
      <c r="I345" s="32"/>
      <c r="J345" s="430"/>
      <c r="Z345" s="297"/>
      <c r="AA345" s="297"/>
      <c r="AB345" s="296"/>
    </row>
  </sheetData>
  <sheetProtection algorithmName="SHA-512" hashValue="RbCVTjxePP6jRfgUk40XvX1lOx3ePuMiME3hLNkh9JPNPIiXOOfydEEpudGiZsfvVx26dqzgHOZK1smb60r8lg==" saltValue="q7YHm9YSFU7S/8KI//YZrw==" spinCount="100000" sheet="1" objects="1" scenarios="1"/>
  <autoFilter ref="A3:Y317"/>
  <mergeCells count="713">
    <mergeCell ref="G226:G227"/>
    <mergeCell ref="H226:H227"/>
    <mergeCell ref="I226:I227"/>
    <mergeCell ref="J226:J227"/>
    <mergeCell ref="K226:K227"/>
    <mergeCell ref="L226:L227"/>
    <mergeCell ref="C249:C250"/>
    <mergeCell ref="D249:D250"/>
    <mergeCell ref="E249:E250"/>
    <mergeCell ref="F249:F250"/>
    <mergeCell ref="G249:G250"/>
    <mergeCell ref="H249:H250"/>
    <mergeCell ref="I249:I250"/>
    <mergeCell ref="J249:J250"/>
    <mergeCell ref="K249:K250"/>
    <mergeCell ref="C247:C248"/>
    <mergeCell ref="D247:D248"/>
    <mergeCell ref="G247:G248"/>
    <mergeCell ref="H247:H248"/>
    <mergeCell ref="I247:I248"/>
    <mergeCell ref="C243:C244"/>
    <mergeCell ref="D234:D235"/>
    <mergeCell ref="J321:L321"/>
    <mergeCell ref="J338:L338"/>
    <mergeCell ref="C245:C246"/>
    <mergeCell ref="D245:D246"/>
    <mergeCell ref="E245:E246"/>
    <mergeCell ref="F245:F246"/>
    <mergeCell ref="G245:G246"/>
    <mergeCell ref="H245:H246"/>
    <mergeCell ref="J245:J246"/>
    <mergeCell ref="K245:K246"/>
    <mergeCell ref="J247:J248"/>
    <mergeCell ref="K247:K248"/>
    <mergeCell ref="C268:C269"/>
    <mergeCell ref="D268:D269"/>
    <mergeCell ref="E268:E269"/>
    <mergeCell ref="F268:F269"/>
    <mergeCell ref="G268:G269"/>
    <mergeCell ref="H268:H269"/>
    <mergeCell ref="I268:I269"/>
    <mergeCell ref="C266:C267"/>
    <mergeCell ref="D266:D267"/>
    <mergeCell ref="E266:E267"/>
    <mergeCell ref="F266:F267"/>
    <mergeCell ref="G266:G267"/>
    <mergeCell ref="C264:C265"/>
    <mergeCell ref="D264:D265"/>
    <mergeCell ref="L228:L230"/>
    <mergeCell ref="J243:J244"/>
    <mergeCell ref="K243:K244"/>
    <mergeCell ref="L243:L244"/>
    <mergeCell ref="K234:K235"/>
    <mergeCell ref="L234:L235"/>
    <mergeCell ref="L232:L233"/>
    <mergeCell ref="I232:I233"/>
    <mergeCell ref="J232:J233"/>
    <mergeCell ref="K232:K233"/>
    <mergeCell ref="K228:K230"/>
    <mergeCell ref="L249:L250"/>
    <mergeCell ref="L245:L246"/>
    <mergeCell ref="G228:G230"/>
    <mergeCell ref="F228:F230"/>
    <mergeCell ref="E228:E230"/>
    <mergeCell ref="E247:E248"/>
    <mergeCell ref="F247:F248"/>
    <mergeCell ref="C234:C235"/>
    <mergeCell ref="D243:D244"/>
    <mergeCell ref="N268:N269"/>
    <mergeCell ref="L264:L265"/>
    <mergeCell ref="K252:K254"/>
    <mergeCell ref="L252:L254"/>
    <mergeCell ref="L247:L248"/>
    <mergeCell ref="K266:K267"/>
    <mergeCell ref="L266:L267"/>
    <mergeCell ref="K264:K265"/>
    <mergeCell ref="H228:H230"/>
    <mergeCell ref="I228:I230"/>
    <mergeCell ref="I234:I235"/>
    <mergeCell ref="J234:J235"/>
    <mergeCell ref="J228:J230"/>
    <mergeCell ref="K268:K269"/>
    <mergeCell ref="L268:L269"/>
    <mergeCell ref="I245:I246"/>
    <mergeCell ref="E243:E244"/>
    <mergeCell ref="F243:F244"/>
    <mergeCell ref="G243:G244"/>
    <mergeCell ref="H243:H244"/>
    <mergeCell ref="H234:H235"/>
    <mergeCell ref="E232:E233"/>
    <mergeCell ref="J268:J269"/>
    <mergeCell ref="H266:H267"/>
    <mergeCell ref="I266:I267"/>
    <mergeCell ref="J266:J267"/>
    <mergeCell ref="I243:I244"/>
    <mergeCell ref="G232:G233"/>
    <mergeCell ref="H232:H233"/>
    <mergeCell ref="E234:E235"/>
    <mergeCell ref="F264:F265"/>
    <mergeCell ref="G264:G265"/>
    <mergeCell ref="H264:H265"/>
    <mergeCell ref="I264:I265"/>
    <mergeCell ref="J264:J265"/>
    <mergeCell ref="E264:E265"/>
    <mergeCell ref="G234:G235"/>
    <mergeCell ref="F234:F235"/>
    <mergeCell ref="A55:A58"/>
    <mergeCell ref="A67:A68"/>
    <mergeCell ref="A87:A88"/>
    <mergeCell ref="A141:A142"/>
    <mergeCell ref="A102:A105"/>
    <mergeCell ref="C189:C190"/>
    <mergeCell ref="B189:B190"/>
    <mergeCell ref="A189:A190"/>
    <mergeCell ref="B171:B173"/>
    <mergeCell ref="C171:C173"/>
    <mergeCell ref="B79:B80"/>
    <mergeCell ref="C79:C80"/>
    <mergeCell ref="B55:B58"/>
    <mergeCell ref="C55:C58"/>
    <mergeCell ref="A171:A173"/>
    <mergeCell ref="I211:I212"/>
    <mergeCell ref="H84:H85"/>
    <mergeCell ref="B84:B85"/>
    <mergeCell ref="C84:C85"/>
    <mergeCell ref="F84:F85"/>
    <mergeCell ref="G84:G85"/>
    <mergeCell ref="B148:B153"/>
    <mergeCell ref="C148:C153"/>
    <mergeCell ref="F148:F153"/>
    <mergeCell ref="G148:G153"/>
    <mergeCell ref="B141:B142"/>
    <mergeCell ref="C141:C142"/>
    <mergeCell ref="F141:F142"/>
    <mergeCell ref="G141:G142"/>
    <mergeCell ref="B102:B105"/>
    <mergeCell ref="C102:C105"/>
    <mergeCell ref="B191:B192"/>
    <mergeCell ref="A191:A192"/>
    <mergeCell ref="D171:D173"/>
    <mergeCell ref="B160:B161"/>
    <mergeCell ref="C160:C161"/>
    <mergeCell ref="D160:D161"/>
    <mergeCell ref="B158:B159"/>
    <mergeCell ref="C158:C159"/>
    <mergeCell ref="D158:D159"/>
    <mergeCell ref="B228:B230"/>
    <mergeCell ref="A228:A230"/>
    <mergeCell ref="B232:B233"/>
    <mergeCell ref="C232:C233"/>
    <mergeCell ref="D232:D233"/>
    <mergeCell ref="B193:B195"/>
    <mergeCell ref="A193:A195"/>
    <mergeCell ref="C193:C195"/>
    <mergeCell ref="F193:F195"/>
    <mergeCell ref="B211:B212"/>
    <mergeCell ref="C211:C212"/>
    <mergeCell ref="D211:D212"/>
    <mergeCell ref="E211:E212"/>
    <mergeCell ref="F211:F212"/>
    <mergeCell ref="A226:A227"/>
    <mergeCell ref="B226:B227"/>
    <mergeCell ref="C226:C227"/>
    <mergeCell ref="D226:D227"/>
    <mergeCell ref="E226:E227"/>
    <mergeCell ref="F226:F227"/>
    <mergeCell ref="B185:B186"/>
    <mergeCell ref="A185:A186"/>
    <mergeCell ref="L84:L85"/>
    <mergeCell ref="A84:A85"/>
    <mergeCell ref="A182:A184"/>
    <mergeCell ref="B187:B188"/>
    <mergeCell ref="A187:A188"/>
    <mergeCell ref="B176:B178"/>
    <mergeCell ref="A176:A178"/>
    <mergeCell ref="F176:F178"/>
    <mergeCell ref="C176:C178"/>
    <mergeCell ref="G176:G178"/>
    <mergeCell ref="H183:H184"/>
    <mergeCell ref="B183:B184"/>
    <mergeCell ref="C183:C184"/>
    <mergeCell ref="F183:F184"/>
    <mergeCell ref="G183:G184"/>
    <mergeCell ref="E171:E173"/>
    <mergeCell ref="F171:F173"/>
    <mergeCell ref="G171:G173"/>
    <mergeCell ref="F102:F105"/>
    <mergeCell ref="G102:G105"/>
    <mergeCell ref="A120:A123"/>
    <mergeCell ref="A148:A153"/>
    <mergeCell ref="K162:K163"/>
    <mergeCell ref="J171:J173"/>
    <mergeCell ref="K171:K173"/>
    <mergeCell ref="L171:L173"/>
    <mergeCell ref="B164:B165"/>
    <mergeCell ref="C164:C165"/>
    <mergeCell ref="D164:D165"/>
    <mergeCell ref="E164:E165"/>
    <mergeCell ref="F164:F165"/>
    <mergeCell ref="G164:G165"/>
    <mergeCell ref="I164:I165"/>
    <mergeCell ref="J164:J165"/>
    <mergeCell ref="K164:K165"/>
    <mergeCell ref="B166:B167"/>
    <mergeCell ref="C166:C167"/>
    <mergeCell ref="D166:D167"/>
    <mergeCell ref="E166:E167"/>
    <mergeCell ref="F166:F167"/>
    <mergeCell ref="G166:G167"/>
    <mergeCell ref="I166:I167"/>
    <mergeCell ref="J166:J167"/>
    <mergeCell ref="K166:K167"/>
    <mergeCell ref="I171:I173"/>
    <mergeCell ref="K158:K159"/>
    <mergeCell ref="B146:B147"/>
    <mergeCell ref="A146:A147"/>
    <mergeCell ref="C146:C147"/>
    <mergeCell ref="F146:F147"/>
    <mergeCell ref="G146:G147"/>
    <mergeCell ref="E160:E161"/>
    <mergeCell ref="F160:F161"/>
    <mergeCell ref="G160:G161"/>
    <mergeCell ref="I160:I161"/>
    <mergeCell ref="J160:J161"/>
    <mergeCell ref="K160:K161"/>
    <mergeCell ref="L146:L147"/>
    <mergeCell ref="B124:B125"/>
    <mergeCell ref="A124:A125"/>
    <mergeCell ref="A126:A128"/>
    <mergeCell ref="B126:B128"/>
    <mergeCell ref="C126:C128"/>
    <mergeCell ref="F126:F128"/>
    <mergeCell ref="G126:G128"/>
    <mergeCell ref="H126:H128"/>
    <mergeCell ref="L126:L128"/>
    <mergeCell ref="I124:I125"/>
    <mergeCell ref="J124:J125"/>
    <mergeCell ref="J126:J128"/>
    <mergeCell ref="D124:D125"/>
    <mergeCell ref="E124:E125"/>
    <mergeCell ref="D126:D128"/>
    <mergeCell ref="H124:H125"/>
    <mergeCell ref="G124:G125"/>
    <mergeCell ref="F124:F125"/>
    <mergeCell ref="C124:C125"/>
    <mergeCell ref="L109:L114"/>
    <mergeCell ref="A117:A118"/>
    <mergeCell ref="B117:B118"/>
    <mergeCell ref="C117:C118"/>
    <mergeCell ref="F117:F118"/>
    <mergeCell ref="G117:G118"/>
    <mergeCell ref="H117:H118"/>
    <mergeCell ref="L117:L118"/>
    <mergeCell ref="H120:H123"/>
    <mergeCell ref="G120:G123"/>
    <mergeCell ref="F120:F123"/>
    <mergeCell ref="C120:C123"/>
    <mergeCell ref="B120:B123"/>
    <mergeCell ref="L120:L123"/>
    <mergeCell ref="H109:H114"/>
    <mergeCell ref="G109:G114"/>
    <mergeCell ref="F109:F114"/>
    <mergeCell ref="C109:C114"/>
    <mergeCell ref="B109:B114"/>
    <mergeCell ref="A109:A114"/>
    <mergeCell ref="D109:D114"/>
    <mergeCell ref="J109:J114"/>
    <mergeCell ref="K109:K114"/>
    <mergeCell ref="E109:E114"/>
    <mergeCell ref="K86:K88"/>
    <mergeCell ref="I93:I96"/>
    <mergeCell ref="E98:E99"/>
    <mergeCell ref="I98:I99"/>
    <mergeCell ref="A93:A96"/>
    <mergeCell ref="L102:L105"/>
    <mergeCell ref="A106:A108"/>
    <mergeCell ref="B106:B108"/>
    <mergeCell ref="C106:C108"/>
    <mergeCell ref="F106:F108"/>
    <mergeCell ref="G106:G108"/>
    <mergeCell ref="H106:H108"/>
    <mergeCell ref="L106:L108"/>
    <mergeCell ref="D106:D108"/>
    <mergeCell ref="K106:K108"/>
    <mergeCell ref="I102:I105"/>
    <mergeCell ref="E102:E105"/>
    <mergeCell ref="I106:I108"/>
    <mergeCell ref="H102:H105"/>
    <mergeCell ref="B93:B96"/>
    <mergeCell ref="C93:C96"/>
    <mergeCell ref="F93:F96"/>
    <mergeCell ref="G93:G96"/>
    <mergeCell ref="H93:H96"/>
    <mergeCell ref="L93:L96"/>
    <mergeCell ref="B98:B99"/>
    <mergeCell ref="A98:A99"/>
    <mergeCell ref="C98:C99"/>
    <mergeCell ref="F98:F99"/>
    <mergeCell ref="G98:G99"/>
    <mergeCell ref="H98:H99"/>
    <mergeCell ref="L98:L99"/>
    <mergeCell ref="D93:D96"/>
    <mergeCell ref="E93:E96"/>
    <mergeCell ref="F79:F80"/>
    <mergeCell ref="G79:G80"/>
    <mergeCell ref="H79:H80"/>
    <mergeCell ref="B87:B88"/>
    <mergeCell ref="C87:C88"/>
    <mergeCell ref="H87:H88"/>
    <mergeCell ref="D86:D88"/>
    <mergeCell ref="E86:E88"/>
    <mergeCell ref="A73:A74"/>
    <mergeCell ref="B73:B74"/>
    <mergeCell ref="C73:C74"/>
    <mergeCell ref="F73:F74"/>
    <mergeCell ref="G73:G74"/>
    <mergeCell ref="A79:A80"/>
    <mergeCell ref="A75:A76"/>
    <mergeCell ref="B75:B76"/>
    <mergeCell ref="C75:C76"/>
    <mergeCell ref="F75:F76"/>
    <mergeCell ref="G75:G76"/>
    <mergeCell ref="L75:L76"/>
    <mergeCell ref="A59:A63"/>
    <mergeCell ref="L59:L63"/>
    <mergeCell ref="B67:B68"/>
    <mergeCell ref="C67:C68"/>
    <mergeCell ref="F67:F68"/>
    <mergeCell ref="G67:G68"/>
    <mergeCell ref="L67:L68"/>
    <mergeCell ref="B69:B70"/>
    <mergeCell ref="C69:C70"/>
    <mergeCell ref="F69:F70"/>
    <mergeCell ref="G69:G70"/>
    <mergeCell ref="L69:L70"/>
    <mergeCell ref="A69:A70"/>
    <mergeCell ref="J67:J68"/>
    <mergeCell ref="I67:I68"/>
    <mergeCell ref="G55:G58"/>
    <mergeCell ref="H55:H58"/>
    <mergeCell ref="L55:L58"/>
    <mergeCell ref="B59:B63"/>
    <mergeCell ref="F59:F63"/>
    <mergeCell ref="G59:G63"/>
    <mergeCell ref="C59:C63"/>
    <mergeCell ref="K59:K63"/>
    <mergeCell ref="L73:L74"/>
    <mergeCell ref="B49:B52"/>
    <mergeCell ref="C49:C52"/>
    <mergeCell ref="F49:F52"/>
    <mergeCell ref="G49:G52"/>
    <mergeCell ref="L49:L52"/>
    <mergeCell ref="A49:A52"/>
    <mergeCell ref="B53:B54"/>
    <mergeCell ref="C53:C54"/>
    <mergeCell ref="F53:F54"/>
    <mergeCell ref="G53:G54"/>
    <mergeCell ref="H53:H54"/>
    <mergeCell ref="L53:L54"/>
    <mergeCell ref="A53:A54"/>
    <mergeCell ref="B4:B6"/>
    <mergeCell ref="C4:C6"/>
    <mergeCell ref="F4:F6"/>
    <mergeCell ref="G4:G6"/>
    <mergeCell ref="B12:B17"/>
    <mergeCell ref="C12:C17"/>
    <mergeCell ref="F12:F17"/>
    <mergeCell ref="G12:G17"/>
    <mergeCell ref="I75:I76"/>
    <mergeCell ref="B18:B19"/>
    <mergeCell ref="C18:C19"/>
    <mergeCell ref="D18:D19"/>
    <mergeCell ref="E18:E19"/>
    <mergeCell ref="F18:F19"/>
    <mergeCell ref="G18:G19"/>
    <mergeCell ref="B28:B31"/>
    <mergeCell ref="C28:C31"/>
    <mergeCell ref="F28:F31"/>
    <mergeCell ref="G28:G31"/>
    <mergeCell ref="B33:B35"/>
    <mergeCell ref="F33:F35"/>
    <mergeCell ref="D33:D35"/>
    <mergeCell ref="E33:E35"/>
    <mergeCell ref="C33:C35"/>
    <mergeCell ref="K120:K123"/>
    <mergeCell ref="K117:K118"/>
    <mergeCell ref="J189:J190"/>
    <mergeCell ref="K189:K190"/>
    <mergeCell ref="D193:D195"/>
    <mergeCell ref="K193:K195"/>
    <mergeCell ref="D187:D188"/>
    <mergeCell ref="E187:E188"/>
    <mergeCell ref="I187:I188"/>
    <mergeCell ref="J187:J188"/>
    <mergeCell ref="K187:K188"/>
    <mergeCell ref="I176:I178"/>
    <mergeCell ref="J176:J178"/>
    <mergeCell ref="G185:G186"/>
    <mergeCell ref="F185:F186"/>
    <mergeCell ref="H191:H192"/>
    <mergeCell ref="H189:H190"/>
    <mergeCell ref="K141:K142"/>
    <mergeCell ref="I148:I153"/>
    <mergeCell ref="J148:J153"/>
    <mergeCell ref="E158:E159"/>
    <mergeCell ref="F158:F159"/>
    <mergeCell ref="G158:G159"/>
    <mergeCell ref="I158:I159"/>
    <mergeCell ref="B222:B223"/>
    <mergeCell ref="C222:C223"/>
    <mergeCell ref="D222:D223"/>
    <mergeCell ref="F222:F223"/>
    <mergeCell ref="E222:E223"/>
    <mergeCell ref="H222:H223"/>
    <mergeCell ref="I222:I223"/>
    <mergeCell ref="J222:J223"/>
    <mergeCell ref="J117:J118"/>
    <mergeCell ref="E117:E118"/>
    <mergeCell ref="D117:D118"/>
    <mergeCell ref="I117:I118"/>
    <mergeCell ref="J158:J159"/>
    <mergeCell ref="B162:B163"/>
    <mergeCell ref="C162:C163"/>
    <mergeCell ref="D162:D163"/>
    <mergeCell ref="E162:E163"/>
    <mergeCell ref="F162:F163"/>
    <mergeCell ref="G162:G163"/>
    <mergeCell ref="I162:I163"/>
    <mergeCell ref="J162:J163"/>
    <mergeCell ref="C191:C192"/>
    <mergeCell ref="F191:F192"/>
    <mergeCell ref="G191:G192"/>
    <mergeCell ref="A211:A212"/>
    <mergeCell ref="B319:G319"/>
    <mergeCell ref="E185:E186"/>
    <mergeCell ref="I185:I186"/>
    <mergeCell ref="J185:J186"/>
    <mergeCell ref="A158:A159"/>
    <mergeCell ref="A160:A161"/>
    <mergeCell ref="A162:A163"/>
    <mergeCell ref="A164:A165"/>
    <mergeCell ref="A166:A167"/>
    <mergeCell ref="H166:H167"/>
    <mergeCell ref="E301:I301"/>
    <mergeCell ref="A219:A221"/>
    <mergeCell ref="B301:B302"/>
    <mergeCell ref="D191:D192"/>
    <mergeCell ref="B219:B221"/>
    <mergeCell ref="E252:E254"/>
    <mergeCell ref="D252:D254"/>
    <mergeCell ref="B252:B254"/>
    <mergeCell ref="C252:C254"/>
    <mergeCell ref="A252:A254"/>
    <mergeCell ref="C219:C221"/>
    <mergeCell ref="E183:E184"/>
    <mergeCell ref="A222:A223"/>
    <mergeCell ref="K4:K6"/>
    <mergeCell ref="D4:D6"/>
    <mergeCell ref="I4:I6"/>
    <mergeCell ref="K12:K17"/>
    <mergeCell ref="E4:E6"/>
    <mergeCell ref="E12:E17"/>
    <mergeCell ref="E49:E52"/>
    <mergeCell ref="E28:E31"/>
    <mergeCell ref="E55:E58"/>
    <mergeCell ref="D53:D54"/>
    <mergeCell ref="D12:D17"/>
    <mergeCell ref="H18:H19"/>
    <mergeCell ref="E53:E54"/>
    <mergeCell ref="D55:D58"/>
    <mergeCell ref="J18:J19"/>
    <mergeCell ref="H4:H6"/>
    <mergeCell ref="K33:K35"/>
    <mergeCell ref="G33:G35"/>
    <mergeCell ref="I33:I35"/>
    <mergeCell ref="J33:J35"/>
    <mergeCell ref="K53:K54"/>
    <mergeCell ref="I18:I19"/>
    <mergeCell ref="K55:K58"/>
    <mergeCell ref="F55:F58"/>
    <mergeCell ref="X126:X128"/>
    <mergeCell ref="V126:V128"/>
    <mergeCell ref="V124:V125"/>
    <mergeCell ref="V120:V123"/>
    <mergeCell ref="X124:X125"/>
    <mergeCell ref="X120:X123"/>
    <mergeCell ref="X106:X108"/>
    <mergeCell ref="X109:X114"/>
    <mergeCell ref="X117:X118"/>
    <mergeCell ref="L12:L17"/>
    <mergeCell ref="L28:L31"/>
    <mergeCell ref="L33:L35"/>
    <mergeCell ref="K18:K19"/>
    <mergeCell ref="L18:L19"/>
    <mergeCell ref="I55:I58"/>
    <mergeCell ref="J55:J58"/>
    <mergeCell ref="I59:I63"/>
    <mergeCell ref="I53:I54"/>
    <mergeCell ref="J53:J54"/>
    <mergeCell ref="I12:I17"/>
    <mergeCell ref="J12:J17"/>
    <mergeCell ref="I28:I31"/>
    <mergeCell ref="I49:I52"/>
    <mergeCell ref="J49:J52"/>
    <mergeCell ref="X4:X6"/>
    <mergeCell ref="X28:X31"/>
    <mergeCell ref="X49:X52"/>
    <mergeCell ref="X53:X54"/>
    <mergeCell ref="X55:X58"/>
    <mergeCell ref="X59:X63"/>
    <mergeCell ref="X67:X68"/>
    <mergeCell ref="J4:J6"/>
    <mergeCell ref="X102:X105"/>
    <mergeCell ref="X73:X74"/>
    <mergeCell ref="X75:X76"/>
    <mergeCell ref="X93:X96"/>
    <mergeCell ref="J75:J76"/>
    <mergeCell ref="K75:K76"/>
    <mergeCell ref="J93:J96"/>
    <mergeCell ref="X98:X99"/>
    <mergeCell ref="K102:K105"/>
    <mergeCell ref="K49:K52"/>
    <mergeCell ref="J102:J105"/>
    <mergeCell ref="J98:J99"/>
    <mergeCell ref="X12:X17"/>
    <mergeCell ref="J28:J31"/>
    <mergeCell ref="K28:K31"/>
    <mergeCell ref="X69:X70"/>
    <mergeCell ref="Q293:W293"/>
    <mergeCell ref="K185:K186"/>
    <mergeCell ref="H158:H159"/>
    <mergeCell ref="H160:H161"/>
    <mergeCell ref="H162:H163"/>
    <mergeCell ref="H164:H165"/>
    <mergeCell ref="H171:H173"/>
    <mergeCell ref="Q301:R301"/>
    <mergeCell ref="I191:I192"/>
    <mergeCell ref="J191:J192"/>
    <mergeCell ref="K191:K192"/>
    <mergeCell ref="L219:L221"/>
    <mergeCell ref="K219:K221"/>
    <mergeCell ref="N222:N223"/>
    <mergeCell ref="P222:P223"/>
    <mergeCell ref="K222:K223"/>
    <mergeCell ref="N219:N220"/>
    <mergeCell ref="J219:J221"/>
    <mergeCell ref="I219:I221"/>
    <mergeCell ref="H219:H221"/>
    <mergeCell ref="L158:L159"/>
    <mergeCell ref="L160:L161"/>
    <mergeCell ref="L162:L163"/>
    <mergeCell ref="L164:L165"/>
    <mergeCell ref="N301:P301"/>
    <mergeCell ref="D148:D153"/>
    <mergeCell ref="E148:E153"/>
    <mergeCell ref="D185:D186"/>
    <mergeCell ref="D146:D147"/>
    <mergeCell ref="E146:E147"/>
    <mergeCell ref="I146:I147"/>
    <mergeCell ref="J146:J147"/>
    <mergeCell ref="K146:K147"/>
    <mergeCell ref="G219:G221"/>
    <mergeCell ref="F219:F221"/>
    <mergeCell ref="E219:E221"/>
    <mergeCell ref="D219:D221"/>
    <mergeCell ref="L148:L153"/>
    <mergeCell ref="L166:L167"/>
    <mergeCell ref="L176:L178"/>
    <mergeCell ref="L183:L184"/>
    <mergeCell ref="L185:L186"/>
    <mergeCell ref="J211:J212"/>
    <mergeCell ref="K211:K212"/>
    <mergeCell ref="L211:L212"/>
    <mergeCell ref="L189:L190"/>
    <mergeCell ref="L191:L192"/>
    <mergeCell ref="F232:F233"/>
    <mergeCell ref="K183:K184"/>
    <mergeCell ref="J193:J195"/>
    <mergeCell ref="E191:E192"/>
    <mergeCell ref="L222:L223"/>
    <mergeCell ref="C294:D294"/>
    <mergeCell ref="E294:F294"/>
    <mergeCell ref="I252:I254"/>
    <mergeCell ref="J252:J254"/>
    <mergeCell ref="H187:H188"/>
    <mergeCell ref="L187:L188"/>
    <mergeCell ref="G187:G188"/>
    <mergeCell ref="F187:F188"/>
    <mergeCell ref="C187:C188"/>
    <mergeCell ref="G189:G190"/>
    <mergeCell ref="F189:F190"/>
    <mergeCell ref="D228:D230"/>
    <mergeCell ref="C228:C230"/>
    <mergeCell ref="G193:G195"/>
    <mergeCell ref="H193:H195"/>
    <mergeCell ref="L193:L195"/>
    <mergeCell ref="G211:G212"/>
    <mergeCell ref="E193:E195"/>
    <mergeCell ref="H211:H212"/>
    <mergeCell ref="C185:C186"/>
    <mergeCell ref="I193:I195"/>
    <mergeCell ref="J301:J302"/>
    <mergeCell ref="C301:D301"/>
    <mergeCell ref="K176:K178"/>
    <mergeCell ref="I189:I190"/>
    <mergeCell ref="L141:L142"/>
    <mergeCell ref="C321:C322"/>
    <mergeCell ref="G252:G254"/>
    <mergeCell ref="F252:F254"/>
    <mergeCell ref="J141:J142"/>
    <mergeCell ref="D141:D142"/>
    <mergeCell ref="E141:E142"/>
    <mergeCell ref="I141:I142"/>
    <mergeCell ref="G222:G223"/>
    <mergeCell ref="H141:H142"/>
    <mergeCell ref="H148:H153"/>
    <mergeCell ref="H176:H178"/>
    <mergeCell ref="H185:H186"/>
    <mergeCell ref="D189:D190"/>
    <mergeCell ref="E189:E190"/>
    <mergeCell ref="L301:M301"/>
    <mergeCell ref="D183:D184"/>
    <mergeCell ref="I183:I184"/>
    <mergeCell ref="J183:J184"/>
    <mergeCell ref="A4:A6"/>
    <mergeCell ref="H12:H17"/>
    <mergeCell ref="A12:A17"/>
    <mergeCell ref="D49:D52"/>
    <mergeCell ref="D28:D31"/>
    <mergeCell ref="D321:G321"/>
    <mergeCell ref="B321:B322"/>
    <mergeCell ref="D176:D178"/>
    <mergeCell ref="E176:E178"/>
    <mergeCell ref="E69:E70"/>
    <mergeCell ref="D73:D74"/>
    <mergeCell ref="H73:H74"/>
    <mergeCell ref="D59:D63"/>
    <mergeCell ref="D79:D80"/>
    <mergeCell ref="D67:D68"/>
    <mergeCell ref="D69:D70"/>
    <mergeCell ref="E79:E80"/>
    <mergeCell ref="H59:H63"/>
    <mergeCell ref="E59:E63"/>
    <mergeCell ref="E73:E74"/>
    <mergeCell ref="E67:E68"/>
    <mergeCell ref="E84:E85"/>
    <mergeCell ref="E106:E108"/>
    <mergeCell ref="H252:H254"/>
    <mergeCell ref="J120:J123"/>
    <mergeCell ref="D120:D123"/>
    <mergeCell ref="E126:E128"/>
    <mergeCell ref="I126:I128"/>
    <mergeCell ref="A18:A19"/>
    <mergeCell ref="H28:H31"/>
    <mergeCell ref="A28:A31"/>
    <mergeCell ref="H33:H35"/>
    <mergeCell ref="H49:H52"/>
    <mergeCell ref="I86:I88"/>
    <mergeCell ref="J86:J88"/>
    <mergeCell ref="I109:I114"/>
    <mergeCell ref="I79:I80"/>
    <mergeCell ref="J79:J80"/>
    <mergeCell ref="I73:I74"/>
    <mergeCell ref="J73:J74"/>
    <mergeCell ref="I69:I70"/>
    <mergeCell ref="J69:J70"/>
    <mergeCell ref="J59:J63"/>
    <mergeCell ref="I84:I85"/>
    <mergeCell ref="D98:D99"/>
    <mergeCell ref="D75:D76"/>
    <mergeCell ref="E75:E76"/>
    <mergeCell ref="A33:A35"/>
    <mergeCell ref="T171:T173"/>
    <mergeCell ref="S171:S173"/>
    <mergeCell ref="H69:H70"/>
    <mergeCell ref="H67:H68"/>
    <mergeCell ref="K148:K153"/>
    <mergeCell ref="K124:K125"/>
    <mergeCell ref="K126:K128"/>
    <mergeCell ref="K93:K96"/>
    <mergeCell ref="D102:D105"/>
    <mergeCell ref="D84:D85"/>
    <mergeCell ref="T73:T74"/>
    <mergeCell ref="S73:S74"/>
    <mergeCell ref="H75:H76"/>
    <mergeCell ref="H146:H147"/>
    <mergeCell ref="E120:E123"/>
    <mergeCell ref="K84:K85"/>
    <mergeCell ref="K67:K68"/>
    <mergeCell ref="K69:K70"/>
    <mergeCell ref="K79:K80"/>
    <mergeCell ref="K73:K74"/>
    <mergeCell ref="K98:K99"/>
    <mergeCell ref="J84:J85"/>
    <mergeCell ref="J106:J108"/>
    <mergeCell ref="I120:I123"/>
    <mergeCell ref="A232:A233"/>
    <mergeCell ref="A234:A235"/>
    <mergeCell ref="A243:A244"/>
    <mergeCell ref="A245:A246"/>
    <mergeCell ref="A247:A248"/>
    <mergeCell ref="B247:B248"/>
    <mergeCell ref="A249:A250"/>
    <mergeCell ref="B249:B250"/>
    <mergeCell ref="A268:A269"/>
    <mergeCell ref="B264:B265"/>
    <mergeCell ref="A264:A265"/>
    <mergeCell ref="B266:B267"/>
    <mergeCell ref="A266:A267"/>
    <mergeCell ref="B268:B269"/>
    <mergeCell ref="B234:B235"/>
    <mergeCell ref="B243:B244"/>
    <mergeCell ref="B245:B246"/>
  </mergeCells>
  <conditionalFormatting sqref="K124:N124 L125:N125 K129:K133 K134:N136 K180:M180 H48 H10 K100:N101 M81:N81 K86:N86 H20:H21 H28 H36:H41 P49:P52 N59:N69 L79:L81 M102:N106 N107:N115 T38 T45:T46 N117:N118 L82:N82 K79 K77:M78 T59:T61 T98 T100 T102:T103 T106:T110 T112 K138:N138 K137 K290:O290 H290 Q290 M79:M80 K179:O179 L201:N201 D322:G322 Q201 Q32:Q43 Q45:Q67 T63 H171:H172 O173 H211 K3:K5 Q4:Q7 L4:O8 Q11:Q30 K7:K12 N75:N80 K81:K82 Q72:Q119 M126:N133 Q126:Q133 K126 K143:N143 O168 H174:H176 K174:O175 O189:O190 H196 K196:O196 Q196 H198:H201 K204:O206 Q204:Q206 H204:H206 Q208 H208 K208 K211 Q211:Q224 H179:H183 Q139:Q157 H7 H4 H12 K224:O224 M221:O222 K222:L222 M223 O223 O220 K219 M220 L213:O219 K197:N198 H75 H64:H67 H71:H73 H69 L9:N12 M13:N17 K32:N32 K18:N18 M29:N31 L33:N33 M34:N35 L44:N49 H53 K53:L53 H59 H55 M50:N58 K55:L55 K59:M59 M60:M63 K64:M67 M68:M69 M70:N70 K69:L69 M74:N74 K71:N73 M76 K75:M75 H77:H79 H81:H84 M88:N88 L87:N87 H89:H93 K89:N93 M94:N96 H100:H102 H97:H98 M99:N99 K97:N98 K102:L102 H109 H106 K106:L106 M107:M114 K109:L109 H115:H117 M118 K115:M117 H119:H120 K119:N120 M121:N123 H124 H126 H143 H129:H141 F143 F139:F141 M142 K139:M141 K144:M146 M147:M153 K148:L148 K154:M158 K160:L160 K162:L162 K164:L164 M159:M167 K166:L166 K168:M171 M172:M173 K176:N176 M177:N178 H185 K181:O183 M184:O186 K185:L185 M188:N188 L187 L189 H193 L193 H86:H87 M85:N85 K83:N84 M227:M251 Q227:Q251 N227:N268 K20:N28 M19:N19 Q159 Q161 Q163:Q188 K36:K49 L36:N42">
    <cfRule type="cellIs" dxfId="986" priority="8709" operator="equal">
      <formula>"Plan Mejoramiento"</formula>
    </cfRule>
    <cfRule type="cellIs" dxfId="985" priority="8710" operator="equal">
      <formula>"Acción Preventiva"</formula>
    </cfRule>
    <cfRule type="cellIs" dxfId="984" priority="8711" operator="equal">
      <formula>"Acción Correctiva"</formula>
    </cfRule>
  </conditionalFormatting>
  <conditionalFormatting sqref="K322:L322 P295:P296 T38 T45:T46 Q4:R7 T59:T61 T98 T100 T102:T103 T106:T110 T112 R290 R201 R44:R67 T63 R69:R83 R86:R123 R204:R206 R208 R211:R224 R138:R188 R196:R198 R126:R136 R227:R268 R8:R42">
    <cfRule type="cellIs" dxfId="983" priority="8705" operator="equal">
      <formula>"Cerrada"</formula>
    </cfRule>
    <cfRule type="cellIs" dxfId="982" priority="8706" operator="equal">
      <formula>"Abierta"</formula>
    </cfRule>
  </conditionalFormatting>
  <conditionalFormatting sqref="K124 M139:M142 K148 M180 H48 H10 K69 K71:K73 K100:K102 K106 K109 K86 H20:H21 H28 H36:H41 P49:P52 N59:N73 K97:K98 N107:N115 T38 T45:T46 N117:N119 M107:M119 K89:K93 K115:K117 K77:K79 T59:T61 T98 T100 T102:T103 T106:T110 T112 K290 H290 M290:O290 Q290 M176:N178 M179:O179 M201:N201 D322:G322 Q201 Q32:Q43 Q45:Q67 T63 H171:H172 O173 H211 K3:K5 Q4:Q7 L4:O8 Q11:Q30 K7:K12 K75 K81:K84 M74:N106 Q72:Q119 K119:K120 Q126:Q133 K126 M120:N136 K129:K141 M138:N138 M143:N143 K143:K146 O168 M144:M173 M174:O175 H174:H176 O189:O190 H196 M196:O196 K196:K198 Q196 H198:H201 M204:O206 Q204:Q206 H204:H206 K204:K206 Q208 M208:O208 H208 K208 K211 Q211:Q224 K179:K183 K185 M181:O186 H179:H183 Q139:Q157 H7 H4 H12 K219 K224 K222 M224:O224 M223 O223 M221:O222 M220 O220 M211:O219 M197:N198 H75 H64:H67 H71:H73 H69 L9:N12 M13:N17 K32:N32 K18:N18 M29:N31 L33:N33 M34:N35 L44:N49 H53 K53:L53 H59 H55 M50:N58 K55:L55 K59:M59 M60:M73 K64:L67 H77:H79 H81:H84 H89:H93 H100:H102 H97:H98 H109 H106 H115:H117 H119:H120 H124 H126 H143 H129:H141 F143 F139:F141 K154:K158 K160 K162 K164 K166 K174:K176 K168:K171 H185 H193 H86:H87 M227:M251 Q227:Q251 N227:N268 K20:N28 M19:N19 Q159 Q161 Q163:Q188 K36:K49 L36:N42">
    <cfRule type="cellIs" dxfId="981" priority="8704" operator="equal">
      <formula>"Corrección"</formula>
    </cfRule>
  </conditionalFormatting>
  <conditionalFormatting sqref="J124 L302:M302 AB302 J148 J53 J69 J71:J73 J100:J102 J106 J109 J86 J32 J59 J97:J98 J55 J64:J67 J89:J93 J115:J117 J77:J79 J290 J201 J4:J18 J75 J81:J84 J119:J120 J126 J143:J146 J204:J206 J208 J211 J179:J183 J185 J219 J224 J222 J196:J198 J129:J141 J20:J28 J154:J158 J160 J162 J164 J166 J174:J176 J168:J171 J255:J258 J232 J234 J236:J243 J245 J247 J252 J249 J228 J226 J261:J264 J36:J50">
    <cfRule type="cellIs" dxfId="980" priority="8592" operator="equal">
      <formula>"Hallazgo Cerrado"</formula>
    </cfRule>
    <cfRule type="cellIs" dxfId="979" priority="8593" operator="equal">
      <formula>"Hallazgo Abierto"</formula>
    </cfRule>
  </conditionalFormatting>
  <conditionalFormatting sqref="E124 C302:D302 E148 E69 E71:E73 E100:E102 E106 E109 E53 E59 E86 E32 E97:E98 E55 E64:E67 E89:E93 E115:E117 E77:E79 E290 E4 E7:E12 E75 E81:E84 E119:E120 E126 E129:E141 E143:E146 E196:E198 E204:E206 E208 E211 E179:E183 E185 E219 E222 E20:E28 E18 E154:E158 E160 E162 E164 E166 E174:E176 E168:E171 E252 E255:E257 E228 E224:E226 E261:E264 E36:E49">
    <cfRule type="cellIs" dxfId="978" priority="8701" operator="equal">
      <formula>"Institucional"</formula>
    </cfRule>
    <cfRule type="cellIs" dxfId="977" priority="8702" operator="equal">
      <formula>"Proceso"</formula>
    </cfRule>
  </conditionalFormatting>
  <conditionalFormatting sqref="AB302 X290 X129:X130 X134 J141 X24:X30 X32 X77 H7 J97:K97 X53 X22 X69 X71:X73 X59 X65:X67 X18:X19 X100:X102 X106 X109 X92 X97:X98 X115:X117 J90:K93 X90 X4:X5 X8:X12 X82:X84 X120 X139:X143 X36:X49">
    <cfRule type="cellIs" dxfId="976" priority="6835" operator="equal">
      <formula>"Recomendación"</formula>
    </cfRule>
    <cfRule type="cellIs" dxfId="975" priority="6836" operator="equal">
      <formula>"No Conformidad"</formula>
    </cfRule>
  </conditionalFormatting>
  <conditionalFormatting sqref="V141 V81:V84 V90:V120 V129:V138 V196:V206 V208 V179:V186 V143:V176 V4:V32 V212:V281 V36:V79">
    <cfRule type="cellIs" dxfId="974" priority="4881" operator="equal">
      <formula>"No ha formulado PM"</formula>
    </cfRule>
    <cfRule type="cellIs" dxfId="973" priority="4882" operator="equal">
      <formula>"Oportuno"</formula>
    </cfRule>
    <cfRule type="cellIs" dxfId="972" priority="4884" operator="equal">
      <formula>"Inoportuno"</formula>
    </cfRule>
  </conditionalFormatting>
  <conditionalFormatting sqref="H297 C297 P302 I148 I32 I97:I117 I77:I79 I201 I59:I75 I81:I93 I119:I124 I126 I129:I146 I196:I198 I204:I206 I208 I211 I179:I183 I185 I219 I224 I222 I20:I28 I4:I18 I174:I176 I154:I158 I160 I162 I164 I168:I171 I166 I255:I258 I232 I234 I236:I243 I245 I247 I252 I249 I228 I226 I261:I264 I36:I55">
    <cfRule type="cellIs" dxfId="971" priority="2960" operator="equal">
      <formula>"Oportunidad de mejora"</formula>
    </cfRule>
    <cfRule type="cellIs" dxfId="970" priority="3214" operator="equal">
      <formula>"Recomendación"</formula>
    </cfRule>
    <cfRule type="cellIs" dxfId="969" priority="3215" operator="equal">
      <formula>"No Conformidad"</formula>
    </cfRule>
  </conditionalFormatting>
  <conditionalFormatting sqref="T40">
    <cfRule type="cellIs" dxfId="968" priority="1199" operator="equal">
      <formula>"Plan Mejoramiento"</formula>
    </cfRule>
    <cfRule type="cellIs" dxfId="967" priority="1200" operator="equal">
      <formula>"Acción Preventiva"</formula>
    </cfRule>
    <cfRule type="cellIs" dxfId="966" priority="1201" operator="equal">
      <formula>"Acción Correctiva"</formula>
    </cfRule>
  </conditionalFormatting>
  <conditionalFormatting sqref="T40">
    <cfRule type="cellIs" dxfId="965" priority="1198" operator="equal">
      <formula>"Corrección"</formula>
    </cfRule>
  </conditionalFormatting>
  <conditionalFormatting sqref="L137:N137">
    <cfRule type="cellIs" dxfId="964" priority="1195" operator="equal">
      <formula>"Plan Mejoramiento"</formula>
    </cfRule>
    <cfRule type="cellIs" dxfId="963" priority="1196" operator="equal">
      <formula>"Acción Preventiva"</formula>
    </cfRule>
    <cfRule type="cellIs" dxfId="962" priority="1197" operator="equal">
      <formula>"Acción Correctiva"</formula>
    </cfRule>
  </conditionalFormatting>
  <conditionalFormatting sqref="R137">
    <cfRule type="cellIs" dxfId="961" priority="1193" operator="equal">
      <formula>"Cerrada"</formula>
    </cfRule>
    <cfRule type="cellIs" dxfId="960" priority="1194" operator="equal">
      <formula>"Abierta"</formula>
    </cfRule>
  </conditionalFormatting>
  <conditionalFormatting sqref="M137:N137">
    <cfRule type="cellIs" dxfId="959" priority="1192" operator="equal">
      <formula>"Corrección"</formula>
    </cfRule>
  </conditionalFormatting>
  <conditionalFormatting sqref="T28">
    <cfRule type="cellIs" dxfId="958" priority="1174" operator="equal">
      <formula>"Plan Mejoramiento"</formula>
    </cfRule>
    <cfRule type="cellIs" dxfId="957" priority="1175" operator="equal">
      <formula>"Acción Preventiva"</formula>
    </cfRule>
    <cfRule type="cellIs" dxfId="956" priority="1176" operator="equal">
      <formula>"Acción Correctiva"</formula>
    </cfRule>
  </conditionalFormatting>
  <conditionalFormatting sqref="T28">
    <cfRule type="cellIs" dxfId="955" priority="1172" operator="equal">
      <formula>"Cerrada"</formula>
    </cfRule>
    <cfRule type="cellIs" dxfId="954" priority="1173" operator="equal">
      <formula>"Abierta"</formula>
    </cfRule>
  </conditionalFormatting>
  <conditionalFormatting sqref="T28">
    <cfRule type="cellIs" dxfId="953" priority="1171" operator="equal">
      <formula>"Corrección"</formula>
    </cfRule>
  </conditionalFormatting>
  <conditionalFormatting sqref="Q120">
    <cfRule type="cellIs" dxfId="952" priority="1164" operator="equal">
      <formula>"Plan Mejoramiento"</formula>
    </cfRule>
    <cfRule type="cellIs" dxfId="951" priority="1165" operator="equal">
      <formula>"Acción Preventiva"</formula>
    </cfRule>
    <cfRule type="cellIs" dxfId="950" priority="1166" operator="equal">
      <formula>"Acción Correctiva"</formula>
    </cfRule>
  </conditionalFormatting>
  <conditionalFormatting sqref="Q120">
    <cfRule type="cellIs" dxfId="949" priority="1163" operator="equal">
      <formula>"Corrección"</formula>
    </cfRule>
  </conditionalFormatting>
  <conditionalFormatting sqref="Q121">
    <cfRule type="cellIs" dxfId="948" priority="1160" operator="equal">
      <formula>"Plan Mejoramiento"</formula>
    </cfRule>
    <cfRule type="cellIs" dxfId="947" priority="1161" operator="equal">
      <formula>"Acción Preventiva"</formula>
    </cfRule>
    <cfRule type="cellIs" dxfId="946" priority="1162" operator="equal">
      <formula>"Acción Correctiva"</formula>
    </cfRule>
  </conditionalFormatting>
  <conditionalFormatting sqref="Q121">
    <cfRule type="cellIs" dxfId="945" priority="1159" operator="equal">
      <formula>"Corrección"</formula>
    </cfRule>
  </conditionalFormatting>
  <conditionalFormatting sqref="Q122">
    <cfRule type="cellIs" dxfId="944" priority="1156" operator="equal">
      <formula>"Plan Mejoramiento"</formula>
    </cfRule>
    <cfRule type="cellIs" dxfId="943" priority="1157" operator="equal">
      <formula>"Acción Preventiva"</formula>
    </cfRule>
    <cfRule type="cellIs" dxfId="942" priority="1158" operator="equal">
      <formula>"Acción Correctiva"</formula>
    </cfRule>
  </conditionalFormatting>
  <conditionalFormatting sqref="Q122">
    <cfRule type="cellIs" dxfId="941" priority="1155" operator="equal">
      <formula>"Corrección"</formula>
    </cfRule>
  </conditionalFormatting>
  <conditionalFormatting sqref="Q123">
    <cfRule type="cellIs" dxfId="940" priority="1152" operator="equal">
      <formula>"Plan Mejoramiento"</formula>
    </cfRule>
    <cfRule type="cellIs" dxfId="939" priority="1153" operator="equal">
      <formula>"Acción Preventiva"</formula>
    </cfRule>
    <cfRule type="cellIs" dxfId="938" priority="1154" operator="equal">
      <formula>"Acción Correctiva"</formula>
    </cfRule>
  </conditionalFormatting>
  <conditionalFormatting sqref="Q123">
    <cfRule type="cellIs" dxfId="937" priority="1151" operator="equal">
      <formula>"Corrección"</formula>
    </cfRule>
  </conditionalFormatting>
  <conditionalFormatting sqref="R124">
    <cfRule type="cellIs" dxfId="936" priority="1149" operator="equal">
      <formula>"Cerrada"</formula>
    </cfRule>
    <cfRule type="cellIs" dxfId="935" priority="1150" operator="equal">
      <formula>"Abierta"</formula>
    </cfRule>
  </conditionalFormatting>
  <conditionalFormatting sqref="Q124">
    <cfRule type="cellIs" dxfId="934" priority="1146" operator="equal">
      <formula>"Plan Mejoramiento"</formula>
    </cfRule>
    <cfRule type="cellIs" dxfId="933" priority="1147" operator="equal">
      <formula>"Acción Preventiva"</formula>
    </cfRule>
    <cfRule type="cellIs" dxfId="932" priority="1148" operator="equal">
      <formula>"Acción Correctiva"</formula>
    </cfRule>
  </conditionalFormatting>
  <conditionalFormatting sqref="Q124">
    <cfRule type="cellIs" dxfId="931" priority="1145" operator="equal">
      <formula>"Corrección"</formula>
    </cfRule>
  </conditionalFormatting>
  <conditionalFormatting sqref="Q125">
    <cfRule type="cellIs" dxfId="930" priority="1142" operator="equal">
      <formula>"Plan Mejoramiento"</formula>
    </cfRule>
    <cfRule type="cellIs" dxfId="929" priority="1143" operator="equal">
      <formula>"Acción Preventiva"</formula>
    </cfRule>
    <cfRule type="cellIs" dxfId="928" priority="1144" operator="equal">
      <formula>"Acción Correctiva"</formula>
    </cfRule>
  </conditionalFormatting>
  <conditionalFormatting sqref="Q125">
    <cfRule type="cellIs" dxfId="927" priority="1141" operator="equal">
      <formula>"Corrección"</formula>
    </cfRule>
  </conditionalFormatting>
  <conditionalFormatting sqref="R125">
    <cfRule type="cellIs" dxfId="926" priority="1139" operator="equal">
      <formula>"Cerrada"</formula>
    </cfRule>
    <cfRule type="cellIs" dxfId="925" priority="1140" operator="equal">
      <formula>"Abierta"</formula>
    </cfRule>
  </conditionalFormatting>
  <conditionalFormatting sqref="Q31">
    <cfRule type="cellIs" dxfId="924" priority="1136" operator="equal">
      <formula>"Plan Mejoramiento"</formula>
    </cfRule>
    <cfRule type="cellIs" dxfId="923" priority="1137" operator="equal">
      <formula>"Acción Preventiva"</formula>
    </cfRule>
    <cfRule type="cellIs" dxfId="922" priority="1138" operator="equal">
      <formula>"Acción Correctiva"</formula>
    </cfRule>
  </conditionalFormatting>
  <conditionalFormatting sqref="Q31">
    <cfRule type="cellIs" dxfId="921" priority="1135" operator="equal">
      <formula>"Corrección"</formula>
    </cfRule>
  </conditionalFormatting>
  <conditionalFormatting sqref="I187">
    <cfRule type="cellIs" dxfId="920" priority="1119" operator="equal">
      <formula>"Oportunidad de mejora"</formula>
    </cfRule>
    <cfRule type="cellIs" dxfId="919" priority="1120" operator="equal">
      <formula>"Recomendación"</formula>
    </cfRule>
    <cfRule type="cellIs" dxfId="918" priority="1121" operator="equal">
      <formula>"No Conformidad"</formula>
    </cfRule>
  </conditionalFormatting>
  <conditionalFormatting sqref="J187">
    <cfRule type="cellIs" dxfId="917" priority="1117" operator="equal">
      <formula>"Hallazgo Cerrado"</formula>
    </cfRule>
    <cfRule type="cellIs" dxfId="916" priority="1118" operator="equal">
      <formula>"Hallazgo Abierto"</formula>
    </cfRule>
  </conditionalFormatting>
  <conditionalFormatting sqref="K187 M187:N187">
    <cfRule type="cellIs" dxfId="915" priority="1114" operator="equal">
      <formula>"Plan Mejoramiento"</formula>
    </cfRule>
    <cfRule type="cellIs" dxfId="914" priority="1115" operator="equal">
      <formula>"Acción Preventiva"</formula>
    </cfRule>
    <cfRule type="cellIs" dxfId="913" priority="1116" operator="equal">
      <formula>"Acción Correctiva"</formula>
    </cfRule>
  </conditionalFormatting>
  <conditionalFormatting sqref="M187:N188 K187">
    <cfRule type="cellIs" dxfId="912" priority="1111" operator="equal">
      <formula>"Corrección"</formula>
    </cfRule>
  </conditionalFormatting>
  <conditionalFormatting sqref="V187">
    <cfRule type="cellIs" dxfId="911" priority="1108" operator="equal">
      <formula>"No ha formulado PM"</formula>
    </cfRule>
    <cfRule type="cellIs" dxfId="910" priority="1109" operator="equal">
      <formula>"Oportuno"</formula>
    </cfRule>
    <cfRule type="cellIs" dxfId="909" priority="1110" operator="equal">
      <formula>"Inoportuno"</formula>
    </cfRule>
  </conditionalFormatting>
  <conditionalFormatting sqref="E187">
    <cfRule type="cellIs" dxfId="908" priority="1106" operator="equal">
      <formula>"Institucional"</formula>
    </cfRule>
    <cfRule type="cellIs" dxfId="907" priority="1107" operator="equal">
      <formula>"Proceso"</formula>
    </cfRule>
  </conditionalFormatting>
  <conditionalFormatting sqref="H187">
    <cfRule type="cellIs" dxfId="906" priority="1103" operator="equal">
      <formula>"Plan Mejoramiento"</formula>
    </cfRule>
    <cfRule type="cellIs" dxfId="905" priority="1104" operator="equal">
      <formula>"Acción Preventiva"</formula>
    </cfRule>
    <cfRule type="cellIs" dxfId="904" priority="1105" operator="equal">
      <formula>"Acción Correctiva"</formula>
    </cfRule>
  </conditionalFormatting>
  <conditionalFormatting sqref="H187">
    <cfRule type="cellIs" dxfId="903" priority="1102" operator="equal">
      <formula>"Corrección"</formula>
    </cfRule>
  </conditionalFormatting>
  <conditionalFormatting sqref="V188">
    <cfRule type="cellIs" dxfId="902" priority="1097" operator="equal">
      <formula>"No ha formulado PM"</formula>
    </cfRule>
    <cfRule type="cellIs" dxfId="901" priority="1098" operator="equal">
      <formula>"Oportuno"</formula>
    </cfRule>
    <cfRule type="cellIs" dxfId="900" priority="1099" operator="equal">
      <formula>"Inoportuno"</formula>
    </cfRule>
  </conditionalFormatting>
  <conditionalFormatting sqref="O187:O188">
    <cfRule type="cellIs" dxfId="899" priority="1094" operator="equal">
      <formula>"Plan Mejoramiento"</formula>
    </cfRule>
    <cfRule type="cellIs" dxfId="898" priority="1095" operator="equal">
      <formula>"Acción Preventiva"</formula>
    </cfRule>
    <cfRule type="cellIs" dxfId="897" priority="1096" operator="equal">
      <formula>"Acción Correctiva"</formula>
    </cfRule>
  </conditionalFormatting>
  <conditionalFormatting sqref="O187:O188">
    <cfRule type="cellIs" dxfId="896" priority="1093" operator="equal">
      <formula>"Corrección"</formula>
    </cfRule>
  </conditionalFormatting>
  <conditionalFormatting sqref="H189">
    <cfRule type="cellIs" dxfId="895" priority="1015" operator="equal">
      <formula>"Plan Mejoramiento"</formula>
    </cfRule>
    <cfRule type="cellIs" dxfId="894" priority="1016" operator="equal">
      <formula>"Acción Preventiva"</formula>
    </cfRule>
    <cfRule type="cellIs" dxfId="893" priority="1017" operator="equal">
      <formula>"Acción Correctiva"</formula>
    </cfRule>
  </conditionalFormatting>
  <conditionalFormatting sqref="H189">
    <cfRule type="cellIs" dxfId="892" priority="1014" operator="equal">
      <formula>"Corrección"</formula>
    </cfRule>
  </conditionalFormatting>
  <conditionalFormatting sqref="E189 E193 E191">
    <cfRule type="cellIs" dxfId="891" priority="1008" operator="equal">
      <formula>"Institucional"</formula>
    </cfRule>
    <cfRule type="cellIs" dxfId="890" priority="1009" operator="equal">
      <formula>"Proceso"</formula>
    </cfRule>
  </conditionalFormatting>
  <conditionalFormatting sqref="I189 I193 I191">
    <cfRule type="cellIs" dxfId="889" priority="1005" operator="equal">
      <formula>"Oportunidad de mejora"</formula>
    </cfRule>
    <cfRule type="cellIs" dxfId="888" priority="1006" operator="equal">
      <formula>"Recomendación"</formula>
    </cfRule>
    <cfRule type="cellIs" dxfId="887" priority="1007" operator="equal">
      <formula>"No Conformidad"</formula>
    </cfRule>
  </conditionalFormatting>
  <conditionalFormatting sqref="J189 J193 J191">
    <cfRule type="cellIs" dxfId="886" priority="1003" operator="equal">
      <formula>"Hallazgo Cerrado"</formula>
    </cfRule>
    <cfRule type="cellIs" dxfId="885" priority="1004" operator="equal">
      <formula>"Hallazgo Abierto"</formula>
    </cfRule>
  </conditionalFormatting>
  <conditionalFormatting sqref="K189 M193 K193 K191 M189:N191">
    <cfRule type="cellIs" dxfId="884" priority="1000" operator="equal">
      <formula>"Plan Mejoramiento"</formula>
    </cfRule>
    <cfRule type="cellIs" dxfId="883" priority="1001" operator="equal">
      <formula>"Acción Preventiva"</formula>
    </cfRule>
    <cfRule type="cellIs" dxfId="882" priority="1002" operator="equal">
      <formula>"Acción Correctiva"</formula>
    </cfRule>
  </conditionalFormatting>
  <conditionalFormatting sqref="K189 M193 K193 K191 M189:N191">
    <cfRule type="cellIs" dxfId="881" priority="997" operator="equal">
      <formula>"Corrección"</formula>
    </cfRule>
  </conditionalFormatting>
  <conditionalFormatting sqref="V189 V193 V191">
    <cfRule type="cellIs" dxfId="880" priority="994" operator="equal">
      <formula>"No ha formulado PM"</formula>
    </cfRule>
    <cfRule type="cellIs" dxfId="879" priority="995" operator="equal">
      <formula>"Oportuno"</formula>
    </cfRule>
    <cfRule type="cellIs" dxfId="878" priority="996" operator="equal">
      <formula>"Inoportuno"</formula>
    </cfRule>
  </conditionalFormatting>
  <conditionalFormatting sqref="R193 R189:R191">
    <cfRule type="cellIs" dxfId="877" priority="989" operator="equal">
      <formula>"Cerrada"</formula>
    </cfRule>
    <cfRule type="cellIs" dxfId="876" priority="990" operator="equal">
      <formula>"Abierta"</formula>
    </cfRule>
  </conditionalFormatting>
  <conditionalFormatting sqref="H191">
    <cfRule type="cellIs" dxfId="875" priority="959" operator="equal">
      <formula>"Plan Mejoramiento"</formula>
    </cfRule>
    <cfRule type="cellIs" dxfId="874" priority="960" operator="equal">
      <formula>"Acción Preventiva"</formula>
    </cfRule>
    <cfRule type="cellIs" dxfId="873" priority="961" operator="equal">
      <formula>"Acción Correctiva"</formula>
    </cfRule>
  </conditionalFormatting>
  <conditionalFormatting sqref="H191">
    <cfRule type="cellIs" dxfId="872" priority="958" operator="equal">
      <formula>"Corrección"</formula>
    </cfRule>
  </conditionalFormatting>
  <conditionalFormatting sqref="M192:N192">
    <cfRule type="cellIs" dxfId="871" priority="948" operator="equal">
      <formula>"Plan Mejoramiento"</formula>
    </cfRule>
    <cfRule type="cellIs" dxfId="870" priority="949" operator="equal">
      <formula>"Acción Preventiva"</formula>
    </cfRule>
    <cfRule type="cellIs" dxfId="869" priority="950" operator="equal">
      <formula>"Acción Correctiva"</formula>
    </cfRule>
  </conditionalFormatting>
  <conditionalFormatting sqref="M192:N192">
    <cfRule type="cellIs" dxfId="868" priority="947" operator="equal">
      <formula>"Corrección"</formula>
    </cfRule>
  </conditionalFormatting>
  <conditionalFormatting sqref="V192">
    <cfRule type="cellIs" dxfId="867" priority="944" operator="equal">
      <formula>"No ha formulado PM"</formula>
    </cfRule>
    <cfRule type="cellIs" dxfId="866" priority="945" operator="equal">
      <formula>"Oportuno"</formula>
    </cfRule>
    <cfRule type="cellIs" dxfId="865" priority="946" operator="equal">
      <formula>"Inoportuno"</formula>
    </cfRule>
  </conditionalFormatting>
  <conditionalFormatting sqref="L191">
    <cfRule type="cellIs" dxfId="864" priority="941" operator="equal">
      <formula>"Plan Mejoramiento"</formula>
    </cfRule>
    <cfRule type="cellIs" dxfId="863" priority="942" operator="equal">
      <formula>"Acción Preventiva"</formula>
    </cfRule>
    <cfRule type="cellIs" dxfId="862" priority="943" operator="equal">
      <formula>"Acción Correctiva"</formula>
    </cfRule>
  </conditionalFormatting>
  <conditionalFormatting sqref="R192">
    <cfRule type="cellIs" dxfId="861" priority="939" operator="equal">
      <formula>"Cerrada"</formula>
    </cfRule>
    <cfRule type="cellIs" dxfId="860" priority="940" operator="equal">
      <formula>"Abierta"</formula>
    </cfRule>
  </conditionalFormatting>
  <conditionalFormatting sqref="O192">
    <cfRule type="cellIs" dxfId="859" priority="936" operator="equal">
      <formula>"Plan Mejoramiento"</formula>
    </cfRule>
    <cfRule type="cellIs" dxfId="858" priority="937" operator="equal">
      <formula>"Acción Preventiva"</formula>
    </cfRule>
    <cfRule type="cellIs" dxfId="857" priority="938" operator="equal">
      <formula>"Acción Correctiva"</formula>
    </cfRule>
  </conditionalFormatting>
  <conditionalFormatting sqref="O192">
    <cfRule type="cellIs" dxfId="856" priority="935" operator="equal">
      <formula>"Corrección"</formula>
    </cfRule>
  </conditionalFormatting>
  <conditionalFormatting sqref="M194:M195">
    <cfRule type="cellIs" dxfId="855" priority="921" operator="equal">
      <formula>"Plan Mejoramiento"</formula>
    </cfRule>
    <cfRule type="cellIs" dxfId="854" priority="922" operator="equal">
      <formula>"Acción Preventiva"</formula>
    </cfRule>
    <cfRule type="cellIs" dxfId="853" priority="923" operator="equal">
      <formula>"Acción Correctiva"</formula>
    </cfRule>
  </conditionalFormatting>
  <conditionalFormatting sqref="M194:M195">
    <cfRule type="cellIs" dxfId="852" priority="920" operator="equal">
      <formula>"Corrección"</formula>
    </cfRule>
  </conditionalFormatting>
  <conditionalFormatting sqref="V194">
    <cfRule type="cellIs" dxfId="851" priority="917" operator="equal">
      <formula>"No ha formulado PM"</formula>
    </cfRule>
    <cfRule type="cellIs" dxfId="850" priority="918" operator="equal">
      <formula>"Oportuno"</formula>
    </cfRule>
    <cfRule type="cellIs" dxfId="849" priority="919" operator="equal">
      <formula>"Inoportuno"</formula>
    </cfRule>
  </conditionalFormatting>
  <conditionalFormatting sqref="R194:R195">
    <cfRule type="cellIs" dxfId="848" priority="912" operator="equal">
      <formula>"Cerrada"</formula>
    </cfRule>
    <cfRule type="cellIs" dxfId="847" priority="913" operator="equal">
      <formula>"Abierta"</formula>
    </cfRule>
  </conditionalFormatting>
  <conditionalFormatting sqref="O193:O195">
    <cfRule type="cellIs" dxfId="846" priority="909" operator="equal">
      <formula>"Plan Mejoramiento"</formula>
    </cfRule>
    <cfRule type="cellIs" dxfId="845" priority="910" operator="equal">
      <formula>"Acción Preventiva"</formula>
    </cfRule>
    <cfRule type="cellIs" dxfId="844" priority="911" operator="equal">
      <formula>"Acción Correctiva"</formula>
    </cfRule>
  </conditionalFormatting>
  <conditionalFormatting sqref="O193:O195">
    <cfRule type="cellIs" dxfId="843" priority="908" operator="equal">
      <formula>"Corrección"</formula>
    </cfRule>
  </conditionalFormatting>
  <conditionalFormatting sqref="T36">
    <cfRule type="cellIs" dxfId="842" priority="878" operator="equal">
      <formula>"Plan Mejoramiento"</formula>
    </cfRule>
    <cfRule type="cellIs" dxfId="841" priority="879" operator="equal">
      <formula>"Acción Preventiva"</formula>
    </cfRule>
    <cfRule type="cellIs" dxfId="840" priority="880" operator="equal">
      <formula>"Acción Correctiva"</formula>
    </cfRule>
  </conditionalFormatting>
  <conditionalFormatting sqref="T36">
    <cfRule type="cellIs" dxfId="839" priority="877" operator="equal">
      <formula>"Corrección"</formula>
    </cfRule>
  </conditionalFormatting>
  <conditionalFormatting sqref="T39">
    <cfRule type="cellIs" dxfId="838" priority="874" operator="equal">
      <formula>"Plan Mejoramiento"</formula>
    </cfRule>
    <cfRule type="cellIs" dxfId="837" priority="875" operator="equal">
      <formula>"Acción Preventiva"</formula>
    </cfRule>
    <cfRule type="cellIs" dxfId="836" priority="876" operator="equal">
      <formula>"Acción Correctiva"</formula>
    </cfRule>
  </conditionalFormatting>
  <conditionalFormatting sqref="T39">
    <cfRule type="cellIs" dxfId="835" priority="873" operator="equal">
      <formula>"Corrección"</formula>
    </cfRule>
  </conditionalFormatting>
  <conditionalFormatting sqref="T81">
    <cfRule type="cellIs" dxfId="834" priority="870" operator="equal">
      <formula>"Plan Mejoramiento"</formula>
    </cfRule>
    <cfRule type="cellIs" dxfId="833" priority="871" operator="equal">
      <formula>"Acción Preventiva"</formula>
    </cfRule>
    <cfRule type="cellIs" dxfId="832" priority="872" operator="equal">
      <formula>"Acción Correctiva"</formula>
    </cfRule>
  </conditionalFormatting>
  <conditionalFormatting sqref="T81">
    <cfRule type="cellIs" dxfId="831" priority="869" operator="equal">
      <formula>"Corrección"</formula>
    </cfRule>
  </conditionalFormatting>
  <conditionalFormatting sqref="T77">
    <cfRule type="cellIs" dxfId="830" priority="866" operator="equal">
      <formula>"Plan Mejoramiento"</formula>
    </cfRule>
    <cfRule type="cellIs" dxfId="829" priority="867" operator="equal">
      <formula>"Acción Preventiva"</formula>
    </cfRule>
    <cfRule type="cellIs" dxfId="828" priority="868" operator="equal">
      <formula>"Acción Correctiva"</formula>
    </cfRule>
  </conditionalFormatting>
  <conditionalFormatting sqref="T77">
    <cfRule type="cellIs" dxfId="827" priority="864" operator="equal">
      <formula>"Cerrada"</formula>
    </cfRule>
    <cfRule type="cellIs" dxfId="826" priority="865" operator="equal">
      <formula>"Abierta"</formula>
    </cfRule>
  </conditionalFormatting>
  <conditionalFormatting sqref="T77">
    <cfRule type="cellIs" dxfId="825" priority="863" operator="equal">
      <formula>"Corrección"</formula>
    </cfRule>
  </conditionalFormatting>
  <conditionalFormatting sqref="T78">
    <cfRule type="cellIs" dxfId="824" priority="860" operator="equal">
      <formula>"Plan Mejoramiento"</formula>
    </cfRule>
    <cfRule type="cellIs" dxfId="823" priority="861" operator="equal">
      <formula>"Acción Preventiva"</formula>
    </cfRule>
    <cfRule type="cellIs" dxfId="822" priority="862" operator="equal">
      <formula>"Acción Correctiva"</formula>
    </cfRule>
  </conditionalFormatting>
  <conditionalFormatting sqref="T78">
    <cfRule type="cellIs" dxfId="821" priority="858" operator="equal">
      <formula>"Cerrada"</formula>
    </cfRule>
    <cfRule type="cellIs" dxfId="820" priority="859" operator="equal">
      <formula>"Abierta"</formula>
    </cfRule>
  </conditionalFormatting>
  <conditionalFormatting sqref="T78">
    <cfRule type="cellIs" dxfId="819" priority="857" operator="equal">
      <formula>"Corrección"</formula>
    </cfRule>
  </conditionalFormatting>
  <conditionalFormatting sqref="E201">
    <cfRule type="cellIs" dxfId="818" priority="826" operator="equal">
      <formula>"Institucional"</formula>
    </cfRule>
    <cfRule type="cellIs" dxfId="817" priority="827" operator="equal">
      <formula>"Proceso"</formula>
    </cfRule>
  </conditionalFormatting>
  <conditionalFormatting sqref="K201">
    <cfRule type="cellIs" dxfId="816" priority="820" operator="equal">
      <formula>"Plan Mejoramiento"</formula>
    </cfRule>
    <cfRule type="cellIs" dxfId="815" priority="821" operator="equal">
      <formula>"Acción Preventiva"</formula>
    </cfRule>
    <cfRule type="cellIs" dxfId="814" priority="822" operator="equal">
      <formula>"Acción Correctiva"</formula>
    </cfRule>
  </conditionalFormatting>
  <conditionalFormatting sqref="K201">
    <cfRule type="cellIs" dxfId="813" priority="819" operator="equal">
      <formula>"Corrección"</formula>
    </cfRule>
  </conditionalFormatting>
  <conditionalFormatting sqref="T32">
    <cfRule type="cellIs" dxfId="812" priority="806" operator="equal">
      <formula>"Plan Mejoramiento"</formula>
    </cfRule>
    <cfRule type="cellIs" dxfId="811" priority="807" operator="equal">
      <formula>"Acción Preventiva"</formula>
    </cfRule>
    <cfRule type="cellIs" dxfId="810" priority="808" operator="equal">
      <formula>"Acción Correctiva"</formula>
    </cfRule>
  </conditionalFormatting>
  <conditionalFormatting sqref="T32">
    <cfRule type="cellIs" dxfId="809" priority="805" operator="equal">
      <formula>"Corrección"</formula>
    </cfRule>
  </conditionalFormatting>
  <conditionalFormatting sqref="X33:X35">
    <cfRule type="cellIs" dxfId="808" priority="803" operator="equal">
      <formula>"Recomendación"</formula>
    </cfRule>
    <cfRule type="cellIs" dxfId="807" priority="804" operator="equal">
      <formula>"No Conformidad"</formula>
    </cfRule>
  </conditionalFormatting>
  <conditionalFormatting sqref="V33:V35">
    <cfRule type="cellIs" dxfId="806" priority="800" operator="equal">
      <formula>"No ha formulado PM"</formula>
    </cfRule>
    <cfRule type="cellIs" dxfId="805" priority="801" operator="equal">
      <formula>"Oportuno"</formula>
    </cfRule>
    <cfRule type="cellIs" dxfId="804" priority="802" operator="equal">
      <formula>"Inoportuno"</formula>
    </cfRule>
  </conditionalFormatting>
  <conditionalFormatting sqref="V80">
    <cfRule type="cellIs" dxfId="803" priority="797" operator="equal">
      <formula>"No ha formulado PM"</formula>
    </cfRule>
    <cfRule type="cellIs" dxfId="802" priority="798" operator="equal">
      <formula>"Oportuno"</formula>
    </cfRule>
    <cfRule type="cellIs" dxfId="801" priority="799" operator="equal">
      <formula>"Inoportuno"</formula>
    </cfRule>
  </conditionalFormatting>
  <conditionalFormatting sqref="V190">
    <cfRule type="cellIs" dxfId="800" priority="735" operator="equal">
      <formula>"No ha formulado PM"</formula>
    </cfRule>
    <cfRule type="cellIs" dxfId="799" priority="736" operator="equal">
      <formula>"Oportuno"</formula>
    </cfRule>
    <cfRule type="cellIs" dxfId="798" priority="737" operator="equal">
      <formula>"Inoportuno"</formula>
    </cfRule>
  </conditionalFormatting>
  <conditionalFormatting sqref="O191">
    <cfRule type="cellIs" dxfId="797" priority="732" operator="equal">
      <formula>"Plan Mejoramiento"</formula>
    </cfRule>
    <cfRule type="cellIs" dxfId="796" priority="733" operator="equal">
      <formula>"Acción Preventiva"</formula>
    </cfRule>
    <cfRule type="cellIs" dxfId="795" priority="734" operator="equal">
      <formula>"Acción Correctiva"</formula>
    </cfRule>
  </conditionalFormatting>
  <conditionalFormatting sqref="O191">
    <cfRule type="cellIs" dxfId="794" priority="731" operator="equal">
      <formula>"Corrección"</formula>
    </cfRule>
  </conditionalFormatting>
  <conditionalFormatting sqref="V195">
    <cfRule type="cellIs" dxfId="793" priority="728" operator="equal">
      <formula>"No ha formulado PM"</formula>
    </cfRule>
    <cfRule type="cellIs" dxfId="792" priority="729" operator="equal">
      <formula>"Oportuno"</formula>
    </cfRule>
    <cfRule type="cellIs" dxfId="791" priority="730" operator="equal">
      <formula>"Inoportuno"</formula>
    </cfRule>
  </conditionalFormatting>
  <conditionalFormatting sqref="V177:V178">
    <cfRule type="cellIs" dxfId="790" priority="718" operator="equal">
      <formula>"No ha formulado PM"</formula>
    </cfRule>
    <cfRule type="cellIs" dxfId="789" priority="719" operator="equal">
      <formula>"Oportuno"</formula>
    </cfRule>
    <cfRule type="cellIs" dxfId="788" priority="720" operator="equal">
      <formula>"Inoportuno"</formula>
    </cfRule>
  </conditionalFormatting>
  <conditionalFormatting sqref="T54">
    <cfRule type="cellIs" dxfId="787" priority="715" operator="equal">
      <formula>"Plan Mejoramiento"</formula>
    </cfRule>
    <cfRule type="cellIs" dxfId="786" priority="716" operator="equal">
      <formula>"Acción Preventiva"</formula>
    </cfRule>
    <cfRule type="cellIs" dxfId="785" priority="717" operator="equal">
      <formula>"Acción Correctiva"</formula>
    </cfRule>
  </conditionalFormatting>
  <conditionalFormatting sqref="T54">
    <cfRule type="cellIs" dxfId="784" priority="714" operator="equal">
      <formula>"Corrección"</formula>
    </cfRule>
  </conditionalFormatting>
  <conditionalFormatting sqref="T53">
    <cfRule type="cellIs" dxfId="783" priority="711" operator="equal">
      <formula>"Plan Mejoramiento"</formula>
    </cfRule>
    <cfRule type="cellIs" dxfId="782" priority="712" operator="equal">
      <formula>"Acción Preventiva"</formula>
    </cfRule>
    <cfRule type="cellIs" dxfId="781" priority="713" operator="equal">
      <formula>"Acción Correctiva"</formula>
    </cfRule>
  </conditionalFormatting>
  <conditionalFormatting sqref="T53">
    <cfRule type="cellIs" dxfId="780" priority="710" operator="equal">
      <formula>"Corrección"</formula>
    </cfRule>
  </conditionalFormatting>
  <conditionalFormatting sqref="T126">
    <cfRule type="cellIs" dxfId="779" priority="707" operator="equal">
      <formula>"Plan Mejoramiento"</formula>
    </cfRule>
    <cfRule type="cellIs" dxfId="778" priority="708" operator="equal">
      <formula>"Acción Preventiva"</formula>
    </cfRule>
    <cfRule type="cellIs" dxfId="777" priority="709" operator="equal">
      <formula>"Acción Correctiva"</formula>
    </cfRule>
  </conditionalFormatting>
  <conditionalFormatting sqref="T126">
    <cfRule type="cellIs" dxfId="776" priority="706" operator="equal">
      <formula>"Corrección"</formula>
    </cfRule>
  </conditionalFormatting>
  <conditionalFormatting sqref="T127">
    <cfRule type="cellIs" dxfId="775" priority="703" operator="equal">
      <formula>"Plan Mejoramiento"</formula>
    </cfRule>
    <cfRule type="cellIs" dxfId="774" priority="704" operator="equal">
      <formula>"Acción Preventiva"</formula>
    </cfRule>
    <cfRule type="cellIs" dxfId="773" priority="705" operator="equal">
      <formula>"Acción Correctiva"</formula>
    </cfRule>
  </conditionalFormatting>
  <conditionalFormatting sqref="T127">
    <cfRule type="cellIs" dxfId="772" priority="702" operator="equal">
      <formula>"Corrección"</formula>
    </cfRule>
  </conditionalFormatting>
  <conditionalFormatting sqref="T128">
    <cfRule type="cellIs" dxfId="771" priority="699" operator="equal">
      <formula>"Plan Mejoramiento"</formula>
    </cfRule>
    <cfRule type="cellIs" dxfId="770" priority="700" operator="equal">
      <formula>"Acción Preventiva"</formula>
    </cfRule>
    <cfRule type="cellIs" dxfId="769" priority="701" operator="equal">
      <formula>"Acción Correctiva"</formula>
    </cfRule>
  </conditionalFormatting>
  <conditionalFormatting sqref="T128">
    <cfRule type="cellIs" dxfId="768" priority="698" operator="equal">
      <formula>"Corrección"</formula>
    </cfRule>
  </conditionalFormatting>
  <conditionalFormatting sqref="T129">
    <cfRule type="cellIs" dxfId="767" priority="695" operator="equal">
      <formula>"Plan Mejoramiento"</formula>
    </cfRule>
    <cfRule type="cellIs" dxfId="766" priority="696" operator="equal">
      <formula>"Acción Preventiva"</formula>
    </cfRule>
    <cfRule type="cellIs" dxfId="765" priority="697" operator="equal">
      <formula>"Acción Correctiva"</formula>
    </cfRule>
  </conditionalFormatting>
  <conditionalFormatting sqref="T129">
    <cfRule type="cellIs" dxfId="764" priority="694" operator="equal">
      <formula>"Corrección"</formula>
    </cfRule>
  </conditionalFormatting>
  <conditionalFormatting sqref="T130">
    <cfRule type="cellIs" dxfId="763" priority="691" operator="equal">
      <formula>"Plan Mejoramiento"</formula>
    </cfRule>
    <cfRule type="cellIs" dxfId="762" priority="692" operator="equal">
      <formula>"Acción Preventiva"</formula>
    </cfRule>
    <cfRule type="cellIs" dxfId="761" priority="693" operator="equal">
      <formula>"Acción Correctiva"</formula>
    </cfRule>
  </conditionalFormatting>
  <conditionalFormatting sqref="T130">
    <cfRule type="cellIs" dxfId="760" priority="690" operator="equal">
      <formula>"Corrección"</formula>
    </cfRule>
  </conditionalFormatting>
  <conditionalFormatting sqref="Q202:Q203 L202:O203 H202:H203 H207 M207:O207 Q207">
    <cfRule type="cellIs" dxfId="759" priority="687" operator="equal">
      <formula>"Plan Mejoramiento"</formula>
    </cfRule>
    <cfRule type="cellIs" dxfId="758" priority="688" operator="equal">
      <formula>"Acción Preventiva"</formula>
    </cfRule>
    <cfRule type="cellIs" dxfId="757" priority="689" operator="equal">
      <formula>"Acción Correctiva"</formula>
    </cfRule>
  </conditionalFormatting>
  <conditionalFormatting sqref="R202:R203 R207">
    <cfRule type="cellIs" dxfId="756" priority="685" operator="equal">
      <formula>"Cerrada"</formula>
    </cfRule>
    <cfRule type="cellIs" dxfId="755" priority="686" operator="equal">
      <formula>"Abierta"</formula>
    </cfRule>
  </conditionalFormatting>
  <conditionalFormatting sqref="Q202:Q203 M202:O203 H202:H203 H207 M207:O207 Q207">
    <cfRule type="cellIs" dxfId="754" priority="684" operator="equal">
      <formula>"Corrección"</formula>
    </cfRule>
  </conditionalFormatting>
  <conditionalFormatting sqref="J207">
    <cfRule type="cellIs" dxfId="753" priority="682" operator="equal">
      <formula>"Hallazgo Cerrado"</formula>
    </cfRule>
    <cfRule type="cellIs" dxfId="752" priority="683" operator="equal">
      <formula>"Hallazgo Abierto"</formula>
    </cfRule>
  </conditionalFormatting>
  <conditionalFormatting sqref="I207">
    <cfRule type="cellIs" dxfId="751" priority="676" operator="equal">
      <formula>"Oportunidad de mejora"</formula>
    </cfRule>
    <cfRule type="cellIs" dxfId="750" priority="677" operator="equal">
      <formula>"Recomendación"</formula>
    </cfRule>
    <cfRule type="cellIs" dxfId="749" priority="678" operator="equal">
      <formula>"No Conformidad"</formula>
    </cfRule>
  </conditionalFormatting>
  <conditionalFormatting sqref="E207">
    <cfRule type="cellIs" dxfId="748" priority="674" operator="equal">
      <formula>"Institucional"</formula>
    </cfRule>
    <cfRule type="cellIs" dxfId="747" priority="675" operator="equal">
      <formula>"Proceso"</formula>
    </cfRule>
  </conditionalFormatting>
  <conditionalFormatting sqref="K207">
    <cfRule type="cellIs" dxfId="746" priority="671" operator="equal">
      <formula>"Plan Mejoramiento"</formula>
    </cfRule>
    <cfRule type="cellIs" dxfId="745" priority="672" operator="equal">
      <formula>"Acción Preventiva"</formula>
    </cfRule>
    <cfRule type="cellIs" dxfId="744" priority="673" operator="equal">
      <formula>"Acción Correctiva"</formula>
    </cfRule>
  </conditionalFormatting>
  <conditionalFormatting sqref="K207">
    <cfRule type="cellIs" dxfId="743" priority="670" operator="equal">
      <formula>"Corrección"</formula>
    </cfRule>
  </conditionalFormatting>
  <conditionalFormatting sqref="O201">
    <cfRule type="cellIs" dxfId="742" priority="648" operator="equal">
      <formula>"Plan Mejoramiento"</formula>
    </cfRule>
    <cfRule type="cellIs" dxfId="741" priority="649" operator="equal">
      <formula>"Acción Preventiva"</formula>
    </cfRule>
    <cfRule type="cellIs" dxfId="740" priority="650" operator="equal">
      <formula>"Acción Correctiva"</formula>
    </cfRule>
  </conditionalFormatting>
  <conditionalFormatting sqref="O201">
    <cfRule type="cellIs" dxfId="739" priority="647" operator="equal">
      <formula>"Corrección"</formula>
    </cfRule>
  </conditionalFormatting>
  <conditionalFormatting sqref="T124">
    <cfRule type="cellIs" dxfId="738" priority="644" operator="equal">
      <formula>"Plan Mejoramiento"</formula>
    </cfRule>
    <cfRule type="cellIs" dxfId="737" priority="645" operator="equal">
      <formula>"Acción Preventiva"</formula>
    </cfRule>
    <cfRule type="cellIs" dxfId="736" priority="646" operator="equal">
      <formula>"Acción Correctiva"</formula>
    </cfRule>
  </conditionalFormatting>
  <conditionalFormatting sqref="T124">
    <cfRule type="cellIs" dxfId="735" priority="643" operator="equal">
      <formula>"Corrección"</formula>
    </cfRule>
  </conditionalFormatting>
  <conditionalFormatting sqref="T125">
    <cfRule type="cellIs" dxfId="734" priority="640" operator="equal">
      <formula>"Plan Mejoramiento"</formula>
    </cfRule>
    <cfRule type="cellIs" dxfId="733" priority="641" operator="equal">
      <formula>"Acción Preventiva"</formula>
    </cfRule>
    <cfRule type="cellIs" dxfId="732" priority="642" operator="equal">
      <formula>"Acción Correctiva"</formula>
    </cfRule>
  </conditionalFormatting>
  <conditionalFormatting sqref="T125">
    <cfRule type="cellIs" dxfId="731" priority="639" operator="equal">
      <formula>"Corrección"</formula>
    </cfRule>
  </conditionalFormatting>
  <conditionalFormatting sqref="E202:E203">
    <cfRule type="cellIs" dxfId="730" priority="633" operator="equal">
      <formula>"Institucional"</formula>
    </cfRule>
    <cfRule type="cellIs" dxfId="729" priority="634" operator="equal">
      <formula>"Proceso"</formula>
    </cfRule>
  </conditionalFormatting>
  <conditionalFormatting sqref="J202:J203">
    <cfRule type="cellIs" dxfId="728" priority="631" operator="equal">
      <formula>"Hallazgo Cerrado"</formula>
    </cfRule>
    <cfRule type="cellIs" dxfId="727" priority="632" operator="equal">
      <formula>"Hallazgo Abierto"</formula>
    </cfRule>
  </conditionalFormatting>
  <conditionalFormatting sqref="I202:I203">
    <cfRule type="cellIs" dxfId="726" priority="628" operator="equal">
      <formula>"Oportunidad de mejora"</formula>
    </cfRule>
    <cfRule type="cellIs" dxfId="725" priority="629" operator="equal">
      <formula>"Recomendación"</formula>
    </cfRule>
    <cfRule type="cellIs" dxfId="724" priority="630" operator="equal">
      <formula>"No Conformidad"</formula>
    </cfRule>
  </conditionalFormatting>
  <conditionalFormatting sqref="K202:K203">
    <cfRule type="cellIs" dxfId="723" priority="625" operator="equal">
      <formula>"Plan Mejoramiento"</formula>
    </cfRule>
    <cfRule type="cellIs" dxfId="722" priority="626" operator="equal">
      <formula>"Acción Preventiva"</formula>
    </cfRule>
    <cfRule type="cellIs" dxfId="721" priority="627" operator="equal">
      <formula>"Acción Correctiva"</formula>
    </cfRule>
  </conditionalFormatting>
  <conditionalFormatting sqref="K202:K203">
    <cfRule type="cellIs" dxfId="720" priority="624" operator="equal">
      <formula>"Corrección"</formula>
    </cfRule>
  </conditionalFormatting>
  <conditionalFormatting sqref="H270:H281 L225:O225 Q225:Q226 Q269:Q281 Q283:Q289 L283:O289 H283:H289 M269 O269 M226 O226 L270:O281">
    <cfRule type="cellIs" dxfId="719" priority="621" operator="equal">
      <formula>"Plan Mejoramiento"</formula>
    </cfRule>
    <cfRule type="cellIs" dxfId="718" priority="622" operator="equal">
      <formula>"Acción Preventiva"</formula>
    </cfRule>
    <cfRule type="cellIs" dxfId="717" priority="623" operator="equal">
      <formula>"Acción Correctiva"</formula>
    </cfRule>
  </conditionalFormatting>
  <conditionalFormatting sqref="R225:R226 R269:R281 R283:R289">
    <cfRule type="cellIs" dxfId="716" priority="619" operator="equal">
      <formula>"Cerrada"</formula>
    </cfRule>
    <cfRule type="cellIs" dxfId="715" priority="620" operator="equal">
      <formula>"Abierta"</formula>
    </cfRule>
  </conditionalFormatting>
  <conditionalFormatting sqref="H270:H281 M225:O225 Q225:Q226 Q269:Q281 Q283:Q289 M283:O289 H283:H289 M269 O269 M226 O226 M270:O281">
    <cfRule type="cellIs" dxfId="714" priority="618" operator="equal">
      <formula>"Corrección"</formula>
    </cfRule>
  </conditionalFormatting>
  <conditionalFormatting sqref="J225 J270:J281 J283:J289">
    <cfRule type="cellIs" dxfId="713" priority="616" operator="equal">
      <formula>"Hallazgo Cerrado"</formula>
    </cfRule>
    <cfRule type="cellIs" dxfId="712" priority="617" operator="equal">
      <formula>"Hallazgo Abierto"</formula>
    </cfRule>
  </conditionalFormatting>
  <conditionalFormatting sqref="I225 I270:I281 I283:I289">
    <cfRule type="cellIs" dxfId="711" priority="610" operator="equal">
      <formula>"Oportunidad de mejora"</formula>
    </cfRule>
    <cfRule type="cellIs" dxfId="710" priority="611" operator="equal">
      <formula>"Recomendación"</formula>
    </cfRule>
    <cfRule type="cellIs" dxfId="709" priority="612" operator="equal">
      <formula>"No Conformidad"</formula>
    </cfRule>
  </conditionalFormatting>
  <conditionalFormatting sqref="E283:E289 E266 E268 E270:E281">
    <cfRule type="cellIs" dxfId="708" priority="608" operator="equal">
      <formula>"Institucional"</formula>
    </cfRule>
    <cfRule type="cellIs" dxfId="707" priority="609" operator="equal">
      <formula>"Proceso"</formula>
    </cfRule>
  </conditionalFormatting>
  <conditionalFormatting sqref="K225 K270:K281 K283:K289">
    <cfRule type="cellIs" dxfId="706" priority="605" operator="equal">
      <formula>"Plan Mejoramiento"</formula>
    </cfRule>
    <cfRule type="cellIs" dxfId="705" priority="606" operator="equal">
      <formula>"Acción Preventiva"</formula>
    </cfRule>
    <cfRule type="cellIs" dxfId="704" priority="607" operator="equal">
      <formula>"Acción Correctiva"</formula>
    </cfRule>
  </conditionalFormatting>
  <conditionalFormatting sqref="K225 K270:K281 K283:K289">
    <cfRule type="cellIs" dxfId="703" priority="604" operator="equal">
      <formula>"Corrección"</formula>
    </cfRule>
  </conditionalFormatting>
  <conditionalFormatting sqref="E199">
    <cfRule type="cellIs" dxfId="702" priority="602" operator="equal">
      <formula>"Institucional"</formula>
    </cfRule>
    <cfRule type="cellIs" dxfId="701" priority="603" operator="equal">
      <formula>"Proceso"</formula>
    </cfRule>
  </conditionalFormatting>
  <conditionalFormatting sqref="E200">
    <cfRule type="cellIs" dxfId="700" priority="600" operator="equal">
      <formula>"Institucional"</formula>
    </cfRule>
    <cfRule type="cellIs" dxfId="699" priority="601" operator="equal">
      <formula>"Proceso"</formula>
    </cfRule>
  </conditionalFormatting>
  <conditionalFormatting sqref="Q199:Q200 L199:N200">
    <cfRule type="cellIs" dxfId="698" priority="575" operator="equal">
      <formula>"Plan Mejoramiento"</formula>
    </cfRule>
    <cfRule type="cellIs" dxfId="697" priority="576" operator="equal">
      <formula>"Acción Preventiva"</formula>
    </cfRule>
    <cfRule type="cellIs" dxfId="696" priority="577" operator="equal">
      <formula>"Acción Correctiva"</formula>
    </cfRule>
  </conditionalFormatting>
  <conditionalFormatting sqref="R199:R200">
    <cfRule type="cellIs" dxfId="695" priority="573" operator="equal">
      <formula>"Cerrada"</formula>
    </cfRule>
    <cfRule type="cellIs" dxfId="694" priority="574" operator="equal">
      <formula>"Abierta"</formula>
    </cfRule>
  </conditionalFormatting>
  <conditionalFormatting sqref="M199:N200 Q199:Q200">
    <cfRule type="cellIs" dxfId="693" priority="572" operator="equal">
      <formula>"Corrección"</formula>
    </cfRule>
  </conditionalFormatting>
  <conditionalFormatting sqref="J199:J200">
    <cfRule type="cellIs" dxfId="692" priority="570" operator="equal">
      <formula>"Hallazgo Cerrado"</formula>
    </cfRule>
    <cfRule type="cellIs" dxfId="691" priority="571" operator="equal">
      <formula>"Hallazgo Abierto"</formula>
    </cfRule>
  </conditionalFormatting>
  <conditionalFormatting sqref="I199:I200">
    <cfRule type="cellIs" dxfId="690" priority="564" operator="equal">
      <formula>"Oportunidad de mejora"</formula>
    </cfRule>
    <cfRule type="cellIs" dxfId="689" priority="565" operator="equal">
      <formula>"Recomendación"</formula>
    </cfRule>
    <cfRule type="cellIs" dxfId="688" priority="566" operator="equal">
      <formula>"No Conformidad"</formula>
    </cfRule>
  </conditionalFormatting>
  <conditionalFormatting sqref="K199:K200">
    <cfRule type="cellIs" dxfId="687" priority="561" operator="equal">
      <formula>"Plan Mejoramiento"</formula>
    </cfRule>
    <cfRule type="cellIs" dxfId="686" priority="562" operator="equal">
      <formula>"Acción Preventiva"</formula>
    </cfRule>
    <cfRule type="cellIs" dxfId="685" priority="563" operator="equal">
      <formula>"Acción Correctiva"</formula>
    </cfRule>
  </conditionalFormatting>
  <conditionalFormatting sqref="K199:K200">
    <cfRule type="cellIs" dxfId="684" priority="560" operator="equal">
      <formula>"Corrección"</formula>
    </cfRule>
  </conditionalFormatting>
  <conditionalFormatting sqref="O199:O200">
    <cfRule type="cellIs" dxfId="683" priority="557" operator="equal">
      <formula>"Plan Mejoramiento"</formula>
    </cfRule>
    <cfRule type="cellIs" dxfId="682" priority="558" operator="equal">
      <formula>"Acción Preventiva"</formula>
    </cfRule>
    <cfRule type="cellIs" dxfId="681" priority="559" operator="equal">
      <formula>"Acción Correctiva"</formula>
    </cfRule>
  </conditionalFormatting>
  <conditionalFormatting sqref="O199:O200">
    <cfRule type="cellIs" dxfId="680" priority="556" operator="equal">
      <formula>"Corrección"</formula>
    </cfRule>
  </conditionalFormatting>
  <conditionalFormatting sqref="V207">
    <cfRule type="cellIs" dxfId="679" priority="553" operator="equal">
      <formula>"No ha formulado PM"</formula>
    </cfRule>
    <cfRule type="cellIs" dxfId="678" priority="554" operator="equal">
      <formula>"Oportuno"</formula>
    </cfRule>
    <cfRule type="cellIs" dxfId="677" priority="555" operator="equal">
      <formula>"Inoportuno"</formula>
    </cfRule>
  </conditionalFormatting>
  <conditionalFormatting sqref="T12">
    <cfRule type="cellIs" dxfId="676" priority="550" operator="equal">
      <formula>"Plan Mejoramiento"</formula>
    </cfRule>
    <cfRule type="cellIs" dxfId="675" priority="551" operator="equal">
      <formula>"Acción Preventiva"</formula>
    </cfRule>
    <cfRule type="cellIs" dxfId="674" priority="552" operator="equal">
      <formula>"Acción Correctiva"</formula>
    </cfRule>
  </conditionalFormatting>
  <conditionalFormatting sqref="T12">
    <cfRule type="cellIs" dxfId="673" priority="549" operator="equal">
      <formula>"Corrección"</formula>
    </cfRule>
  </conditionalFormatting>
  <conditionalFormatting sqref="T13">
    <cfRule type="cellIs" dxfId="672" priority="546" operator="equal">
      <formula>"Plan Mejoramiento"</formula>
    </cfRule>
    <cfRule type="cellIs" dxfId="671" priority="547" operator="equal">
      <formula>"Acción Preventiva"</formula>
    </cfRule>
    <cfRule type="cellIs" dxfId="670" priority="548" operator="equal">
      <formula>"Acción Correctiva"</formula>
    </cfRule>
  </conditionalFormatting>
  <conditionalFormatting sqref="T13">
    <cfRule type="cellIs" dxfId="669" priority="545" operator="equal">
      <formula>"Corrección"</formula>
    </cfRule>
  </conditionalFormatting>
  <conditionalFormatting sqref="T16">
    <cfRule type="cellIs" dxfId="668" priority="542" operator="equal">
      <formula>"Plan Mejoramiento"</formula>
    </cfRule>
    <cfRule type="cellIs" dxfId="667" priority="543" operator="equal">
      <formula>"Acción Preventiva"</formula>
    </cfRule>
    <cfRule type="cellIs" dxfId="666" priority="544" operator="equal">
      <formula>"Acción Correctiva"</formula>
    </cfRule>
  </conditionalFormatting>
  <conditionalFormatting sqref="T16">
    <cfRule type="cellIs" dxfId="665" priority="541" operator="equal">
      <formula>"Corrección"</formula>
    </cfRule>
  </conditionalFormatting>
  <conditionalFormatting sqref="T17">
    <cfRule type="cellIs" dxfId="664" priority="538" operator="equal">
      <formula>"Plan Mejoramiento"</formula>
    </cfRule>
    <cfRule type="cellIs" dxfId="663" priority="539" operator="equal">
      <formula>"Acción Preventiva"</formula>
    </cfRule>
    <cfRule type="cellIs" dxfId="662" priority="540" operator="equal">
      <formula>"Acción Correctiva"</formula>
    </cfRule>
  </conditionalFormatting>
  <conditionalFormatting sqref="T17">
    <cfRule type="cellIs" dxfId="661" priority="537" operator="equal">
      <formula>"Corrección"</formula>
    </cfRule>
  </conditionalFormatting>
  <conditionalFormatting sqref="T25">
    <cfRule type="cellIs" dxfId="660" priority="534" operator="equal">
      <formula>"Plan Mejoramiento"</formula>
    </cfRule>
    <cfRule type="cellIs" dxfId="659" priority="535" operator="equal">
      <formula>"Acción Preventiva"</formula>
    </cfRule>
    <cfRule type="cellIs" dxfId="658" priority="536" operator="equal">
      <formula>"Acción Correctiva"</formula>
    </cfRule>
  </conditionalFormatting>
  <conditionalFormatting sqref="T25">
    <cfRule type="cellIs" dxfId="657" priority="533" operator="equal">
      <formula>"Corrección"</formula>
    </cfRule>
  </conditionalFormatting>
  <conditionalFormatting sqref="T27">
    <cfRule type="cellIs" dxfId="656" priority="530" operator="equal">
      <formula>"Plan Mejoramiento"</formula>
    </cfRule>
    <cfRule type="cellIs" dxfId="655" priority="531" operator="equal">
      <formula>"Acción Preventiva"</formula>
    </cfRule>
    <cfRule type="cellIs" dxfId="654" priority="532" operator="equal">
      <formula>"Acción Correctiva"</formula>
    </cfRule>
  </conditionalFormatting>
  <conditionalFormatting sqref="T27">
    <cfRule type="cellIs" dxfId="653" priority="529" operator="equal">
      <formula>"Corrección"</formula>
    </cfRule>
  </conditionalFormatting>
  <conditionalFormatting sqref="T49">
    <cfRule type="cellIs" dxfId="652" priority="526" operator="equal">
      <formula>"Plan Mejoramiento"</formula>
    </cfRule>
    <cfRule type="cellIs" dxfId="651" priority="527" operator="equal">
      <formula>"Acción Preventiva"</formula>
    </cfRule>
    <cfRule type="cellIs" dxfId="650" priority="528" operator="equal">
      <formula>"Acción Correctiva"</formula>
    </cfRule>
  </conditionalFormatting>
  <conditionalFormatting sqref="T49">
    <cfRule type="cellIs" dxfId="649" priority="525" operator="equal">
      <formula>"Corrección"</formula>
    </cfRule>
  </conditionalFormatting>
  <conditionalFormatting sqref="T67">
    <cfRule type="cellIs" dxfId="648" priority="522" operator="equal">
      <formula>"Plan Mejoramiento"</formula>
    </cfRule>
    <cfRule type="cellIs" dxfId="647" priority="523" operator="equal">
      <formula>"Acción Preventiva"</formula>
    </cfRule>
    <cfRule type="cellIs" dxfId="646" priority="524" operator="equal">
      <formula>"Acción Correctiva"</formula>
    </cfRule>
  </conditionalFormatting>
  <conditionalFormatting sqref="T67">
    <cfRule type="cellIs" dxfId="645" priority="521" operator="equal">
      <formula>"Corrección"</formula>
    </cfRule>
  </conditionalFormatting>
  <conditionalFormatting sqref="Q68">
    <cfRule type="cellIs" dxfId="644" priority="518" operator="equal">
      <formula>"Plan Mejoramiento"</formula>
    </cfRule>
    <cfRule type="cellIs" dxfId="643" priority="519" operator="equal">
      <formula>"Acción Preventiva"</formula>
    </cfRule>
    <cfRule type="cellIs" dxfId="642" priority="520" operator="equal">
      <formula>"Acción Correctiva"</formula>
    </cfRule>
  </conditionalFormatting>
  <conditionalFormatting sqref="R68">
    <cfRule type="cellIs" dxfId="641" priority="516" operator="equal">
      <formula>"Cerrada"</formula>
    </cfRule>
    <cfRule type="cellIs" dxfId="640" priority="517" operator="equal">
      <formula>"Abierta"</formula>
    </cfRule>
  </conditionalFormatting>
  <conditionalFormatting sqref="Q68">
    <cfRule type="cellIs" dxfId="639" priority="515" operator="equal">
      <formula>"Corrección"</formula>
    </cfRule>
  </conditionalFormatting>
  <conditionalFormatting sqref="Q69">
    <cfRule type="cellIs" dxfId="638" priority="512" operator="equal">
      <formula>"Plan Mejoramiento"</formula>
    </cfRule>
    <cfRule type="cellIs" dxfId="637" priority="513" operator="equal">
      <formula>"Acción Preventiva"</formula>
    </cfRule>
    <cfRule type="cellIs" dxfId="636" priority="514" operator="equal">
      <formula>"Acción Correctiva"</formula>
    </cfRule>
  </conditionalFormatting>
  <conditionalFormatting sqref="Q69">
    <cfRule type="cellIs" dxfId="635" priority="511" operator="equal">
      <formula>"Corrección"</formula>
    </cfRule>
  </conditionalFormatting>
  <conditionalFormatting sqref="Q70">
    <cfRule type="cellIs" dxfId="634" priority="508" operator="equal">
      <formula>"Plan Mejoramiento"</formula>
    </cfRule>
    <cfRule type="cellIs" dxfId="633" priority="509" operator="equal">
      <formula>"Acción Preventiva"</formula>
    </cfRule>
    <cfRule type="cellIs" dxfId="632" priority="510" operator="equal">
      <formula>"Acción Correctiva"</formula>
    </cfRule>
  </conditionalFormatting>
  <conditionalFormatting sqref="Q70">
    <cfRule type="cellIs" dxfId="631" priority="507" operator="equal">
      <formula>"Corrección"</formula>
    </cfRule>
  </conditionalFormatting>
  <conditionalFormatting sqref="Q71">
    <cfRule type="cellIs" dxfId="630" priority="504" operator="equal">
      <formula>"Plan Mejoramiento"</formula>
    </cfRule>
    <cfRule type="cellIs" dxfId="629" priority="505" operator="equal">
      <formula>"Acción Preventiva"</formula>
    </cfRule>
    <cfRule type="cellIs" dxfId="628" priority="506" operator="equal">
      <formula>"Acción Correctiva"</formula>
    </cfRule>
  </conditionalFormatting>
  <conditionalFormatting sqref="Q71">
    <cfRule type="cellIs" dxfId="627" priority="503" operator="equal">
      <formula>"Corrección"</formula>
    </cfRule>
  </conditionalFormatting>
  <conditionalFormatting sqref="R84">
    <cfRule type="cellIs" dxfId="626" priority="489" operator="equal">
      <formula>"Cerrada"</formula>
    </cfRule>
    <cfRule type="cellIs" dxfId="625" priority="490" operator="equal">
      <formula>"Abierta"</formula>
    </cfRule>
  </conditionalFormatting>
  <conditionalFormatting sqref="R85">
    <cfRule type="cellIs" dxfId="624" priority="487" operator="equal">
      <formula>"Cerrada"</formula>
    </cfRule>
    <cfRule type="cellIs" dxfId="623" priority="488" operator="equal">
      <formula>"Abierta"</formula>
    </cfRule>
  </conditionalFormatting>
  <conditionalFormatting sqref="T86">
    <cfRule type="cellIs" dxfId="622" priority="484" operator="equal">
      <formula>"Plan Mejoramiento"</formula>
    </cfRule>
    <cfRule type="cellIs" dxfId="621" priority="485" operator="equal">
      <formula>"Acción Preventiva"</formula>
    </cfRule>
    <cfRule type="cellIs" dxfId="620" priority="486" operator="equal">
      <formula>"Acción Correctiva"</formula>
    </cfRule>
  </conditionalFormatting>
  <conditionalFormatting sqref="T86">
    <cfRule type="cellIs" dxfId="619" priority="483" operator="equal">
      <formula>"Corrección"</formula>
    </cfRule>
  </conditionalFormatting>
  <conditionalFormatting sqref="X85:X89">
    <cfRule type="cellIs" dxfId="618" priority="481" operator="equal">
      <formula>"Recomendación"</formula>
    </cfRule>
    <cfRule type="cellIs" dxfId="617" priority="482" operator="equal">
      <formula>"No Conformidad"</formula>
    </cfRule>
  </conditionalFormatting>
  <conditionalFormatting sqref="V85 V89">
    <cfRule type="cellIs" dxfId="616" priority="478" operator="equal">
      <formula>"No ha formulado PM"</formula>
    </cfRule>
    <cfRule type="cellIs" dxfId="615" priority="479" operator="equal">
      <formula>"Oportuno"</formula>
    </cfRule>
    <cfRule type="cellIs" dxfId="614" priority="480" operator="equal">
      <formula>"Inoportuno"</formula>
    </cfRule>
  </conditionalFormatting>
  <conditionalFormatting sqref="V86:V88">
    <cfRule type="cellIs" dxfId="613" priority="475" operator="equal">
      <formula>"No ha formulado PM"</formula>
    </cfRule>
    <cfRule type="cellIs" dxfId="612" priority="476" operator="equal">
      <formula>"Oportuno"</formula>
    </cfRule>
    <cfRule type="cellIs" dxfId="611" priority="477" operator="equal">
      <formula>"Inoportuno"</formula>
    </cfRule>
  </conditionalFormatting>
  <conditionalFormatting sqref="H209 L209:N210">
    <cfRule type="cellIs" dxfId="610" priority="454" operator="equal">
      <formula>"Plan Mejoramiento"</formula>
    </cfRule>
    <cfRule type="cellIs" dxfId="609" priority="455" operator="equal">
      <formula>"Acción Preventiva"</formula>
    </cfRule>
    <cfRule type="cellIs" dxfId="608" priority="456" operator="equal">
      <formula>"Acción Correctiva"</formula>
    </cfRule>
  </conditionalFormatting>
  <conditionalFormatting sqref="R209:R210">
    <cfRule type="cellIs" dxfId="607" priority="452" operator="equal">
      <formula>"Cerrada"</formula>
    </cfRule>
    <cfRule type="cellIs" dxfId="606" priority="453" operator="equal">
      <formula>"Abierta"</formula>
    </cfRule>
  </conditionalFormatting>
  <conditionalFormatting sqref="H209 M209:N210">
    <cfRule type="cellIs" dxfId="605" priority="451" operator="equal">
      <formula>"Corrección"</formula>
    </cfRule>
  </conditionalFormatting>
  <conditionalFormatting sqref="J209">
    <cfRule type="cellIs" dxfId="604" priority="449" operator="equal">
      <formula>"Hallazgo Cerrado"</formula>
    </cfRule>
    <cfRule type="cellIs" dxfId="603" priority="450" operator="equal">
      <formula>"Hallazgo Abierto"</formula>
    </cfRule>
  </conditionalFormatting>
  <conditionalFormatting sqref="I209">
    <cfRule type="cellIs" dxfId="602" priority="446" operator="equal">
      <formula>"Oportunidad de mejora"</formula>
    </cfRule>
    <cfRule type="cellIs" dxfId="601" priority="447" operator="equal">
      <formula>"Recomendación"</formula>
    </cfRule>
    <cfRule type="cellIs" dxfId="600" priority="448" operator="equal">
      <formula>"No Conformidad"</formula>
    </cfRule>
  </conditionalFormatting>
  <conditionalFormatting sqref="E209">
    <cfRule type="cellIs" dxfId="599" priority="444" operator="equal">
      <formula>"Institucional"</formula>
    </cfRule>
    <cfRule type="cellIs" dxfId="598" priority="445" operator="equal">
      <formula>"Proceso"</formula>
    </cfRule>
  </conditionalFormatting>
  <conditionalFormatting sqref="K209">
    <cfRule type="cellIs" dxfId="597" priority="441" operator="equal">
      <formula>"Plan Mejoramiento"</formula>
    </cfRule>
    <cfRule type="cellIs" dxfId="596" priority="442" operator="equal">
      <formula>"Acción Preventiva"</formula>
    </cfRule>
    <cfRule type="cellIs" dxfId="595" priority="443" operator="equal">
      <formula>"Acción Correctiva"</formula>
    </cfRule>
  </conditionalFormatting>
  <conditionalFormatting sqref="K209">
    <cfRule type="cellIs" dxfId="594" priority="440" operator="equal">
      <formula>"Corrección"</formula>
    </cfRule>
  </conditionalFormatting>
  <conditionalFormatting sqref="V209:V211">
    <cfRule type="cellIs" dxfId="593" priority="437" operator="equal">
      <formula>"No ha formulado PM"</formula>
    </cfRule>
    <cfRule type="cellIs" dxfId="592" priority="438" operator="equal">
      <formula>"Oportuno"</formula>
    </cfRule>
    <cfRule type="cellIs" dxfId="591" priority="439" operator="equal">
      <formula>"Inoportuno"</formula>
    </cfRule>
  </conditionalFormatting>
  <conditionalFormatting sqref="M208:O208">
    <cfRule type="cellIs" dxfId="590" priority="434" operator="equal">
      <formula>"Plan Mejoramiento"</formula>
    </cfRule>
    <cfRule type="cellIs" dxfId="589" priority="435" operator="equal">
      <formula>"Acción Preventiva"</formula>
    </cfRule>
    <cfRule type="cellIs" dxfId="588" priority="436" operator="equal">
      <formula>"Acción Correctiva"</formula>
    </cfRule>
  </conditionalFormatting>
  <conditionalFormatting sqref="L43:N43">
    <cfRule type="cellIs" dxfId="587" priority="374" operator="equal">
      <formula>"Plan Mejoramiento"</formula>
    </cfRule>
    <cfRule type="cellIs" dxfId="586" priority="375" operator="equal">
      <formula>"Acción Preventiva"</formula>
    </cfRule>
    <cfRule type="cellIs" dxfId="585" priority="376" operator="equal">
      <formula>"Acción Correctiva"</formula>
    </cfRule>
  </conditionalFormatting>
  <conditionalFormatting sqref="L43:N43">
    <cfRule type="cellIs" dxfId="584" priority="373" operator="equal">
      <formula>"Corrección"</formula>
    </cfRule>
  </conditionalFormatting>
  <conditionalFormatting sqref="R43">
    <cfRule type="cellIs" dxfId="583" priority="371" operator="equal">
      <formula>"Cerrada"</formula>
    </cfRule>
    <cfRule type="cellIs" dxfId="582" priority="372" operator="equal">
      <formula>"Abierta"</formula>
    </cfRule>
  </conditionalFormatting>
  <conditionalFormatting sqref="T62">
    <cfRule type="cellIs" dxfId="581" priority="368" operator="equal">
      <formula>"Plan Mejoramiento"</formula>
    </cfRule>
    <cfRule type="cellIs" dxfId="580" priority="369" operator="equal">
      <formula>"Acción Preventiva"</formula>
    </cfRule>
    <cfRule type="cellIs" dxfId="579" priority="370" operator="equal">
      <formula>"Acción Correctiva"</formula>
    </cfRule>
  </conditionalFormatting>
  <conditionalFormatting sqref="T62">
    <cfRule type="cellIs" dxfId="578" priority="367" operator="equal">
      <formula>"Corrección"</formula>
    </cfRule>
  </conditionalFormatting>
  <conditionalFormatting sqref="H210">
    <cfRule type="cellIs" dxfId="577" priority="364" operator="equal">
      <formula>"Plan Mejoramiento"</formula>
    </cfRule>
    <cfRule type="cellIs" dxfId="576" priority="365" operator="equal">
      <formula>"Acción Preventiva"</formula>
    </cfRule>
    <cfRule type="cellIs" dxfId="575" priority="366" operator="equal">
      <formula>"Acción Correctiva"</formula>
    </cfRule>
  </conditionalFormatting>
  <conditionalFormatting sqref="H210">
    <cfRule type="cellIs" dxfId="574" priority="363" operator="equal">
      <formula>"Corrección"</formula>
    </cfRule>
  </conditionalFormatting>
  <conditionalFormatting sqref="J210">
    <cfRule type="cellIs" dxfId="573" priority="361" operator="equal">
      <formula>"Hallazgo Cerrado"</formula>
    </cfRule>
    <cfRule type="cellIs" dxfId="572" priority="362" operator="equal">
      <formula>"Hallazgo Abierto"</formula>
    </cfRule>
  </conditionalFormatting>
  <conditionalFormatting sqref="I210">
    <cfRule type="cellIs" dxfId="571" priority="358" operator="equal">
      <formula>"Oportunidad de mejora"</formula>
    </cfRule>
    <cfRule type="cellIs" dxfId="570" priority="359" operator="equal">
      <formula>"Recomendación"</formula>
    </cfRule>
    <cfRule type="cellIs" dxfId="569" priority="360" operator="equal">
      <formula>"No Conformidad"</formula>
    </cfRule>
  </conditionalFormatting>
  <conditionalFormatting sqref="E210">
    <cfRule type="cellIs" dxfId="568" priority="356" operator="equal">
      <formula>"Institucional"</formula>
    </cfRule>
    <cfRule type="cellIs" dxfId="567" priority="357" operator="equal">
      <formula>"Proceso"</formula>
    </cfRule>
  </conditionalFormatting>
  <conditionalFormatting sqref="K210">
    <cfRule type="cellIs" dxfId="566" priority="353" operator="equal">
      <formula>"Plan Mejoramiento"</formula>
    </cfRule>
    <cfRule type="cellIs" dxfId="565" priority="354" operator="equal">
      <formula>"Acción Preventiva"</formula>
    </cfRule>
    <cfRule type="cellIs" dxfId="564" priority="355" operator="equal">
      <formula>"Acción Correctiva"</formula>
    </cfRule>
  </conditionalFormatting>
  <conditionalFormatting sqref="K210">
    <cfRule type="cellIs" dxfId="563" priority="352" operator="equal">
      <formula>"Corrección"</formula>
    </cfRule>
  </conditionalFormatting>
  <conditionalFormatting sqref="M211:O212">
    <cfRule type="cellIs" dxfId="562" priority="349" operator="equal">
      <formula>"Plan Mejoramiento"</formula>
    </cfRule>
    <cfRule type="cellIs" dxfId="561" priority="350" operator="equal">
      <formula>"Acción Preventiva"</formula>
    </cfRule>
    <cfRule type="cellIs" dxfId="560" priority="351" operator="equal">
      <formula>"Acción Correctiva"</formula>
    </cfRule>
  </conditionalFormatting>
  <conditionalFormatting sqref="J213:J218">
    <cfRule type="cellIs" dxfId="559" priority="320" operator="equal">
      <formula>"Hallazgo Cerrado"</formula>
    </cfRule>
    <cfRule type="cellIs" dxfId="558" priority="321" operator="equal">
      <formula>"Hallazgo Abierto"</formula>
    </cfRule>
  </conditionalFormatting>
  <conditionalFormatting sqref="I213:I218">
    <cfRule type="cellIs" dxfId="557" priority="317" operator="equal">
      <formula>"Oportunidad de mejora"</formula>
    </cfRule>
    <cfRule type="cellIs" dxfId="556" priority="318" operator="equal">
      <formula>"Recomendación"</formula>
    </cfRule>
    <cfRule type="cellIs" dxfId="555" priority="319" operator="equal">
      <formula>"No Conformidad"</formula>
    </cfRule>
  </conditionalFormatting>
  <conditionalFormatting sqref="E213:E218">
    <cfRule type="cellIs" dxfId="554" priority="315" operator="equal">
      <formula>"Institucional"</formula>
    </cfRule>
    <cfRule type="cellIs" dxfId="553" priority="316" operator="equal">
      <formula>"Proceso"</formula>
    </cfRule>
  </conditionalFormatting>
  <conditionalFormatting sqref="K213:K218">
    <cfRule type="cellIs" dxfId="552" priority="312" operator="equal">
      <formula>"Plan Mejoramiento"</formula>
    </cfRule>
    <cfRule type="cellIs" dxfId="551" priority="313" operator="equal">
      <formula>"Acción Preventiva"</formula>
    </cfRule>
    <cfRule type="cellIs" dxfId="550" priority="314" operator="equal">
      <formula>"Acción Correctiva"</formula>
    </cfRule>
  </conditionalFormatting>
  <conditionalFormatting sqref="K213:K218">
    <cfRule type="cellIs" dxfId="549" priority="311" operator="equal">
      <formula>"Corrección"</formula>
    </cfRule>
  </conditionalFormatting>
  <conditionalFormatting sqref="Q189">
    <cfRule type="cellIs" dxfId="548" priority="285" operator="equal">
      <formula>"Plan Mejoramiento"</formula>
    </cfRule>
    <cfRule type="cellIs" dxfId="547" priority="286" operator="equal">
      <formula>"Acción Preventiva"</formula>
    </cfRule>
    <cfRule type="cellIs" dxfId="546" priority="287" operator="equal">
      <formula>"Acción Correctiva"</formula>
    </cfRule>
  </conditionalFormatting>
  <conditionalFormatting sqref="Q189">
    <cfRule type="cellIs" dxfId="545" priority="284" operator="equal">
      <formula>"Corrección"</formula>
    </cfRule>
  </conditionalFormatting>
  <conditionalFormatting sqref="Q190">
    <cfRule type="cellIs" dxfId="544" priority="281" operator="equal">
      <formula>"Plan Mejoramiento"</formula>
    </cfRule>
    <cfRule type="cellIs" dxfId="543" priority="282" operator="equal">
      <formula>"Acción Preventiva"</formula>
    </cfRule>
    <cfRule type="cellIs" dxfId="542" priority="283" operator="equal">
      <formula>"Acción Correctiva"</formula>
    </cfRule>
  </conditionalFormatting>
  <conditionalFormatting sqref="Q190">
    <cfRule type="cellIs" dxfId="541" priority="280" operator="equal">
      <formula>"Corrección"</formula>
    </cfRule>
  </conditionalFormatting>
  <conditionalFormatting sqref="Q191">
    <cfRule type="cellIs" dxfId="540" priority="277" operator="equal">
      <formula>"Plan Mejoramiento"</formula>
    </cfRule>
    <cfRule type="cellIs" dxfId="539" priority="278" operator="equal">
      <formula>"Acción Preventiva"</formula>
    </cfRule>
    <cfRule type="cellIs" dxfId="538" priority="279" operator="equal">
      <formula>"Acción Correctiva"</formula>
    </cfRule>
  </conditionalFormatting>
  <conditionalFormatting sqref="Q191">
    <cfRule type="cellIs" dxfId="537" priority="276" operator="equal">
      <formula>"Corrección"</formula>
    </cfRule>
  </conditionalFormatting>
  <conditionalFormatting sqref="Q192">
    <cfRule type="cellIs" dxfId="536" priority="273" operator="equal">
      <formula>"Plan Mejoramiento"</formula>
    </cfRule>
    <cfRule type="cellIs" dxfId="535" priority="274" operator="equal">
      <formula>"Acción Preventiva"</formula>
    </cfRule>
    <cfRule type="cellIs" dxfId="534" priority="275" operator="equal">
      <formula>"Acción Correctiva"</formula>
    </cfRule>
  </conditionalFormatting>
  <conditionalFormatting sqref="Q192">
    <cfRule type="cellIs" dxfId="533" priority="272" operator="equal">
      <formula>"Corrección"</formula>
    </cfRule>
  </conditionalFormatting>
  <conditionalFormatting sqref="Q193">
    <cfRule type="cellIs" dxfId="532" priority="269" operator="equal">
      <formula>"Plan Mejoramiento"</formula>
    </cfRule>
    <cfRule type="cellIs" dxfId="531" priority="270" operator="equal">
      <formula>"Acción Preventiva"</formula>
    </cfRule>
    <cfRule type="cellIs" dxfId="530" priority="271" operator="equal">
      <formula>"Acción Correctiva"</formula>
    </cfRule>
  </conditionalFormatting>
  <conditionalFormatting sqref="Q193">
    <cfRule type="cellIs" dxfId="529" priority="268" operator="equal">
      <formula>"Corrección"</formula>
    </cfRule>
  </conditionalFormatting>
  <conditionalFormatting sqref="Q194">
    <cfRule type="cellIs" dxfId="528" priority="265" operator="equal">
      <formula>"Plan Mejoramiento"</formula>
    </cfRule>
    <cfRule type="cellIs" dxfId="527" priority="266" operator="equal">
      <formula>"Acción Preventiva"</formula>
    </cfRule>
    <cfRule type="cellIs" dxfId="526" priority="267" operator="equal">
      <formula>"Acción Correctiva"</formula>
    </cfRule>
  </conditionalFormatting>
  <conditionalFormatting sqref="Q194">
    <cfRule type="cellIs" dxfId="525" priority="264" operator="equal">
      <formula>"Corrección"</formula>
    </cfRule>
  </conditionalFormatting>
  <conditionalFormatting sqref="Q195">
    <cfRule type="cellIs" dxfId="524" priority="261" operator="equal">
      <formula>"Plan Mejoramiento"</formula>
    </cfRule>
    <cfRule type="cellIs" dxfId="523" priority="262" operator="equal">
      <formula>"Acción Preventiva"</formula>
    </cfRule>
    <cfRule type="cellIs" dxfId="522" priority="263" operator="equal">
      <formula>"Acción Correctiva"</formula>
    </cfRule>
  </conditionalFormatting>
  <conditionalFormatting sqref="Q195">
    <cfRule type="cellIs" dxfId="521" priority="260" operator="equal">
      <formula>"Corrección"</formula>
    </cfRule>
  </conditionalFormatting>
  <conditionalFormatting sqref="T42">
    <cfRule type="cellIs" dxfId="520" priority="218" operator="equal">
      <formula>"Plan Mejoramiento"</formula>
    </cfRule>
    <cfRule type="cellIs" dxfId="519" priority="219" operator="equal">
      <formula>"Acción Preventiva"</formula>
    </cfRule>
    <cfRule type="cellIs" dxfId="518" priority="220" operator="equal">
      <formula>"Acción Correctiva"</formula>
    </cfRule>
  </conditionalFormatting>
  <conditionalFormatting sqref="T42">
    <cfRule type="cellIs" dxfId="517" priority="217" operator="equal">
      <formula>"Corrección"</formula>
    </cfRule>
  </conditionalFormatting>
  <conditionalFormatting sqref="Q209">
    <cfRule type="cellIs" dxfId="516" priority="214" operator="equal">
      <formula>"Plan Mejoramiento"</formula>
    </cfRule>
    <cfRule type="cellIs" dxfId="515" priority="215" operator="equal">
      <formula>"Acción Preventiva"</formula>
    </cfRule>
    <cfRule type="cellIs" dxfId="514" priority="216" operator="equal">
      <formula>"Acción Correctiva"</formula>
    </cfRule>
  </conditionalFormatting>
  <conditionalFormatting sqref="Q209">
    <cfRule type="cellIs" dxfId="513" priority="213" operator="equal">
      <formula>"Corrección"</formula>
    </cfRule>
  </conditionalFormatting>
  <conditionalFormatting sqref="Q210">
    <cfRule type="cellIs" dxfId="512" priority="210" operator="equal">
      <formula>"Plan Mejoramiento"</formula>
    </cfRule>
    <cfRule type="cellIs" dxfId="511" priority="211" operator="equal">
      <formula>"Acción Preventiva"</formula>
    </cfRule>
    <cfRule type="cellIs" dxfId="510" priority="212" operator="equal">
      <formula>"Acción Correctiva"</formula>
    </cfRule>
  </conditionalFormatting>
  <conditionalFormatting sqref="Q210">
    <cfRule type="cellIs" dxfId="509" priority="209" operator="equal">
      <formula>"Corrección"</formula>
    </cfRule>
  </conditionalFormatting>
  <conditionalFormatting sqref="O172">
    <cfRule type="cellIs" dxfId="508" priority="199" operator="equal">
      <formula>"Plan Mejoramiento"</formula>
    </cfRule>
    <cfRule type="cellIs" dxfId="507" priority="200" operator="equal">
      <formula>"Acción Preventiva"</formula>
    </cfRule>
    <cfRule type="cellIs" dxfId="506" priority="201" operator="equal">
      <formula>"Acción Correctiva"</formula>
    </cfRule>
  </conditionalFormatting>
  <conditionalFormatting sqref="O172">
    <cfRule type="cellIs" dxfId="505" priority="198" operator="equal">
      <formula>"Corrección"</formula>
    </cfRule>
  </conditionalFormatting>
  <conditionalFormatting sqref="L207:L208">
    <cfRule type="cellIs" dxfId="504" priority="192" operator="equal">
      <formula>"Plan Mejoramiento"</formula>
    </cfRule>
    <cfRule type="cellIs" dxfId="503" priority="193" operator="equal">
      <formula>"Acción Preventiva"</formula>
    </cfRule>
    <cfRule type="cellIs" dxfId="502" priority="194" operator="equal">
      <formula>"Acción Correctiva"</formula>
    </cfRule>
  </conditionalFormatting>
  <conditionalFormatting sqref="L211">
    <cfRule type="cellIs" dxfId="501" priority="186" operator="equal">
      <formula>"Plan Mejoramiento"</formula>
    </cfRule>
    <cfRule type="cellIs" dxfId="500" priority="187" operator="equal">
      <formula>"Acción Preventiva"</formula>
    </cfRule>
    <cfRule type="cellIs" dxfId="499" priority="188" operator="equal">
      <formula>"Acción Correctiva"</formula>
    </cfRule>
  </conditionalFormatting>
  <conditionalFormatting sqref="J266 J268">
    <cfRule type="cellIs" dxfId="498" priority="180" operator="equal">
      <formula>"Hallazgo Cerrado"</formula>
    </cfRule>
    <cfRule type="cellIs" dxfId="497" priority="181" operator="equal">
      <formula>"Hallazgo Abierto"</formula>
    </cfRule>
  </conditionalFormatting>
  <conditionalFormatting sqref="I266 I268">
    <cfRule type="cellIs" dxfId="496" priority="177" operator="equal">
      <formula>"Oportunidad de mejora"</formula>
    </cfRule>
    <cfRule type="cellIs" dxfId="495" priority="178" operator="equal">
      <formula>"Recomendación"</formula>
    </cfRule>
    <cfRule type="cellIs" dxfId="494" priority="179" operator="equal">
      <formula>"No Conformidad"</formula>
    </cfRule>
  </conditionalFormatting>
  <conditionalFormatting sqref="M255">
    <cfRule type="cellIs" dxfId="493" priority="174" operator="equal">
      <formula>"Plan Mejoramiento"</formula>
    </cfRule>
    <cfRule type="cellIs" dxfId="492" priority="175" operator="equal">
      <formula>"Acción Preventiva"</formula>
    </cfRule>
    <cfRule type="cellIs" dxfId="491" priority="176" operator="equal">
      <formula>"Acción Correctiva"</formula>
    </cfRule>
  </conditionalFormatting>
  <conditionalFormatting sqref="M255">
    <cfRule type="cellIs" dxfId="490" priority="173" operator="equal">
      <formula>"Corrección"</formula>
    </cfRule>
  </conditionalFormatting>
  <conditionalFormatting sqref="M253:M254">
    <cfRule type="cellIs" dxfId="489" priority="170" operator="equal">
      <formula>"Plan Mejoramiento"</formula>
    </cfRule>
    <cfRule type="cellIs" dxfId="488" priority="171" operator="equal">
      <formula>"Acción Preventiva"</formula>
    </cfRule>
    <cfRule type="cellIs" dxfId="487" priority="172" operator="equal">
      <formula>"Acción Correctiva"</formula>
    </cfRule>
  </conditionalFormatting>
  <conditionalFormatting sqref="M253:M254">
    <cfRule type="cellIs" dxfId="486" priority="169" operator="equal">
      <formula>"Corrección"</formula>
    </cfRule>
  </conditionalFormatting>
  <conditionalFormatting sqref="M256">
    <cfRule type="cellIs" dxfId="485" priority="166" operator="equal">
      <formula>"Plan Mejoramiento"</formula>
    </cfRule>
    <cfRule type="cellIs" dxfId="484" priority="167" operator="equal">
      <formula>"Acción Preventiva"</formula>
    </cfRule>
    <cfRule type="cellIs" dxfId="483" priority="168" operator="equal">
      <formula>"Acción Correctiva"</formula>
    </cfRule>
  </conditionalFormatting>
  <conditionalFormatting sqref="M256">
    <cfRule type="cellIs" dxfId="482" priority="165" operator="equal">
      <formula>"Corrección"</formula>
    </cfRule>
  </conditionalFormatting>
  <conditionalFormatting sqref="M257:M260">
    <cfRule type="cellIs" dxfId="481" priority="158" operator="equal">
      <formula>"Plan Mejoramiento"</formula>
    </cfRule>
    <cfRule type="cellIs" dxfId="480" priority="159" operator="equal">
      <formula>"Acción Preventiva"</formula>
    </cfRule>
    <cfRule type="cellIs" dxfId="479" priority="160" operator="equal">
      <formula>"Acción Correctiva"</formula>
    </cfRule>
  </conditionalFormatting>
  <conditionalFormatting sqref="M257:M260">
    <cfRule type="cellIs" dxfId="478" priority="157" operator="equal">
      <formula>"Corrección"</formula>
    </cfRule>
  </conditionalFormatting>
  <conditionalFormatting sqref="M261">
    <cfRule type="cellIs" dxfId="477" priority="154" operator="equal">
      <formula>"Plan Mejoramiento"</formula>
    </cfRule>
    <cfRule type="cellIs" dxfId="476" priority="155" operator="equal">
      <formula>"Acción Preventiva"</formula>
    </cfRule>
    <cfRule type="cellIs" dxfId="475" priority="156" operator="equal">
      <formula>"Acción Correctiva"</formula>
    </cfRule>
  </conditionalFormatting>
  <conditionalFormatting sqref="M261">
    <cfRule type="cellIs" dxfId="474" priority="153" operator="equal">
      <formula>"Corrección"</formula>
    </cfRule>
  </conditionalFormatting>
  <conditionalFormatting sqref="M262">
    <cfRule type="cellIs" dxfId="473" priority="150" operator="equal">
      <formula>"Plan Mejoramiento"</formula>
    </cfRule>
    <cfRule type="cellIs" dxfId="472" priority="151" operator="equal">
      <formula>"Acción Preventiva"</formula>
    </cfRule>
    <cfRule type="cellIs" dxfId="471" priority="152" operator="equal">
      <formula>"Acción Correctiva"</formula>
    </cfRule>
  </conditionalFormatting>
  <conditionalFormatting sqref="M262">
    <cfRule type="cellIs" dxfId="470" priority="149" operator="equal">
      <formula>"Corrección"</formula>
    </cfRule>
  </conditionalFormatting>
  <conditionalFormatting sqref="M263:M268">
    <cfRule type="cellIs" dxfId="469" priority="146" operator="equal">
      <formula>"Plan Mejoramiento"</formula>
    </cfRule>
    <cfRule type="cellIs" dxfId="468" priority="147" operator="equal">
      <formula>"Acción Preventiva"</formula>
    </cfRule>
    <cfRule type="cellIs" dxfId="467" priority="148" operator="equal">
      <formula>"Acción Correctiva"</formula>
    </cfRule>
  </conditionalFormatting>
  <conditionalFormatting sqref="M263:M268">
    <cfRule type="cellIs" dxfId="466" priority="145" operator="equal">
      <formula>"Corrección"</formula>
    </cfRule>
  </conditionalFormatting>
  <conditionalFormatting sqref="Q255">
    <cfRule type="cellIs" dxfId="465" priority="140" operator="equal">
      <formula>"Plan Mejoramiento"</formula>
    </cfRule>
    <cfRule type="cellIs" dxfId="464" priority="141" operator="equal">
      <formula>"Acción Preventiva"</formula>
    </cfRule>
    <cfRule type="cellIs" dxfId="463" priority="142" operator="equal">
      <formula>"Acción Correctiva"</formula>
    </cfRule>
  </conditionalFormatting>
  <conditionalFormatting sqref="Q255">
    <cfRule type="cellIs" dxfId="462" priority="137" operator="equal">
      <formula>"Corrección"</formula>
    </cfRule>
  </conditionalFormatting>
  <conditionalFormatting sqref="Q253:Q254">
    <cfRule type="cellIs" dxfId="461" priority="134" operator="equal">
      <formula>"Plan Mejoramiento"</formula>
    </cfRule>
    <cfRule type="cellIs" dxfId="460" priority="135" operator="equal">
      <formula>"Acción Preventiva"</formula>
    </cfRule>
    <cfRule type="cellIs" dxfId="459" priority="136" operator="equal">
      <formula>"Acción Correctiva"</formula>
    </cfRule>
  </conditionalFormatting>
  <conditionalFormatting sqref="Q253:Q254">
    <cfRule type="cellIs" dxfId="458" priority="133" operator="equal">
      <formula>"Corrección"</formula>
    </cfRule>
  </conditionalFormatting>
  <conditionalFormatting sqref="Q256">
    <cfRule type="cellIs" dxfId="457" priority="130" operator="equal">
      <formula>"Plan Mejoramiento"</formula>
    </cfRule>
    <cfRule type="cellIs" dxfId="456" priority="131" operator="equal">
      <formula>"Acción Preventiva"</formula>
    </cfRule>
    <cfRule type="cellIs" dxfId="455" priority="132" operator="equal">
      <formula>"Acción Correctiva"</formula>
    </cfRule>
  </conditionalFormatting>
  <conditionalFormatting sqref="Q256">
    <cfRule type="cellIs" dxfId="454" priority="127" operator="equal">
      <formula>"Corrección"</formula>
    </cfRule>
  </conditionalFormatting>
  <conditionalFormatting sqref="Q257:Q260">
    <cfRule type="cellIs" dxfId="453" priority="120" operator="equal">
      <formula>"Plan Mejoramiento"</formula>
    </cfRule>
    <cfRule type="cellIs" dxfId="452" priority="121" operator="equal">
      <formula>"Acción Preventiva"</formula>
    </cfRule>
    <cfRule type="cellIs" dxfId="451" priority="122" operator="equal">
      <formula>"Acción Correctiva"</formula>
    </cfRule>
  </conditionalFormatting>
  <conditionalFormatting sqref="Q257:Q260">
    <cfRule type="cellIs" dxfId="450" priority="117" operator="equal">
      <formula>"Corrección"</formula>
    </cfRule>
  </conditionalFormatting>
  <conditionalFormatting sqref="Q261">
    <cfRule type="cellIs" dxfId="449" priority="114" operator="equal">
      <formula>"Plan Mejoramiento"</formula>
    </cfRule>
    <cfRule type="cellIs" dxfId="448" priority="115" operator="equal">
      <formula>"Acción Preventiva"</formula>
    </cfRule>
    <cfRule type="cellIs" dxfId="447" priority="116" operator="equal">
      <formula>"Acción Correctiva"</formula>
    </cfRule>
  </conditionalFormatting>
  <conditionalFormatting sqref="Q261">
    <cfRule type="cellIs" dxfId="446" priority="111" operator="equal">
      <formula>"Corrección"</formula>
    </cfRule>
  </conditionalFormatting>
  <conditionalFormatting sqref="Q262">
    <cfRule type="cellIs" dxfId="445" priority="108" operator="equal">
      <formula>"Plan Mejoramiento"</formula>
    </cfRule>
    <cfRule type="cellIs" dxfId="444" priority="109" operator="equal">
      <formula>"Acción Preventiva"</formula>
    </cfRule>
    <cfRule type="cellIs" dxfId="443" priority="110" operator="equal">
      <formula>"Acción Correctiva"</formula>
    </cfRule>
  </conditionalFormatting>
  <conditionalFormatting sqref="Q262">
    <cfRule type="cellIs" dxfId="442" priority="105" operator="equal">
      <formula>"Corrección"</formula>
    </cfRule>
  </conditionalFormatting>
  <conditionalFormatting sqref="Q263:Q268">
    <cfRule type="cellIs" dxfId="441" priority="102" operator="equal">
      <formula>"Plan Mejoramiento"</formula>
    </cfRule>
    <cfRule type="cellIs" dxfId="440" priority="103" operator="equal">
      <formula>"Acción Preventiva"</formula>
    </cfRule>
    <cfRule type="cellIs" dxfId="439" priority="104" operator="equal">
      <formula>"Acción Correctiva"</formula>
    </cfRule>
  </conditionalFormatting>
  <conditionalFormatting sqref="Q263:Q268">
    <cfRule type="cellIs" dxfId="438" priority="99" operator="equal">
      <formula>"Corrección"</formula>
    </cfRule>
  </conditionalFormatting>
  <conditionalFormatting sqref="L282:O282 Q282">
    <cfRule type="cellIs" dxfId="437" priority="94" operator="equal">
      <formula>"Plan Mejoramiento"</formula>
    </cfRule>
    <cfRule type="cellIs" dxfId="436" priority="95" operator="equal">
      <formula>"Acción Preventiva"</formula>
    </cfRule>
    <cfRule type="cellIs" dxfId="435" priority="96" operator="equal">
      <formula>"Acción Correctiva"</formula>
    </cfRule>
  </conditionalFormatting>
  <conditionalFormatting sqref="R282">
    <cfRule type="cellIs" dxfId="434" priority="92" operator="equal">
      <formula>"Cerrada"</formula>
    </cfRule>
    <cfRule type="cellIs" dxfId="433" priority="93" operator="equal">
      <formula>"Abierta"</formula>
    </cfRule>
  </conditionalFormatting>
  <conditionalFormatting sqref="M282:O282 Q282">
    <cfRule type="cellIs" dxfId="432" priority="91" operator="equal">
      <formula>"Corrección"</formula>
    </cfRule>
  </conditionalFormatting>
  <conditionalFormatting sqref="J282">
    <cfRule type="cellIs" dxfId="431" priority="89" operator="equal">
      <formula>"Hallazgo Cerrado"</formula>
    </cfRule>
    <cfRule type="cellIs" dxfId="430" priority="90" operator="equal">
      <formula>"Hallazgo Abierto"</formula>
    </cfRule>
  </conditionalFormatting>
  <conditionalFormatting sqref="I282">
    <cfRule type="cellIs" dxfId="429" priority="86" operator="equal">
      <formula>"Oportunidad de mejora"</formula>
    </cfRule>
    <cfRule type="cellIs" dxfId="428" priority="87" operator="equal">
      <formula>"Recomendación"</formula>
    </cfRule>
    <cfRule type="cellIs" dxfId="427" priority="88" operator="equal">
      <formula>"No Conformidad"</formula>
    </cfRule>
  </conditionalFormatting>
  <conditionalFormatting sqref="K282">
    <cfRule type="cellIs" dxfId="426" priority="83" operator="equal">
      <formula>"Plan Mejoramiento"</formula>
    </cfRule>
    <cfRule type="cellIs" dxfId="425" priority="84" operator="equal">
      <formula>"Acción Preventiva"</formula>
    </cfRule>
    <cfRule type="cellIs" dxfId="424" priority="85" operator="equal">
      <formula>"Acción Correctiva"</formula>
    </cfRule>
  </conditionalFormatting>
  <conditionalFormatting sqref="K282">
    <cfRule type="cellIs" dxfId="423" priority="82" operator="equal">
      <formula>"Corrección"</formula>
    </cfRule>
  </conditionalFormatting>
  <conditionalFormatting sqref="V282">
    <cfRule type="cellIs" dxfId="422" priority="79" operator="equal">
      <formula>"No ha formulado PM"</formula>
    </cfRule>
    <cfRule type="cellIs" dxfId="421" priority="80" operator="equal">
      <formula>"Oportuno"</formula>
    </cfRule>
    <cfRule type="cellIs" dxfId="420" priority="81" operator="equal">
      <formula>"Inoportuno"</formula>
    </cfRule>
  </conditionalFormatting>
  <conditionalFormatting sqref="E282">
    <cfRule type="cellIs" dxfId="419" priority="77" operator="equal">
      <formula>"Institucional"</formula>
    </cfRule>
    <cfRule type="cellIs" dxfId="418" priority="78" operator="equal">
      <formula>"Proceso"</formula>
    </cfRule>
  </conditionalFormatting>
  <conditionalFormatting sqref="V287:V289">
    <cfRule type="cellIs" dxfId="417" priority="74" operator="equal">
      <formula>"No ha formulado PM"</formula>
    </cfRule>
    <cfRule type="cellIs" dxfId="416" priority="75" operator="equal">
      <formula>"Oportuno"</formula>
    </cfRule>
    <cfRule type="cellIs" dxfId="415" priority="76" operator="equal">
      <formula>"Inoportuno"</formula>
    </cfRule>
  </conditionalFormatting>
  <conditionalFormatting sqref="V283:V286">
    <cfRule type="cellIs" dxfId="414" priority="71" operator="equal">
      <formula>"No ha formulado PM"</formula>
    </cfRule>
    <cfRule type="cellIs" dxfId="413" priority="72" operator="equal">
      <formula>"Oportuno"</formula>
    </cfRule>
    <cfRule type="cellIs" dxfId="412" priority="73" operator="equal">
      <formula>"Inoportuno"</formula>
    </cfRule>
  </conditionalFormatting>
  <conditionalFormatting sqref="I33">
    <cfRule type="cellIs" dxfId="411" priority="64" operator="equal">
      <formula>"Oportunidad de mejora"</formula>
    </cfRule>
    <cfRule type="cellIs" dxfId="410" priority="65" operator="equal">
      <formula>"Recomendación"</formula>
    </cfRule>
    <cfRule type="cellIs" dxfId="409" priority="66" operator="equal">
      <formula>"No Conformidad"</formula>
    </cfRule>
  </conditionalFormatting>
  <conditionalFormatting sqref="J33">
    <cfRule type="cellIs" dxfId="408" priority="62" operator="equal">
      <formula>"Hallazgo Cerrado"</formula>
    </cfRule>
    <cfRule type="cellIs" dxfId="407" priority="63" operator="equal">
      <formula>"Hallazgo Abierto"</formula>
    </cfRule>
  </conditionalFormatting>
  <conditionalFormatting sqref="M252">
    <cfRule type="cellIs" dxfId="406" priority="59" operator="equal">
      <formula>"Plan Mejoramiento"</formula>
    </cfRule>
    <cfRule type="cellIs" dxfId="405" priority="60" operator="equal">
      <formula>"Acción Preventiva"</formula>
    </cfRule>
    <cfRule type="cellIs" dxfId="404" priority="61" operator="equal">
      <formula>"Acción Correctiva"</formula>
    </cfRule>
  </conditionalFormatting>
  <conditionalFormatting sqref="M252">
    <cfRule type="cellIs" dxfId="403" priority="58" operator="equal">
      <formula>"Corrección"</formula>
    </cfRule>
  </conditionalFormatting>
  <conditionalFormatting sqref="J231">
    <cfRule type="cellIs" dxfId="402" priority="53" operator="equal">
      <formula>"Hallazgo Cerrado"</formula>
    </cfRule>
    <cfRule type="cellIs" dxfId="401" priority="54" operator="equal">
      <formula>"Hallazgo Abierto"</formula>
    </cfRule>
  </conditionalFormatting>
  <conditionalFormatting sqref="I231">
    <cfRule type="cellIs" dxfId="400" priority="50" operator="equal">
      <formula>"Oportunidad de mejora"</formula>
    </cfRule>
    <cfRule type="cellIs" dxfId="399" priority="51" operator="equal">
      <formula>"Recomendación"</formula>
    </cfRule>
    <cfRule type="cellIs" dxfId="398" priority="52" operator="equal">
      <formula>"No Conformidad"</formula>
    </cfRule>
  </conditionalFormatting>
  <conditionalFormatting sqref="E251">
    <cfRule type="cellIs" dxfId="397" priority="48" operator="equal">
      <formula>"Institucional"</formula>
    </cfRule>
    <cfRule type="cellIs" dxfId="396" priority="49" operator="equal">
      <formula>"Proceso"</formula>
    </cfRule>
  </conditionalFormatting>
  <conditionalFormatting sqref="N226">
    <cfRule type="cellIs" dxfId="395" priority="45" operator="equal">
      <formula>"Plan Mejoramiento"</formula>
    </cfRule>
    <cfRule type="cellIs" dxfId="394" priority="46" operator="equal">
      <formula>"Acción Preventiva"</formula>
    </cfRule>
    <cfRule type="cellIs" dxfId="393" priority="47" operator="equal">
      <formula>"Acción Correctiva"</formula>
    </cfRule>
  </conditionalFormatting>
  <conditionalFormatting sqref="N226">
    <cfRule type="cellIs" dxfId="392" priority="44" operator="equal">
      <formula>"Corrección"</formula>
    </cfRule>
  </conditionalFormatting>
  <conditionalFormatting sqref="J259">
    <cfRule type="cellIs" dxfId="391" priority="42" operator="equal">
      <formula>"Hallazgo Cerrado"</formula>
    </cfRule>
    <cfRule type="cellIs" dxfId="390" priority="43" operator="equal">
      <formula>"Hallazgo Abierto"</formula>
    </cfRule>
  </conditionalFormatting>
  <conditionalFormatting sqref="I259">
    <cfRule type="cellIs" dxfId="389" priority="39" operator="equal">
      <formula>"Oportunidad de mejora"</formula>
    </cfRule>
    <cfRule type="cellIs" dxfId="388" priority="40" operator="equal">
      <formula>"Recomendación"</formula>
    </cfRule>
    <cfRule type="cellIs" dxfId="387" priority="41" operator="equal">
      <formula>"No Conformidad"</formula>
    </cfRule>
  </conditionalFormatting>
  <conditionalFormatting sqref="J260">
    <cfRule type="cellIs" dxfId="386" priority="37" operator="equal">
      <formula>"Hallazgo Cerrado"</formula>
    </cfRule>
    <cfRule type="cellIs" dxfId="385" priority="38" operator="equal">
      <formula>"Hallazgo Abierto"</formula>
    </cfRule>
  </conditionalFormatting>
  <conditionalFormatting sqref="I260">
    <cfRule type="cellIs" dxfId="384" priority="34" operator="equal">
      <formula>"Oportunidad de mejora"</formula>
    </cfRule>
    <cfRule type="cellIs" dxfId="383" priority="35" operator="equal">
      <formula>"Recomendación"</formula>
    </cfRule>
    <cfRule type="cellIs" dxfId="382" priority="36" operator="equal">
      <formula>"No Conformidad"</formula>
    </cfRule>
  </conditionalFormatting>
  <conditionalFormatting sqref="E258">
    <cfRule type="cellIs" dxfId="381" priority="32" operator="equal">
      <formula>"Institucional"</formula>
    </cfRule>
    <cfRule type="cellIs" dxfId="380" priority="33" operator="equal">
      <formula>"Proceso"</formula>
    </cfRule>
  </conditionalFormatting>
  <conditionalFormatting sqref="E259">
    <cfRule type="cellIs" dxfId="379" priority="30" operator="equal">
      <formula>"Institucional"</formula>
    </cfRule>
    <cfRule type="cellIs" dxfId="378" priority="31" operator="equal">
      <formula>"Proceso"</formula>
    </cfRule>
  </conditionalFormatting>
  <conditionalFormatting sqref="E260">
    <cfRule type="cellIs" dxfId="377" priority="28" operator="equal">
      <formula>"Institucional"</formula>
    </cfRule>
    <cfRule type="cellIs" dxfId="376" priority="29" operator="equal">
      <formula>"Proceso"</formula>
    </cfRule>
  </conditionalFormatting>
  <conditionalFormatting sqref="I251">
    <cfRule type="cellIs" dxfId="375" priority="25" operator="equal">
      <formula>"Oportunidad de mejora"</formula>
    </cfRule>
    <cfRule type="cellIs" dxfId="374" priority="26" operator="equal">
      <formula>"Recomendación"</formula>
    </cfRule>
    <cfRule type="cellIs" dxfId="373" priority="27" operator="equal">
      <formula>"No Conformidad"</formula>
    </cfRule>
  </conditionalFormatting>
  <conditionalFormatting sqref="J251">
    <cfRule type="cellIs" dxfId="372" priority="23" operator="equal">
      <formula>"Hallazgo Cerrado"</formula>
    </cfRule>
    <cfRule type="cellIs" dxfId="371" priority="24" operator="equal">
      <formula>"Hallazgo Abierto"</formula>
    </cfRule>
  </conditionalFormatting>
  <conditionalFormatting sqref="T50">
    <cfRule type="cellIs" dxfId="370" priority="20" operator="equal">
      <formula>"Plan Mejoramiento"</formula>
    </cfRule>
    <cfRule type="cellIs" dxfId="369" priority="21" operator="equal">
      <formula>"Acción Preventiva"</formula>
    </cfRule>
    <cfRule type="cellIs" dxfId="368" priority="22" operator="equal">
      <formula>"Acción Correctiva"</formula>
    </cfRule>
  </conditionalFormatting>
  <conditionalFormatting sqref="T50">
    <cfRule type="cellIs" dxfId="367" priority="19" operator="equal">
      <formula>"Corrección"</formula>
    </cfRule>
  </conditionalFormatting>
  <conditionalFormatting sqref="T29">
    <cfRule type="cellIs" dxfId="366" priority="16" operator="equal">
      <formula>"Plan Mejoramiento"</formula>
    </cfRule>
    <cfRule type="cellIs" dxfId="365" priority="17" operator="equal">
      <formula>"Acción Preventiva"</formula>
    </cfRule>
    <cfRule type="cellIs" dxfId="364" priority="18" operator="equal">
      <formula>"Acción Correctiva"</formula>
    </cfRule>
  </conditionalFormatting>
  <conditionalFormatting sqref="T29">
    <cfRule type="cellIs" dxfId="363" priority="14" operator="equal">
      <formula>"Cerrada"</formula>
    </cfRule>
    <cfRule type="cellIs" dxfId="362" priority="15" operator="equal">
      <formula>"Abierta"</formula>
    </cfRule>
  </conditionalFormatting>
  <conditionalFormatting sqref="T29">
    <cfRule type="cellIs" dxfId="361" priority="13" operator="equal">
      <formula>"Corrección"</formula>
    </cfRule>
  </conditionalFormatting>
  <conditionalFormatting sqref="T30">
    <cfRule type="cellIs" dxfId="360" priority="10" operator="equal">
      <formula>"Plan Mejoramiento"</formula>
    </cfRule>
    <cfRule type="cellIs" dxfId="359" priority="11" operator="equal">
      <formula>"Acción Preventiva"</formula>
    </cfRule>
    <cfRule type="cellIs" dxfId="358" priority="12" operator="equal">
      <formula>"Acción Correctiva"</formula>
    </cfRule>
  </conditionalFormatting>
  <conditionalFormatting sqref="T30">
    <cfRule type="cellIs" dxfId="357" priority="8" operator="equal">
      <formula>"Cerrada"</formula>
    </cfRule>
    <cfRule type="cellIs" dxfId="356" priority="9" operator="equal">
      <formula>"Abierta"</formula>
    </cfRule>
  </conditionalFormatting>
  <conditionalFormatting sqref="T30">
    <cfRule type="cellIs" dxfId="355" priority="7" operator="equal">
      <formula>"Corrección"</formula>
    </cfRule>
  </conditionalFormatting>
  <conditionalFormatting sqref="T31">
    <cfRule type="cellIs" dxfId="354" priority="4" operator="equal">
      <formula>"Plan Mejoramiento"</formula>
    </cfRule>
    <cfRule type="cellIs" dxfId="353" priority="5" operator="equal">
      <formula>"Acción Preventiva"</formula>
    </cfRule>
    <cfRule type="cellIs" dxfId="352" priority="6" operator="equal">
      <formula>"Acción Correctiva"</formula>
    </cfRule>
  </conditionalFormatting>
  <conditionalFormatting sqref="T31">
    <cfRule type="cellIs" dxfId="351" priority="2" operator="equal">
      <formula>"Cerrada"</formula>
    </cfRule>
    <cfRule type="cellIs" dxfId="350" priority="3" operator="equal">
      <formula>"Abierta"</formula>
    </cfRule>
  </conditionalFormatting>
  <conditionalFormatting sqref="T31">
    <cfRule type="cellIs" dxfId="349" priority="1" operator="equal">
      <formula>"Corrección"</formula>
    </cfRule>
  </conditionalFormatting>
  <dataValidations count="12">
    <dataValidation type="list" allowBlank="1" showInputMessage="1" showErrorMessage="1" sqref="G322 M26 M4:M23 M53:M226 M269:M290 M28:M48">
      <formula1>"Corrección,Acción Correctiva,Acción Preventiva,Acción Mejora"</formula1>
    </dataValidation>
    <dataValidation type="list" allowBlank="1" showInputMessage="1" showErrorMessage="1" sqref="R294 D191 D124 D148 D4:D5 D53 D69 D71:D73 D59 D100:D102 D106 D109 D86 D213:D219 D55 D64:D67 D89:D93 D97:D98 D115:D117 D193 D187 D32 D77:D79 D189 E302:I302 D7:D12 D75 D81:D84 D119:D120 D126 D129:D141 D143:D146 D20:D28 D185 D179:D183 D174:D176 D222 D18 D154:D158 D160 D162 D164 D166 D168:D171 D196:D211 D266 D268 D270:D290 D228 D251:D252 D224:D226 D255:D264 D36:D49">
      <formula1>"Auditoria,Informes,Especial,Autocontrol"</formula1>
    </dataValidation>
    <dataValidation type="list" allowBlank="1" showInputMessage="1" showErrorMessage="1" sqref="P295:P296 R4:R290">
      <formula1>"Abierta,Cerrada"</formula1>
    </dataValidation>
    <dataValidation type="list" allowBlank="1" showInputMessage="1" showErrorMessage="1" sqref="I191 I148 I124 P302 H297 C297 I53 I69 I71:I73 I59 I100:I102 I106 I109 I86 I168:I171 I55 I64:I67 I89:I93 I97:I98 I115:I117 I187 I193 I32 I77:I79 I189 I4:I5 I7:I12 I75 I81:I84 I119:I120 I126 I129:I141 I143:I146 I185 I179:I183 I174:I176 I222 I18 I20:I28 I213:I219 I154:I158 I160 I162 I164 I166 I196:I211 I266 I268 I270:I290 I252 I228 I232 I234 I236:I243 I245 I247 I249 I224:I226 I255:I264 I36:I49">
      <formula1>"No Conformidad,Recomendación, Oportunidad de mejora"</formula1>
    </dataValidation>
    <dataValidation type="list" allowBlank="1" showInputMessage="1" showErrorMessage="1" sqref="K191 K53 K124 K148 K69 K71:K73 K59 K100:K102 K106 K109 K86 K224:K225 K55 K64:K67 K89:K93 K97:K98 K115:K117 K187 K193 K32 K77:K79 K189 K4:K5 K7:K12 K75 K81:K84 K119:K120 K126 K129:K141 K143:K146 K213:K219 K185 K179:K183 K174:K176 K222 K270:K290 K154:K158 K160 K162 K164 K166 K168:K171 K196:K211 K18 K20:K28 K36:K49">
      <formula1>"No,Si"</formula1>
    </dataValidation>
    <dataValidation type="list" allowBlank="1" showInputMessage="1" showErrorMessage="1" sqref="J53 J191 J148 J124 J69 J71:J73 J100:J102 J106 J109 J86 J59 J55 J64:J67 J89:J93 J97:J98 J115:J117 J187 J193 J32 J77:J79 J189 J213:J219 J75 J81:J84 J119:J120 J126 J168:J171 J143:J146 J20:J28 J185 J179:J183 J129:J141 J222 J4:J18 J154:J158 J160 J162 J164 J166 J174:J176 J196:J211 J266 J268 J270:J290 J252 J228 J231:J232 J234 J236:J243 J245 J247 J249 J224:J226 J255:J264 J36:J50">
      <formula1>"Hallazgo Abierto,Hallazgo Cerrado"</formula1>
    </dataValidation>
    <dataValidation type="list" allowBlank="1" showInputMessage="1" showErrorMessage="1" sqref="C302:D302 E191 E124 E148 E100:E102 E106 E109 E53 E59 E71:E73 E86 E69 E213:E219 E55 E64:E67 E89:E93 E97:E98 E115:E117 E193 E187 E32 E77:E79 E189 E4 E7:E12 E75 E81:E84 E119:E120 E126 E129:E141 E143:E146 E20:E28 E185 E179:E183 E174:E176 E222 E18 E154:E158 E160 E162 E164 E166 E168:E171 E196:E211 E266 E268 E270:E290 E228 E251:E252 E224:E226 E255:E264 E36:E49">
      <formula1>"Institucional,Proceso"</formula1>
    </dataValidation>
    <dataValidation type="list" allowBlank="1" showInputMessage="1" showErrorMessage="1" sqref="B312:B313 B305 C323:C335 B325 B332:B333 B86:B87 B222 B4 B7:B12 B18 B20:B28 B32:B33 B53 B55 B59 B64:B67 B69 B71:B73 B75 B77:B79 B213:B219 B89:B93 B97:B98 B100:B102 B106 B109 B115:B117 B119:B120 B124 B126 B129:B141 B143:B146 B148 B154:B158 B160 B162 B164 B166 B168:B171 B174:B176 B179:B183 B185 B187 B189 B191 B193 B196:B211 B81:B84 B266 B268 B270:B290 B228 B251:B252 B224:B226 B255:B264 B36:B49">
      <formula1>Proceso</formula1>
    </dataValidation>
    <dataValidation type="list" allowBlank="1" showInputMessage="1" showErrorMessage="1" sqref="M27 M24:M25 M49:M52">
      <formula1>"Corrección,Acción Correctiva,Acción Preventiva, Plan Mejoramiento"</formula1>
    </dataValidation>
    <dataValidation type="textLength" allowBlank="1" showInputMessage="1" showErrorMessage="1" error="Escriba un texto " promptTitle="Cualquier contenido" sqref="N59:N63 H59 C59">
      <formula1>0</formula1>
      <formula2>3500</formula2>
    </dataValidation>
    <dataValidation showDropDown="1" showInputMessage="1" showErrorMessage="1" sqref="O52 O263:O268 K268"/>
    <dataValidation type="list" allowBlank="1" showInputMessage="1" showErrorMessage="1" sqref="F86:F93 F222 F4 F7:F12 F18 F20:F28 F32:F33 F53 F55 F59 F64:F67 F69 F71:F73 F75 F77:F79 F213:F219 F97:F98 F100:F102 F106 F109 F115:F117 F119:F120 F124 F126 F129:F141 F143:F146 F148 F154:F158 F160 F162 F164 F166 F168:F171 F174:F176 F179:F183 F185 F187 F189 F191 F193 F196:F211 F81:F84 F266 F268 F270:F290 F228 F251:F252 F224:F226 F255:F264 F36:F49">
      <formula1>Auditores</formula1>
    </dataValidation>
  </dataValidations>
  <hyperlinks>
    <hyperlink ref="T268" r:id="rId1" display="\\serv-cv11\calidad\1. PROCESO DE GESTIÓN ESTRATÉGICA\MANUALES\208-PLA-Mn-06 PLAN ESTRATÉGICO DE LA CAJA DE LA VIVIENDA POPULAR"/>
  </hyperlinks>
  <pageMargins left="1.2598425196850394" right="0.23622047244094491" top="0.62992125984251968" bottom="0.51181102362204722" header="0.31496062992125984" footer="0.31496062992125984"/>
  <pageSetup scale="50" fitToHeight="0" orientation="landscape" r:id="rId2"/>
  <headerFooter differentOddEven="1">
    <oddHeader>&amp;L&amp;G&amp;G&amp;C&amp;"Arial Black,Normal"&amp;12Seguimiento Acciones Plan Mejoramiento
Caja de la Vivienda Popular</oddHeader>
    <oddFooter>&amp;L&amp;A&amp;CHoja &amp;P de &amp;N</oddFooter>
  </headerFooter>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G23" sqref="G23"/>
    </sheetView>
  </sheetViews>
  <sheetFormatPr baseColWidth="10" defaultRowHeight="15" x14ac:dyDescent="0.25"/>
  <cols>
    <col min="2" max="2" width="11.42578125" style="1"/>
    <col min="3" max="3" width="26.42578125" customWidth="1"/>
    <col min="4" max="4" width="18.28515625" customWidth="1"/>
    <col min="5" max="5" width="18.7109375" customWidth="1"/>
    <col min="6" max="6" width="58.140625" customWidth="1"/>
    <col min="7" max="7" width="19.85546875" customWidth="1"/>
  </cols>
  <sheetData>
    <row r="1" spans="1:7" ht="26.25" x14ac:dyDescent="0.4">
      <c r="A1" s="169" t="s">
        <v>159</v>
      </c>
      <c r="B1" s="169"/>
      <c r="C1" s="169"/>
      <c r="D1" s="169"/>
      <c r="E1" s="169"/>
    </row>
    <row r="2" spans="1:7" ht="15.75" thickBot="1" x14ac:dyDescent="0.3"/>
    <row r="3" spans="1:7" ht="15.75" thickBot="1" x14ac:dyDescent="0.3">
      <c r="D3" s="742" t="s">
        <v>161</v>
      </c>
      <c r="E3" s="743"/>
    </row>
    <row r="4" spans="1:7" x14ac:dyDescent="0.25">
      <c r="A4" s="173" t="s">
        <v>160</v>
      </c>
      <c r="B4" s="173" t="s">
        <v>164</v>
      </c>
      <c r="C4" s="173" t="s">
        <v>9</v>
      </c>
      <c r="D4" s="174" t="s">
        <v>9</v>
      </c>
      <c r="E4" s="174" t="s">
        <v>162</v>
      </c>
      <c r="F4" s="173" t="s">
        <v>163</v>
      </c>
      <c r="G4" s="173" t="s">
        <v>67</v>
      </c>
    </row>
    <row r="5" spans="1:7" ht="90" x14ac:dyDescent="0.25">
      <c r="A5" s="202">
        <v>42375</v>
      </c>
      <c r="B5" s="230" t="s">
        <v>432</v>
      </c>
      <c r="C5" s="172" t="s">
        <v>2</v>
      </c>
      <c r="D5" s="191" t="s">
        <v>341</v>
      </c>
      <c r="E5" s="191" t="s">
        <v>58</v>
      </c>
      <c r="F5" s="201" t="s">
        <v>433</v>
      </c>
      <c r="G5" s="203">
        <v>2015</v>
      </c>
    </row>
    <row r="6" spans="1:7" ht="45" x14ac:dyDescent="0.25">
      <c r="A6" s="202">
        <v>42381</v>
      </c>
      <c r="B6" s="190" t="s">
        <v>434</v>
      </c>
      <c r="C6" s="172" t="s">
        <v>25</v>
      </c>
      <c r="D6" s="191" t="s">
        <v>435</v>
      </c>
      <c r="E6" s="191" t="s">
        <v>58</v>
      </c>
      <c r="F6" s="201" t="s">
        <v>436</v>
      </c>
      <c r="G6" s="203">
        <v>2015</v>
      </c>
    </row>
    <row r="7" spans="1:7" ht="45" x14ac:dyDescent="0.25">
      <c r="A7" s="288" t="s">
        <v>441</v>
      </c>
      <c r="B7" s="175" t="s">
        <v>444</v>
      </c>
      <c r="C7" s="172" t="s">
        <v>437</v>
      </c>
      <c r="D7" s="191" t="s">
        <v>438</v>
      </c>
      <c r="E7" s="191" t="s">
        <v>58</v>
      </c>
      <c r="F7" s="201" t="s">
        <v>445</v>
      </c>
      <c r="G7" s="203">
        <v>2015</v>
      </c>
    </row>
    <row r="8" spans="1:7" ht="60" x14ac:dyDescent="0.25">
      <c r="A8" s="176">
        <v>42383</v>
      </c>
      <c r="B8" s="213" t="s">
        <v>446</v>
      </c>
      <c r="C8" s="172" t="s">
        <v>447</v>
      </c>
      <c r="D8" s="191" t="s">
        <v>448</v>
      </c>
      <c r="E8" s="191" t="s">
        <v>58</v>
      </c>
      <c r="F8" s="201" t="s">
        <v>449</v>
      </c>
      <c r="G8" s="203">
        <v>2015</v>
      </c>
    </row>
    <row r="9" spans="1:7" ht="60" x14ac:dyDescent="0.25">
      <c r="A9" s="176">
        <v>42383</v>
      </c>
      <c r="B9" s="175" t="s">
        <v>450</v>
      </c>
      <c r="C9" s="172" t="s">
        <v>37</v>
      </c>
      <c r="D9" s="191" t="s">
        <v>451</v>
      </c>
      <c r="E9" s="191" t="s">
        <v>58</v>
      </c>
      <c r="F9" s="201" t="s">
        <v>452</v>
      </c>
      <c r="G9" s="203">
        <v>2015</v>
      </c>
    </row>
    <row r="10" spans="1:7" ht="45" x14ac:dyDescent="0.25">
      <c r="A10" s="176">
        <v>42391</v>
      </c>
      <c r="B10" s="175" t="s">
        <v>458</v>
      </c>
      <c r="C10" s="172" t="s">
        <v>37</v>
      </c>
      <c r="D10" s="191" t="s">
        <v>451</v>
      </c>
      <c r="E10" s="191" t="s">
        <v>58</v>
      </c>
      <c r="F10" s="201" t="s">
        <v>459</v>
      </c>
      <c r="G10" s="203">
        <v>2015</v>
      </c>
    </row>
    <row r="11" spans="1:7" ht="30" x14ac:dyDescent="0.25">
      <c r="A11" s="176">
        <v>42397</v>
      </c>
      <c r="B11" s="227" t="s">
        <v>462</v>
      </c>
      <c r="C11" s="172" t="s">
        <v>2</v>
      </c>
      <c r="D11" s="191" t="s">
        <v>341</v>
      </c>
      <c r="E11" s="191" t="s">
        <v>58</v>
      </c>
      <c r="F11" s="201" t="s">
        <v>460</v>
      </c>
      <c r="G11" s="203">
        <v>2015</v>
      </c>
    </row>
    <row r="12" spans="1:7" ht="30" x14ac:dyDescent="0.25">
      <c r="A12" s="176">
        <v>42398</v>
      </c>
      <c r="B12" s="230" t="s">
        <v>461</v>
      </c>
      <c r="C12" s="172" t="s">
        <v>2</v>
      </c>
      <c r="D12" s="191" t="s">
        <v>341</v>
      </c>
      <c r="E12" s="191" t="s">
        <v>58</v>
      </c>
      <c r="F12" s="171" t="s">
        <v>463</v>
      </c>
      <c r="G12" s="203">
        <v>2015</v>
      </c>
    </row>
    <row r="13" spans="1:7" ht="30" x14ac:dyDescent="0.25">
      <c r="A13" s="176">
        <v>42398</v>
      </c>
      <c r="B13" s="289">
        <v>0.375</v>
      </c>
      <c r="C13" s="172" t="s">
        <v>437</v>
      </c>
      <c r="D13" s="191" t="s">
        <v>438</v>
      </c>
      <c r="E13" s="191" t="s">
        <v>58</v>
      </c>
      <c r="F13" s="171"/>
      <c r="G13" s="203">
        <v>2015</v>
      </c>
    </row>
    <row r="14" spans="1:7" ht="60" x14ac:dyDescent="0.25">
      <c r="A14" s="194">
        <v>42409</v>
      </c>
      <c r="B14" s="230" t="s">
        <v>473</v>
      </c>
      <c r="C14" s="172" t="s">
        <v>447</v>
      </c>
      <c r="D14" s="191" t="s">
        <v>448</v>
      </c>
      <c r="E14" s="191" t="s">
        <v>58</v>
      </c>
      <c r="F14" s="195" t="s">
        <v>474</v>
      </c>
      <c r="G14" s="290">
        <v>2015</v>
      </c>
    </row>
    <row r="15" spans="1:7" ht="105" x14ac:dyDescent="0.25">
      <c r="A15" s="194">
        <v>42480</v>
      </c>
      <c r="B15" s="230" t="s">
        <v>550</v>
      </c>
      <c r="C15" s="172" t="s">
        <v>551</v>
      </c>
      <c r="D15" s="191" t="s">
        <v>552</v>
      </c>
      <c r="E15" s="201" t="s">
        <v>553</v>
      </c>
      <c r="F15" s="195" t="s">
        <v>554</v>
      </c>
      <c r="G15" s="290">
        <v>2016</v>
      </c>
    </row>
    <row r="16" spans="1:7" ht="60" x14ac:dyDescent="0.25">
      <c r="A16" s="305">
        <v>42495</v>
      </c>
      <c r="B16" s="197" t="s">
        <v>560</v>
      </c>
      <c r="C16" s="172" t="s">
        <v>551</v>
      </c>
      <c r="D16" s="191" t="s">
        <v>552</v>
      </c>
      <c r="E16" s="201" t="s">
        <v>561</v>
      </c>
      <c r="F16" s="198" t="s">
        <v>562</v>
      </c>
      <c r="G16" s="290">
        <v>2016</v>
      </c>
    </row>
    <row r="17" spans="1:7" ht="90" x14ac:dyDescent="0.25">
      <c r="A17" s="176">
        <v>42500</v>
      </c>
      <c r="B17" s="289" t="s">
        <v>569</v>
      </c>
      <c r="C17" s="172" t="s">
        <v>563</v>
      </c>
      <c r="D17" s="191" t="s">
        <v>552</v>
      </c>
      <c r="E17" s="191" t="s">
        <v>564</v>
      </c>
      <c r="F17" s="171" t="s">
        <v>570</v>
      </c>
      <c r="G17" s="290">
        <v>2016</v>
      </c>
    </row>
    <row r="18" spans="1:7" ht="60" x14ac:dyDescent="0.25">
      <c r="A18" s="176">
        <v>42500</v>
      </c>
      <c r="B18" s="289" t="s">
        <v>592</v>
      </c>
      <c r="C18" s="43" t="s">
        <v>10</v>
      </c>
      <c r="D18" s="191" t="s">
        <v>591</v>
      </c>
      <c r="E18" s="201" t="s">
        <v>561</v>
      </c>
      <c r="F18" s="195" t="s">
        <v>593</v>
      </c>
      <c r="G18" s="290">
        <v>2015</v>
      </c>
    </row>
    <row r="19" spans="1:7" ht="60" x14ac:dyDescent="0.25">
      <c r="A19" s="176">
        <v>42502</v>
      </c>
      <c r="B19" s="190" t="s">
        <v>595</v>
      </c>
      <c r="C19" s="43" t="s">
        <v>563</v>
      </c>
      <c r="D19" s="191" t="s">
        <v>594</v>
      </c>
      <c r="E19" s="191" t="s">
        <v>58</v>
      </c>
      <c r="F19" s="195" t="s">
        <v>596</v>
      </c>
      <c r="G19" s="191" t="s">
        <v>597</v>
      </c>
    </row>
    <row r="20" spans="1:7" ht="45" x14ac:dyDescent="0.25">
      <c r="A20" s="176">
        <v>42542</v>
      </c>
      <c r="B20" s="230" t="s">
        <v>614</v>
      </c>
      <c r="C20" s="43" t="s">
        <v>335</v>
      </c>
      <c r="D20" s="191" t="s">
        <v>608</v>
      </c>
      <c r="E20" s="191" t="s">
        <v>58</v>
      </c>
      <c r="F20" s="201" t="s">
        <v>615</v>
      </c>
      <c r="G20" s="191" t="s">
        <v>609</v>
      </c>
    </row>
    <row r="21" spans="1:7" ht="60" x14ac:dyDescent="0.25">
      <c r="A21" s="176">
        <v>42542</v>
      </c>
      <c r="B21" s="289" t="s">
        <v>653</v>
      </c>
      <c r="C21" s="43" t="s">
        <v>649</v>
      </c>
      <c r="D21" s="191" t="s">
        <v>650</v>
      </c>
      <c r="E21" s="201" t="s">
        <v>651</v>
      </c>
      <c r="F21" s="201" t="s">
        <v>652</v>
      </c>
      <c r="G21" s="191">
        <v>2015</v>
      </c>
    </row>
    <row r="22" spans="1:7" ht="165" x14ac:dyDescent="0.25">
      <c r="A22" s="202">
        <v>42543</v>
      </c>
      <c r="B22" s="190" t="s">
        <v>654</v>
      </c>
      <c r="C22" s="43" t="s">
        <v>10</v>
      </c>
      <c r="D22" s="191" t="s">
        <v>591</v>
      </c>
      <c r="E22" s="201" t="s">
        <v>561</v>
      </c>
      <c r="F22" s="201" t="s">
        <v>655</v>
      </c>
      <c r="G22" s="170">
        <v>2015</v>
      </c>
    </row>
    <row r="23" spans="1:7" x14ac:dyDescent="0.25">
      <c r="A23" s="202"/>
      <c r="B23" s="190"/>
      <c r="C23" s="172"/>
      <c r="D23" s="191"/>
      <c r="E23" s="191"/>
      <c r="F23" s="201"/>
      <c r="G23" s="203"/>
    </row>
    <row r="24" spans="1:7" s="1" customFormat="1" x14ac:dyDescent="0.25">
      <c r="A24" s="202"/>
      <c r="B24" s="190"/>
      <c r="C24" s="172"/>
      <c r="D24" s="191"/>
      <c r="E24" s="191"/>
      <c r="F24" s="201"/>
      <c r="G24" s="203"/>
    </row>
  </sheetData>
  <mergeCells count="1">
    <mergeCell ref="D3:E3"/>
  </mergeCells>
  <dataValidations count="1">
    <dataValidation type="list" allowBlank="1" showInputMessage="1" showErrorMessage="1" sqref="C18:C22">
      <formula1>Proceso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zoomScale="90" zoomScaleNormal="90" workbookViewId="0">
      <selection activeCell="A4" sqref="A4"/>
    </sheetView>
  </sheetViews>
  <sheetFormatPr baseColWidth="10" defaultRowHeight="15" x14ac:dyDescent="0.25"/>
  <cols>
    <col min="1" max="1" width="6.85546875" customWidth="1"/>
    <col min="2" max="2" width="19.85546875" customWidth="1"/>
    <col min="3" max="3" width="23.7109375" customWidth="1"/>
    <col min="7" max="7" width="60.7109375" customWidth="1"/>
    <col min="8" max="8" width="13.140625" customWidth="1"/>
    <col min="9" max="9" width="16.7109375" customWidth="1"/>
    <col min="10" max="10" width="46.28515625" customWidth="1"/>
    <col min="11" max="11" width="12.5703125" customWidth="1"/>
  </cols>
  <sheetData>
    <row r="1" spans="1:11" s="1" customFormat="1" x14ac:dyDescent="0.25">
      <c r="A1" s="1" t="s">
        <v>187</v>
      </c>
    </row>
    <row r="2" spans="1:11" s="1" customFormat="1" ht="15.75" thickBot="1" x14ac:dyDescent="0.3"/>
    <row r="3" spans="1:11" ht="37.5" thickBot="1" x14ac:dyDescent="0.3">
      <c r="A3" s="34" t="s">
        <v>68</v>
      </c>
      <c r="B3" s="35" t="s">
        <v>0</v>
      </c>
      <c r="C3" s="35" t="s">
        <v>1</v>
      </c>
      <c r="D3" s="36" t="s">
        <v>42</v>
      </c>
      <c r="E3" s="212" t="s">
        <v>69</v>
      </c>
      <c r="F3" s="37" t="s">
        <v>70</v>
      </c>
      <c r="G3" s="211" t="s">
        <v>71</v>
      </c>
      <c r="H3" s="210" t="s">
        <v>45</v>
      </c>
      <c r="I3" s="210" t="s">
        <v>103</v>
      </c>
      <c r="J3" s="210" t="s">
        <v>188</v>
      </c>
      <c r="K3" s="210" t="s">
        <v>189</v>
      </c>
    </row>
    <row r="4" spans="1:11" ht="128.25" thickTop="1" x14ac:dyDescent="0.25">
      <c r="A4" s="179">
        <v>1</v>
      </c>
      <c r="B4" s="43" t="s">
        <v>63</v>
      </c>
      <c r="C4" s="184" t="s">
        <v>443</v>
      </c>
      <c r="D4" s="178" t="s">
        <v>43</v>
      </c>
      <c r="E4" s="182" t="s">
        <v>52</v>
      </c>
      <c r="F4" s="46">
        <v>42368</v>
      </c>
      <c r="G4" s="164" t="s">
        <v>431</v>
      </c>
      <c r="H4" s="209"/>
      <c r="I4" s="287" t="s">
        <v>439</v>
      </c>
      <c r="J4" s="199" t="s">
        <v>442</v>
      </c>
      <c r="K4" s="183">
        <v>42381</v>
      </c>
    </row>
    <row r="5" spans="1:11" s="31" customFormat="1" ht="53.25" customHeight="1" x14ac:dyDescent="0.2">
      <c r="A5" s="180">
        <f>1+A4</f>
        <v>2</v>
      </c>
      <c r="B5" s="43"/>
      <c r="C5" s="184"/>
      <c r="D5" s="208"/>
      <c r="E5" s="182"/>
      <c r="F5" s="46"/>
      <c r="G5" s="199"/>
      <c r="H5" s="209"/>
      <c r="I5" s="15"/>
      <c r="J5" s="199"/>
      <c r="K5" s="183"/>
    </row>
    <row r="6" spans="1:11" s="31" customFormat="1" ht="56.25" customHeight="1" x14ac:dyDescent="0.2">
      <c r="A6" s="282">
        <f t="shared" ref="A6:A37" si="0">1+A5</f>
        <v>3</v>
      </c>
      <c r="B6" s="43"/>
      <c r="C6" s="184"/>
      <c r="D6" s="208"/>
      <c r="E6" s="182"/>
      <c r="F6" s="46"/>
      <c r="G6" s="199"/>
      <c r="H6" s="209"/>
      <c r="I6" s="15"/>
      <c r="J6" s="199"/>
      <c r="K6" s="183"/>
    </row>
    <row r="7" spans="1:11" x14ac:dyDescent="0.25">
      <c r="A7" s="282">
        <f t="shared" si="0"/>
        <v>4</v>
      </c>
      <c r="B7" s="43"/>
      <c r="C7" s="184"/>
      <c r="D7" s="208"/>
      <c r="E7" s="182"/>
      <c r="F7" s="46"/>
      <c r="G7" s="199"/>
      <c r="H7" s="209"/>
      <c r="I7" s="15"/>
      <c r="J7" s="199"/>
      <c r="K7" s="183"/>
    </row>
    <row r="8" spans="1:11" x14ac:dyDescent="0.25">
      <c r="A8" s="282">
        <f t="shared" si="0"/>
        <v>5</v>
      </c>
      <c r="B8" s="43"/>
      <c r="C8" s="184"/>
      <c r="D8" s="208"/>
      <c r="E8" s="182"/>
      <c r="F8" s="46"/>
      <c r="G8" s="199"/>
      <c r="H8" s="209"/>
      <c r="I8" s="15"/>
      <c r="J8" s="199"/>
      <c r="K8" s="183"/>
    </row>
    <row r="9" spans="1:11" x14ac:dyDescent="0.25">
      <c r="A9" s="282">
        <f t="shared" si="0"/>
        <v>6</v>
      </c>
      <c r="B9" s="43"/>
      <c r="C9" s="184"/>
      <c r="D9" s="208"/>
      <c r="E9" s="182"/>
      <c r="F9" s="46"/>
      <c r="G9" s="199"/>
      <c r="H9" s="209"/>
      <c r="I9" s="15"/>
      <c r="J9" s="199"/>
      <c r="K9" s="183"/>
    </row>
    <row r="10" spans="1:11" x14ac:dyDescent="0.25">
      <c r="A10" s="282">
        <f t="shared" si="0"/>
        <v>7</v>
      </c>
      <c r="B10" s="43"/>
      <c r="C10" s="184"/>
      <c r="D10" s="208"/>
      <c r="E10" s="182"/>
      <c r="F10" s="46"/>
      <c r="G10" s="181"/>
      <c r="H10" s="209"/>
      <c r="I10" s="15"/>
      <c r="J10" s="199"/>
      <c r="K10" s="183"/>
    </row>
    <row r="11" spans="1:11" s="1" customFormat="1" x14ac:dyDescent="0.25">
      <c r="A11" s="282">
        <f t="shared" si="0"/>
        <v>8</v>
      </c>
      <c r="B11" s="43"/>
      <c r="C11" s="184"/>
      <c r="D11" s="223"/>
      <c r="E11" s="182"/>
      <c r="F11" s="46"/>
      <c r="G11" s="205"/>
      <c r="H11" s="224"/>
      <c r="I11" s="225"/>
      <c r="J11" s="199"/>
      <c r="K11" s="183"/>
    </row>
    <row r="12" spans="1:11" s="1" customFormat="1" x14ac:dyDescent="0.25">
      <c r="A12" s="282">
        <f t="shared" si="0"/>
        <v>9</v>
      </c>
      <c r="B12" s="43"/>
      <c r="C12" s="184"/>
      <c r="D12" s="223"/>
      <c r="E12" s="182"/>
      <c r="F12" s="46"/>
      <c r="G12" s="205"/>
      <c r="H12" s="224"/>
      <c r="I12" s="225"/>
      <c r="J12" s="199"/>
      <c r="K12" s="183"/>
    </row>
    <row r="13" spans="1:11" s="1" customFormat="1" x14ac:dyDescent="0.25">
      <c r="A13" s="282">
        <f t="shared" si="0"/>
        <v>10</v>
      </c>
      <c r="B13" s="43"/>
      <c r="C13" s="184"/>
      <c r="D13" s="223"/>
      <c r="E13" s="182"/>
      <c r="F13" s="46"/>
      <c r="G13" s="205"/>
      <c r="H13" s="224"/>
      <c r="I13" s="225"/>
      <c r="J13" s="199"/>
      <c r="K13" s="183"/>
    </row>
    <row r="14" spans="1:11" s="1" customFormat="1" x14ac:dyDescent="0.25">
      <c r="A14" s="282">
        <f t="shared" si="0"/>
        <v>11</v>
      </c>
      <c r="B14" s="43"/>
      <c r="C14" s="184"/>
      <c r="D14" s="223"/>
      <c r="E14" s="182"/>
      <c r="F14" s="46"/>
      <c r="G14" s="205"/>
      <c r="H14" s="224"/>
      <c r="I14" s="225"/>
      <c r="J14" s="199"/>
      <c r="K14" s="183"/>
    </row>
    <row r="15" spans="1:11" s="1" customFormat="1" x14ac:dyDescent="0.25">
      <c r="A15" s="282">
        <f t="shared" si="0"/>
        <v>12</v>
      </c>
      <c r="B15" s="43"/>
      <c r="C15" s="184"/>
      <c r="D15" s="223"/>
      <c r="E15" s="182"/>
      <c r="F15" s="46"/>
      <c r="G15" s="206"/>
      <c r="H15" s="224"/>
      <c r="I15" s="225"/>
      <c r="J15" s="199"/>
      <c r="K15" s="183"/>
    </row>
    <row r="16" spans="1:11" s="1" customFormat="1" x14ac:dyDescent="0.25">
      <c r="A16" s="282">
        <f t="shared" si="0"/>
        <v>13</v>
      </c>
      <c r="B16" s="43"/>
      <c r="C16" s="43"/>
      <c r="D16" s="223"/>
      <c r="E16" s="182"/>
      <c r="F16" s="46"/>
      <c r="G16" s="206"/>
      <c r="H16" s="224"/>
      <c r="I16" s="225"/>
      <c r="J16" s="199"/>
      <c r="K16" s="183"/>
    </row>
    <row r="17" spans="1:11" s="1" customFormat="1" x14ac:dyDescent="0.25">
      <c r="A17" s="282">
        <f t="shared" si="0"/>
        <v>14</v>
      </c>
      <c r="B17" s="43"/>
      <c r="C17" s="43"/>
      <c r="D17" s="223"/>
      <c r="E17" s="182"/>
      <c r="F17" s="46"/>
      <c r="G17" s="206"/>
      <c r="H17" s="224"/>
      <c r="I17" s="225"/>
      <c r="J17" s="199"/>
      <c r="K17" s="183"/>
    </row>
    <row r="18" spans="1:11" s="1" customFormat="1" x14ac:dyDescent="0.25">
      <c r="A18" s="282">
        <f t="shared" si="0"/>
        <v>15</v>
      </c>
      <c r="B18" s="43"/>
      <c r="C18" s="43"/>
      <c r="D18" s="223"/>
      <c r="E18" s="182"/>
      <c r="F18" s="46"/>
      <c r="G18" s="206"/>
      <c r="H18" s="224"/>
      <c r="I18" s="225"/>
      <c r="J18" s="199"/>
      <c r="K18" s="183"/>
    </row>
    <row r="19" spans="1:11" s="1" customFormat="1" x14ac:dyDescent="0.25">
      <c r="A19" s="282">
        <f t="shared" si="0"/>
        <v>16</v>
      </c>
      <c r="B19" s="43"/>
      <c r="C19" s="43"/>
      <c r="D19" s="223"/>
      <c r="E19" s="182"/>
      <c r="F19" s="46"/>
      <c r="G19" s="206"/>
      <c r="H19" s="224"/>
      <c r="I19" s="225"/>
      <c r="J19" s="199"/>
      <c r="K19" s="183"/>
    </row>
    <row r="20" spans="1:11" s="1" customFormat="1" x14ac:dyDescent="0.25">
      <c r="A20" s="282">
        <f t="shared" si="0"/>
        <v>17</v>
      </c>
      <c r="B20" s="43"/>
      <c r="C20" s="43"/>
      <c r="D20" s="223"/>
      <c r="E20" s="182"/>
      <c r="F20" s="46"/>
      <c r="G20" s="206"/>
      <c r="H20" s="224"/>
      <c r="I20" s="225"/>
      <c r="J20" s="199"/>
      <c r="K20" s="183"/>
    </row>
    <row r="21" spans="1:11" s="1" customFormat="1" x14ac:dyDescent="0.25">
      <c r="A21" s="282">
        <f t="shared" si="0"/>
        <v>18</v>
      </c>
      <c r="B21" s="43"/>
      <c r="C21" s="43"/>
      <c r="D21" s="223"/>
      <c r="E21" s="182"/>
      <c r="F21" s="46"/>
      <c r="G21" s="206"/>
      <c r="H21" s="224"/>
      <c r="I21" s="225"/>
      <c r="J21" s="199"/>
      <c r="K21" s="183"/>
    </row>
    <row r="22" spans="1:11" s="1" customFormat="1" x14ac:dyDescent="0.25">
      <c r="A22" s="282">
        <f t="shared" si="0"/>
        <v>19</v>
      </c>
      <c r="B22" s="43"/>
      <c r="C22" s="43"/>
      <c r="D22" s="223"/>
      <c r="E22" s="182"/>
      <c r="F22" s="46"/>
      <c r="G22" s="206"/>
      <c r="H22" s="224"/>
      <c r="I22" s="225"/>
      <c r="J22" s="199"/>
      <c r="K22" s="183"/>
    </row>
    <row r="23" spans="1:11" s="1" customFormat="1" x14ac:dyDescent="0.25">
      <c r="A23" s="282">
        <f t="shared" si="0"/>
        <v>20</v>
      </c>
      <c r="B23" s="43"/>
      <c r="C23" s="43"/>
      <c r="D23" s="223"/>
      <c r="E23" s="182"/>
      <c r="F23" s="46"/>
      <c r="G23" s="206"/>
      <c r="H23" s="224"/>
      <c r="I23" s="225"/>
      <c r="J23" s="199"/>
      <c r="K23" s="183"/>
    </row>
    <row r="24" spans="1:11" s="1" customFormat="1" x14ac:dyDescent="0.25">
      <c r="A24" s="282">
        <f t="shared" si="0"/>
        <v>21</v>
      </c>
      <c r="B24" s="43"/>
      <c r="C24" s="43"/>
      <c r="D24" s="223"/>
      <c r="E24" s="182"/>
      <c r="F24" s="46"/>
      <c r="G24" s="205"/>
      <c r="H24" s="224"/>
      <c r="I24" s="225"/>
      <c r="J24" s="199"/>
      <c r="K24" s="183"/>
    </row>
    <row r="25" spans="1:11" s="1" customFormat="1" x14ac:dyDescent="0.25">
      <c r="A25" s="282">
        <f t="shared" si="0"/>
        <v>22</v>
      </c>
      <c r="B25" s="43"/>
      <c r="C25" s="43"/>
      <c r="D25" s="223"/>
      <c r="E25" s="182"/>
      <c r="F25" s="46"/>
      <c r="G25" s="207"/>
      <c r="H25" s="224"/>
      <c r="I25" s="225"/>
      <c r="J25" s="199"/>
      <c r="K25" s="183"/>
    </row>
    <row r="26" spans="1:11" x14ac:dyDescent="0.25">
      <c r="A26" s="282">
        <f t="shared" si="0"/>
        <v>23</v>
      </c>
      <c r="B26" s="43"/>
      <c r="C26" s="43"/>
      <c r="D26" s="233"/>
      <c r="E26" s="182"/>
      <c r="F26" s="237"/>
      <c r="G26" s="236"/>
      <c r="H26" s="234"/>
      <c r="I26" s="235"/>
      <c r="J26" s="199"/>
      <c r="K26" s="183"/>
    </row>
    <row r="27" spans="1:11" x14ac:dyDescent="0.25">
      <c r="A27" s="282">
        <f t="shared" si="0"/>
        <v>24</v>
      </c>
      <c r="B27" s="43"/>
      <c r="C27" s="43"/>
      <c r="D27" s="238"/>
      <c r="E27" s="182"/>
      <c r="F27" s="237"/>
      <c r="G27" s="206"/>
      <c r="H27" s="239"/>
      <c r="I27" s="240"/>
      <c r="J27" s="199"/>
      <c r="K27" s="183"/>
    </row>
    <row r="28" spans="1:11" x14ac:dyDescent="0.25">
      <c r="A28" s="282">
        <f t="shared" si="0"/>
        <v>25</v>
      </c>
      <c r="B28" s="43"/>
      <c r="C28" s="43"/>
      <c r="D28" s="238"/>
      <c r="E28" s="182"/>
      <c r="F28" s="237"/>
      <c r="G28" s="206"/>
      <c r="H28" s="239"/>
      <c r="I28" s="240"/>
      <c r="J28" s="199"/>
      <c r="K28" s="183"/>
    </row>
    <row r="29" spans="1:11" x14ac:dyDescent="0.25">
      <c r="A29" s="282">
        <f t="shared" si="0"/>
        <v>26</v>
      </c>
      <c r="B29" s="43"/>
      <c r="C29" s="43"/>
      <c r="D29" s="238"/>
      <c r="E29" s="182"/>
      <c r="F29" s="237"/>
      <c r="G29" s="206"/>
      <c r="H29" s="239"/>
      <c r="I29" s="240"/>
      <c r="J29" s="199"/>
      <c r="K29" s="183"/>
    </row>
    <row r="30" spans="1:11" s="1" customFormat="1" x14ac:dyDescent="0.25">
      <c r="A30" s="282">
        <f t="shared" si="0"/>
        <v>27</v>
      </c>
      <c r="B30" s="43"/>
      <c r="C30" s="43"/>
      <c r="D30" s="238"/>
      <c r="E30" s="182"/>
      <c r="F30" s="237"/>
      <c r="G30" s="206"/>
      <c r="H30" s="239"/>
      <c r="I30" s="240"/>
      <c r="J30" s="199"/>
      <c r="K30" s="183"/>
    </row>
    <row r="31" spans="1:11" s="1" customFormat="1" x14ac:dyDescent="0.25">
      <c r="A31" s="282">
        <f t="shared" si="0"/>
        <v>28</v>
      </c>
      <c r="B31" s="43"/>
      <c r="C31" s="43"/>
      <c r="D31" s="238"/>
      <c r="E31" s="182"/>
      <c r="F31" s="237"/>
      <c r="G31" s="206"/>
      <c r="H31" s="239"/>
      <c r="I31" s="240"/>
      <c r="J31" s="199"/>
      <c r="K31" s="183"/>
    </row>
    <row r="32" spans="1:11" s="1" customFormat="1" x14ac:dyDescent="0.25">
      <c r="A32" s="282">
        <f t="shared" si="0"/>
        <v>29</v>
      </c>
      <c r="B32" s="43"/>
      <c r="C32" s="43"/>
      <c r="D32" s="238"/>
      <c r="E32" s="182"/>
      <c r="F32" s="237"/>
      <c r="G32" s="206"/>
      <c r="H32" s="239"/>
      <c r="I32" s="240"/>
      <c r="J32" s="199"/>
      <c r="K32" s="183"/>
    </row>
    <row r="33" spans="1:11" s="1" customFormat="1" x14ac:dyDescent="0.25">
      <c r="A33" s="282">
        <f t="shared" si="0"/>
        <v>30</v>
      </c>
      <c r="B33" s="43"/>
      <c r="C33" s="43"/>
      <c r="D33" s="238"/>
      <c r="E33" s="182"/>
      <c r="F33" s="237"/>
      <c r="G33" s="206"/>
      <c r="H33" s="239"/>
      <c r="I33" s="240"/>
      <c r="J33" s="199"/>
      <c r="K33" s="183"/>
    </row>
    <row r="34" spans="1:11" s="1" customFormat="1" x14ac:dyDescent="0.25">
      <c r="A34" s="282">
        <f t="shared" si="0"/>
        <v>31</v>
      </c>
      <c r="B34" s="43"/>
      <c r="C34" s="43"/>
      <c r="D34" s="238"/>
      <c r="E34" s="182"/>
      <c r="F34" s="237"/>
      <c r="G34" s="206"/>
      <c r="H34" s="239"/>
      <c r="I34" s="240"/>
      <c r="J34" s="199"/>
      <c r="K34" s="183"/>
    </row>
    <row r="35" spans="1:11" s="1" customFormat="1" ht="39.75" customHeight="1" x14ac:dyDescent="0.25">
      <c r="A35" s="282">
        <f t="shared" si="0"/>
        <v>32</v>
      </c>
      <c r="B35" s="182"/>
      <c r="C35" s="183"/>
      <c r="D35" s="164"/>
      <c r="E35" s="239"/>
      <c r="F35" s="46"/>
      <c r="G35" s="206"/>
      <c r="H35" s="241"/>
      <c r="I35" s="43"/>
      <c r="J35" s="199"/>
      <c r="K35" s="183"/>
    </row>
    <row r="36" spans="1:11" x14ac:dyDescent="0.25">
      <c r="A36" s="282">
        <f t="shared" si="0"/>
        <v>33</v>
      </c>
      <c r="B36" s="43"/>
      <c r="C36" s="43"/>
      <c r="D36" s="262"/>
      <c r="E36" s="182"/>
      <c r="F36" s="237"/>
      <c r="G36" s="236"/>
      <c r="H36" s="241"/>
      <c r="I36" s="263"/>
      <c r="J36" s="199"/>
      <c r="K36" s="183"/>
    </row>
    <row r="37" spans="1:11" x14ac:dyDescent="0.25">
      <c r="A37" s="282">
        <f t="shared" si="0"/>
        <v>34</v>
      </c>
      <c r="B37" s="184"/>
      <c r="C37" s="184"/>
      <c r="D37" s="283"/>
      <c r="E37" s="182"/>
      <c r="F37" s="237"/>
      <c r="G37" s="236"/>
      <c r="H37" s="241"/>
      <c r="I37" s="283"/>
      <c r="J37" s="199"/>
      <c r="K37" s="183"/>
    </row>
  </sheetData>
  <autoFilter ref="A3:K36"/>
  <conditionalFormatting sqref="G4 J4">
    <cfRule type="cellIs" dxfId="348" priority="600" operator="equal">
      <formula>"Plan Mejoramiento"</formula>
    </cfRule>
    <cfRule type="cellIs" dxfId="347" priority="601" operator="equal">
      <formula>"Acción Preventiva"</formula>
    </cfRule>
    <cfRule type="cellIs" dxfId="346" priority="602" operator="equal">
      <formula>"Acción Correctiva"</formula>
    </cfRule>
  </conditionalFormatting>
  <conditionalFormatting sqref="G4 J4">
    <cfRule type="cellIs" dxfId="345" priority="599" operator="equal">
      <formula>"Corrección"</formula>
    </cfRule>
  </conditionalFormatting>
  <conditionalFormatting sqref="E35 G4:H4">
    <cfRule type="cellIs" dxfId="344" priority="594" operator="equal">
      <formula>"Recomendación"</formula>
    </cfRule>
    <cfRule type="cellIs" dxfId="343" priority="595" operator="equal">
      <formula>"No Conformidad"</formula>
    </cfRule>
  </conditionalFormatting>
  <conditionalFormatting sqref="D4:E4">
    <cfRule type="cellIs" dxfId="342" priority="588" operator="equal">
      <formula>"Especial"</formula>
    </cfRule>
    <cfRule type="cellIs" dxfId="341" priority="589" operator="equal">
      <formula>"Informes"</formula>
    </cfRule>
    <cfRule type="cellIs" dxfId="340" priority="590" operator="equal">
      <formula>"Auditoria"</formula>
    </cfRule>
  </conditionalFormatting>
  <conditionalFormatting sqref="G10">
    <cfRule type="cellIs" dxfId="339" priority="523" operator="equal">
      <formula>"Plan Mejoramiento"</formula>
    </cfRule>
    <cfRule type="cellIs" dxfId="338" priority="524" operator="equal">
      <formula>"Acción Preventiva"</formula>
    </cfRule>
    <cfRule type="cellIs" dxfId="337" priority="525" operator="equal">
      <formula>"Acción Correctiva"</formula>
    </cfRule>
  </conditionalFormatting>
  <conditionalFormatting sqref="G10">
    <cfRule type="cellIs" dxfId="336" priority="522" operator="equal">
      <formula>"Corrección"</formula>
    </cfRule>
  </conditionalFormatting>
  <conditionalFormatting sqref="F26">
    <cfRule type="cellIs" dxfId="335" priority="511" operator="equal">
      <formula>"Plan Mejoramiento"</formula>
    </cfRule>
    <cfRule type="cellIs" dxfId="334" priority="512" operator="equal">
      <formula>"Acción Preventiva"</formula>
    </cfRule>
    <cfRule type="cellIs" dxfId="333" priority="513" operator="equal">
      <formula>"Acción Correctiva"</formula>
    </cfRule>
  </conditionalFormatting>
  <conditionalFormatting sqref="F26">
    <cfRule type="cellIs" dxfId="332" priority="510" operator="equal">
      <formula>"Corrección"</formula>
    </cfRule>
  </conditionalFormatting>
  <conditionalFormatting sqref="F27">
    <cfRule type="cellIs" dxfId="331" priority="499" operator="equal">
      <formula>"Plan Mejoramiento"</formula>
    </cfRule>
    <cfRule type="cellIs" dxfId="330" priority="500" operator="equal">
      <formula>"Acción Preventiva"</formula>
    </cfRule>
    <cfRule type="cellIs" dxfId="329" priority="501" operator="equal">
      <formula>"Acción Correctiva"</formula>
    </cfRule>
  </conditionalFormatting>
  <conditionalFormatting sqref="F27">
    <cfRule type="cellIs" dxfId="328" priority="498" operator="equal">
      <formula>"Corrección"</formula>
    </cfRule>
  </conditionalFormatting>
  <conditionalFormatting sqref="D35">
    <cfRule type="cellIs" dxfId="327" priority="465" operator="equal">
      <formula>"Plan Mejoramiento"</formula>
    </cfRule>
    <cfRule type="cellIs" dxfId="326" priority="466" operator="equal">
      <formula>"Acción Preventiva"</formula>
    </cfRule>
    <cfRule type="cellIs" dxfId="325" priority="467" operator="equal">
      <formula>"Acción Correctiva"</formula>
    </cfRule>
  </conditionalFormatting>
  <conditionalFormatting sqref="D35">
    <cfRule type="cellIs" dxfId="324" priority="462" operator="equal">
      <formula>"Corrección"</formula>
    </cfRule>
  </conditionalFormatting>
  <conditionalFormatting sqref="G5">
    <cfRule type="cellIs" dxfId="323" priority="414" operator="equal">
      <formula>"Corrección"</formula>
    </cfRule>
  </conditionalFormatting>
  <conditionalFormatting sqref="G5">
    <cfRule type="cellIs" dxfId="322" priority="415" operator="equal">
      <formula>"Plan Mejoramiento"</formula>
    </cfRule>
    <cfRule type="cellIs" dxfId="321" priority="416" operator="equal">
      <formula>"Acción Preventiva"</formula>
    </cfRule>
    <cfRule type="cellIs" dxfId="320" priority="417" operator="equal">
      <formula>"Acción Correctiva"</formula>
    </cfRule>
  </conditionalFormatting>
  <conditionalFormatting sqref="D5:E5">
    <cfRule type="cellIs" dxfId="319" priority="411" operator="equal">
      <formula>"Especial"</formula>
    </cfRule>
    <cfRule type="cellIs" dxfId="318" priority="412" operator="equal">
      <formula>"Informes"</formula>
    </cfRule>
    <cfRule type="cellIs" dxfId="317" priority="413" operator="equal">
      <formula>"Auditoria"</formula>
    </cfRule>
  </conditionalFormatting>
  <conditionalFormatting sqref="I5">
    <cfRule type="cellIs" dxfId="316" priority="408" operator="equal">
      <formula>"Plan Mejoramiento"</formula>
    </cfRule>
    <cfRule type="cellIs" dxfId="315" priority="409" operator="equal">
      <formula>"Acción Preventiva"</formula>
    </cfRule>
    <cfRule type="cellIs" dxfId="314" priority="410" operator="equal">
      <formula>"Acción Correctiva"</formula>
    </cfRule>
  </conditionalFormatting>
  <conditionalFormatting sqref="I5">
    <cfRule type="cellIs" dxfId="313" priority="407" operator="equal">
      <formula>"Corrección"</formula>
    </cfRule>
  </conditionalFormatting>
  <conditionalFormatting sqref="H5">
    <cfRule type="cellIs" dxfId="312" priority="405" operator="equal">
      <formula>"Recomendación"</formula>
    </cfRule>
    <cfRule type="cellIs" dxfId="311" priority="406" operator="equal">
      <formula>"No Conformidad"</formula>
    </cfRule>
  </conditionalFormatting>
  <conditionalFormatting sqref="J5">
    <cfRule type="cellIs" dxfId="310" priority="402" operator="equal">
      <formula>"Plan Mejoramiento"</formula>
    </cfRule>
    <cfRule type="cellIs" dxfId="309" priority="403" operator="equal">
      <formula>"Acción Preventiva"</formula>
    </cfRule>
    <cfRule type="cellIs" dxfId="308" priority="404" operator="equal">
      <formula>"Acción Correctiva"</formula>
    </cfRule>
  </conditionalFormatting>
  <conditionalFormatting sqref="J5">
    <cfRule type="cellIs" dxfId="307" priority="401" operator="equal">
      <formula>"Corrección"</formula>
    </cfRule>
  </conditionalFormatting>
  <conditionalFormatting sqref="G6">
    <cfRule type="cellIs" dxfId="306" priority="398" operator="equal">
      <formula>"Plan Mejoramiento"</formula>
    </cfRule>
    <cfRule type="cellIs" dxfId="305" priority="399" operator="equal">
      <formula>"Acción Preventiva"</formula>
    </cfRule>
    <cfRule type="cellIs" dxfId="304" priority="400" operator="equal">
      <formula>"Acción Correctiva"</formula>
    </cfRule>
  </conditionalFormatting>
  <conditionalFormatting sqref="G6">
    <cfRule type="cellIs" dxfId="303" priority="397" operator="equal">
      <formula>"Corrección"</formula>
    </cfRule>
  </conditionalFormatting>
  <conditionalFormatting sqref="D6:E6">
    <cfRule type="cellIs" dxfId="302" priority="394" operator="equal">
      <formula>"Especial"</formula>
    </cfRule>
    <cfRule type="cellIs" dxfId="301" priority="395" operator="equal">
      <formula>"Informes"</formula>
    </cfRule>
    <cfRule type="cellIs" dxfId="300" priority="396" operator="equal">
      <formula>"Auditoria"</formula>
    </cfRule>
  </conditionalFormatting>
  <conditionalFormatting sqref="I6">
    <cfRule type="cellIs" dxfId="299" priority="391" operator="equal">
      <formula>"Plan Mejoramiento"</formula>
    </cfRule>
    <cfRule type="cellIs" dxfId="298" priority="392" operator="equal">
      <formula>"Acción Preventiva"</formula>
    </cfRule>
    <cfRule type="cellIs" dxfId="297" priority="393" operator="equal">
      <formula>"Acción Correctiva"</formula>
    </cfRule>
  </conditionalFormatting>
  <conditionalFormatting sqref="I6">
    <cfRule type="cellIs" dxfId="296" priority="390" operator="equal">
      <formula>"Corrección"</formula>
    </cfRule>
  </conditionalFormatting>
  <conditionalFormatting sqref="H6">
    <cfRule type="cellIs" dxfId="295" priority="388" operator="equal">
      <formula>"Recomendación"</formula>
    </cfRule>
    <cfRule type="cellIs" dxfId="294" priority="389" operator="equal">
      <formula>"No Conformidad"</formula>
    </cfRule>
  </conditionalFormatting>
  <conditionalFormatting sqref="J6">
    <cfRule type="cellIs" dxfId="293" priority="385" operator="equal">
      <formula>"Plan Mejoramiento"</formula>
    </cfRule>
    <cfRule type="cellIs" dxfId="292" priority="386" operator="equal">
      <formula>"Acción Preventiva"</formula>
    </cfRule>
    <cfRule type="cellIs" dxfId="291" priority="387" operator="equal">
      <formula>"Acción Correctiva"</formula>
    </cfRule>
  </conditionalFormatting>
  <conditionalFormatting sqref="J6">
    <cfRule type="cellIs" dxfId="290" priority="384" operator="equal">
      <formula>"Corrección"</formula>
    </cfRule>
  </conditionalFormatting>
  <conditionalFormatting sqref="D7:E7">
    <cfRule type="cellIs" dxfId="289" priority="381" operator="equal">
      <formula>"Especial"</formula>
    </cfRule>
    <cfRule type="cellIs" dxfId="288" priority="382" operator="equal">
      <formula>"Informes"</formula>
    </cfRule>
    <cfRule type="cellIs" dxfId="287" priority="383" operator="equal">
      <formula>"Auditoria"</formula>
    </cfRule>
  </conditionalFormatting>
  <conditionalFormatting sqref="I7">
    <cfRule type="cellIs" dxfId="286" priority="378" operator="equal">
      <formula>"Plan Mejoramiento"</formula>
    </cfRule>
    <cfRule type="cellIs" dxfId="285" priority="379" operator="equal">
      <formula>"Acción Preventiva"</formula>
    </cfRule>
    <cfRule type="cellIs" dxfId="284" priority="380" operator="equal">
      <formula>"Acción Correctiva"</formula>
    </cfRule>
  </conditionalFormatting>
  <conditionalFormatting sqref="I7">
    <cfRule type="cellIs" dxfId="283" priority="377" operator="equal">
      <formula>"Corrección"</formula>
    </cfRule>
  </conditionalFormatting>
  <conditionalFormatting sqref="H7">
    <cfRule type="cellIs" dxfId="282" priority="375" operator="equal">
      <formula>"Recomendación"</formula>
    </cfRule>
    <cfRule type="cellIs" dxfId="281" priority="376" operator="equal">
      <formula>"No Conformidad"</formula>
    </cfRule>
  </conditionalFormatting>
  <conditionalFormatting sqref="J7">
    <cfRule type="cellIs" dxfId="280" priority="372" operator="equal">
      <formula>"Plan Mejoramiento"</formula>
    </cfRule>
    <cfRule type="cellIs" dxfId="279" priority="373" operator="equal">
      <formula>"Acción Preventiva"</formula>
    </cfRule>
    <cfRule type="cellIs" dxfId="278" priority="374" operator="equal">
      <formula>"Acción Correctiva"</formula>
    </cfRule>
  </conditionalFormatting>
  <conditionalFormatting sqref="J7">
    <cfRule type="cellIs" dxfId="277" priority="371" operator="equal">
      <formula>"Corrección"</formula>
    </cfRule>
  </conditionalFormatting>
  <conditionalFormatting sqref="G7">
    <cfRule type="cellIs" dxfId="276" priority="368" operator="equal">
      <formula>"Plan Mejoramiento"</formula>
    </cfRule>
    <cfRule type="cellIs" dxfId="275" priority="369" operator="equal">
      <formula>"Acción Preventiva"</formula>
    </cfRule>
    <cfRule type="cellIs" dxfId="274" priority="370" operator="equal">
      <formula>"Acción Correctiva"</formula>
    </cfRule>
  </conditionalFormatting>
  <conditionalFormatting sqref="G7">
    <cfRule type="cellIs" dxfId="273" priority="367" operator="equal">
      <formula>"Corrección"</formula>
    </cfRule>
  </conditionalFormatting>
  <conditionalFormatting sqref="G8">
    <cfRule type="cellIs" dxfId="272" priority="364" operator="equal">
      <formula>"Plan Mejoramiento"</formula>
    </cfRule>
    <cfRule type="cellIs" dxfId="271" priority="365" operator="equal">
      <formula>"Acción Preventiva"</formula>
    </cfRule>
    <cfRule type="cellIs" dxfId="270" priority="366" operator="equal">
      <formula>"Acción Correctiva"</formula>
    </cfRule>
  </conditionalFormatting>
  <conditionalFormatting sqref="G8">
    <cfRule type="cellIs" dxfId="269" priority="363" operator="equal">
      <formula>"Corrección"</formula>
    </cfRule>
  </conditionalFormatting>
  <conditionalFormatting sqref="D8:E8">
    <cfRule type="cellIs" dxfId="268" priority="360" operator="equal">
      <formula>"Especial"</formula>
    </cfRule>
    <cfRule type="cellIs" dxfId="267" priority="361" operator="equal">
      <formula>"Informes"</formula>
    </cfRule>
    <cfRule type="cellIs" dxfId="266" priority="362" operator="equal">
      <formula>"Auditoria"</formula>
    </cfRule>
  </conditionalFormatting>
  <conditionalFormatting sqref="I8">
    <cfRule type="cellIs" dxfId="265" priority="357" operator="equal">
      <formula>"Plan Mejoramiento"</formula>
    </cfRule>
    <cfRule type="cellIs" dxfId="264" priority="358" operator="equal">
      <formula>"Acción Preventiva"</formula>
    </cfRule>
    <cfRule type="cellIs" dxfId="263" priority="359" operator="equal">
      <formula>"Acción Correctiva"</formula>
    </cfRule>
  </conditionalFormatting>
  <conditionalFormatting sqref="I8">
    <cfRule type="cellIs" dxfId="262" priority="356" operator="equal">
      <formula>"Corrección"</formula>
    </cfRule>
  </conditionalFormatting>
  <conditionalFormatting sqref="H8">
    <cfRule type="cellIs" dxfId="261" priority="354" operator="equal">
      <formula>"Recomendación"</formula>
    </cfRule>
    <cfRule type="cellIs" dxfId="260" priority="355" operator="equal">
      <formula>"No Conformidad"</formula>
    </cfRule>
  </conditionalFormatting>
  <conditionalFormatting sqref="J8">
    <cfRule type="cellIs" dxfId="259" priority="351" operator="equal">
      <formula>"Plan Mejoramiento"</formula>
    </cfRule>
    <cfRule type="cellIs" dxfId="258" priority="352" operator="equal">
      <formula>"Acción Preventiva"</formula>
    </cfRule>
    <cfRule type="cellIs" dxfId="257" priority="353" operator="equal">
      <formula>"Acción Correctiva"</formula>
    </cfRule>
  </conditionalFormatting>
  <conditionalFormatting sqref="J8">
    <cfRule type="cellIs" dxfId="256" priority="350" operator="equal">
      <formula>"Corrección"</formula>
    </cfRule>
  </conditionalFormatting>
  <conditionalFormatting sqref="D9:E9">
    <cfRule type="cellIs" dxfId="255" priority="347" operator="equal">
      <formula>"Especial"</formula>
    </cfRule>
    <cfRule type="cellIs" dxfId="254" priority="348" operator="equal">
      <formula>"Informes"</formula>
    </cfRule>
    <cfRule type="cellIs" dxfId="253" priority="349" operator="equal">
      <formula>"Auditoria"</formula>
    </cfRule>
  </conditionalFormatting>
  <conditionalFormatting sqref="I9">
    <cfRule type="cellIs" dxfId="252" priority="344" operator="equal">
      <formula>"Plan Mejoramiento"</formula>
    </cfRule>
    <cfRule type="cellIs" dxfId="251" priority="345" operator="equal">
      <formula>"Acción Preventiva"</formula>
    </cfRule>
    <cfRule type="cellIs" dxfId="250" priority="346" operator="equal">
      <formula>"Acción Correctiva"</formula>
    </cfRule>
  </conditionalFormatting>
  <conditionalFormatting sqref="I9">
    <cfRule type="cellIs" dxfId="249" priority="343" operator="equal">
      <formula>"Corrección"</formula>
    </cfRule>
  </conditionalFormatting>
  <conditionalFormatting sqref="H9">
    <cfRule type="cellIs" dxfId="248" priority="341" operator="equal">
      <formula>"Recomendación"</formula>
    </cfRule>
    <cfRule type="cellIs" dxfId="247" priority="342" operator="equal">
      <formula>"No Conformidad"</formula>
    </cfRule>
  </conditionalFormatting>
  <conditionalFormatting sqref="J9">
    <cfRule type="cellIs" dxfId="246" priority="338" operator="equal">
      <formula>"Plan Mejoramiento"</formula>
    </cfRule>
    <cfRule type="cellIs" dxfId="245" priority="339" operator="equal">
      <formula>"Acción Preventiva"</formula>
    </cfRule>
    <cfRule type="cellIs" dxfId="244" priority="340" operator="equal">
      <formula>"Acción Correctiva"</formula>
    </cfRule>
  </conditionalFormatting>
  <conditionalFormatting sqref="J9">
    <cfRule type="cellIs" dxfId="243" priority="337" operator="equal">
      <formula>"Corrección"</formula>
    </cfRule>
  </conditionalFormatting>
  <conditionalFormatting sqref="G9">
    <cfRule type="cellIs" dxfId="242" priority="334" operator="equal">
      <formula>"Plan Mejoramiento"</formula>
    </cfRule>
    <cfRule type="cellIs" dxfId="241" priority="335" operator="equal">
      <formula>"Acción Preventiva"</formula>
    </cfRule>
    <cfRule type="cellIs" dxfId="240" priority="336" operator="equal">
      <formula>"Acción Correctiva"</formula>
    </cfRule>
  </conditionalFormatting>
  <conditionalFormatting sqref="G9">
    <cfRule type="cellIs" dxfId="239" priority="333" operator="equal">
      <formula>"Corrección"</formula>
    </cfRule>
  </conditionalFormatting>
  <conditionalFormatting sqref="D10:E10">
    <cfRule type="cellIs" dxfId="238" priority="330" operator="equal">
      <formula>"Especial"</formula>
    </cfRule>
    <cfRule type="cellIs" dxfId="237" priority="331" operator="equal">
      <formula>"Informes"</formula>
    </cfRule>
    <cfRule type="cellIs" dxfId="236" priority="332" operator="equal">
      <formula>"Auditoria"</formula>
    </cfRule>
  </conditionalFormatting>
  <conditionalFormatting sqref="I10">
    <cfRule type="cellIs" dxfId="235" priority="327" operator="equal">
      <formula>"Plan Mejoramiento"</formula>
    </cfRule>
    <cfRule type="cellIs" dxfId="234" priority="328" operator="equal">
      <formula>"Acción Preventiva"</formula>
    </cfRule>
    <cfRule type="cellIs" dxfId="233" priority="329" operator="equal">
      <formula>"Acción Correctiva"</formula>
    </cfRule>
  </conditionalFormatting>
  <conditionalFormatting sqref="I10">
    <cfRule type="cellIs" dxfId="232" priority="326" operator="equal">
      <formula>"Corrección"</formula>
    </cfRule>
  </conditionalFormatting>
  <conditionalFormatting sqref="H10">
    <cfRule type="cellIs" dxfId="231" priority="324" operator="equal">
      <formula>"Recomendación"</formula>
    </cfRule>
    <cfRule type="cellIs" dxfId="230" priority="325" operator="equal">
      <formula>"No Conformidad"</formula>
    </cfRule>
  </conditionalFormatting>
  <conditionalFormatting sqref="J10">
    <cfRule type="cellIs" dxfId="229" priority="321" operator="equal">
      <formula>"Plan Mejoramiento"</formula>
    </cfRule>
    <cfRule type="cellIs" dxfId="228" priority="322" operator="equal">
      <formula>"Acción Preventiva"</formula>
    </cfRule>
    <cfRule type="cellIs" dxfId="227" priority="323" operator="equal">
      <formula>"Acción Correctiva"</formula>
    </cfRule>
  </conditionalFormatting>
  <conditionalFormatting sqref="J10">
    <cfRule type="cellIs" dxfId="226" priority="320" operator="equal">
      <formula>"Corrección"</formula>
    </cfRule>
  </conditionalFormatting>
  <conditionalFormatting sqref="E11">
    <cfRule type="cellIs" dxfId="225" priority="313" operator="equal">
      <formula>"Especial"</formula>
    </cfRule>
    <cfRule type="cellIs" dxfId="224" priority="314" operator="equal">
      <formula>"Informes"</formula>
    </cfRule>
    <cfRule type="cellIs" dxfId="223" priority="315" operator="equal">
      <formula>"Auditoria"</formula>
    </cfRule>
  </conditionalFormatting>
  <conditionalFormatting sqref="I11">
    <cfRule type="cellIs" dxfId="222" priority="310" operator="equal">
      <formula>"Plan Mejoramiento"</formula>
    </cfRule>
    <cfRule type="cellIs" dxfId="221" priority="311" operator="equal">
      <formula>"Acción Preventiva"</formula>
    </cfRule>
    <cfRule type="cellIs" dxfId="220" priority="312" operator="equal">
      <formula>"Acción Correctiva"</formula>
    </cfRule>
  </conditionalFormatting>
  <conditionalFormatting sqref="I11">
    <cfRule type="cellIs" dxfId="219" priority="309" operator="equal">
      <formula>"Corrección"</formula>
    </cfRule>
  </conditionalFormatting>
  <conditionalFormatting sqref="H11">
    <cfRule type="cellIs" dxfId="218" priority="307" operator="equal">
      <formula>"Recomendación"</formula>
    </cfRule>
    <cfRule type="cellIs" dxfId="217" priority="308" operator="equal">
      <formula>"No Conformidad"</formula>
    </cfRule>
  </conditionalFormatting>
  <conditionalFormatting sqref="J11">
    <cfRule type="cellIs" dxfId="216" priority="304" operator="equal">
      <formula>"Plan Mejoramiento"</formula>
    </cfRule>
    <cfRule type="cellIs" dxfId="215" priority="305" operator="equal">
      <formula>"Acción Preventiva"</formula>
    </cfRule>
    <cfRule type="cellIs" dxfId="214" priority="306" operator="equal">
      <formula>"Acción Correctiva"</formula>
    </cfRule>
  </conditionalFormatting>
  <conditionalFormatting sqref="J11">
    <cfRule type="cellIs" dxfId="213" priority="303" operator="equal">
      <formula>"Corrección"</formula>
    </cfRule>
  </conditionalFormatting>
  <conditionalFormatting sqref="D11:D15">
    <cfRule type="cellIs" dxfId="212" priority="283" operator="equal">
      <formula>"Especial"</formula>
    </cfRule>
    <cfRule type="cellIs" dxfId="211" priority="284" operator="equal">
      <formula>"Informes"</formula>
    </cfRule>
    <cfRule type="cellIs" dxfId="210" priority="285" operator="equal">
      <formula>"Auditoria"</formula>
    </cfRule>
  </conditionalFormatting>
  <conditionalFormatting sqref="E12:E15">
    <cfRule type="cellIs" dxfId="209" priority="280" operator="equal">
      <formula>"Especial"</formula>
    </cfRule>
    <cfRule type="cellIs" dxfId="208" priority="281" operator="equal">
      <formula>"Informes"</formula>
    </cfRule>
    <cfRule type="cellIs" dxfId="207" priority="282" operator="equal">
      <formula>"Auditoria"</formula>
    </cfRule>
  </conditionalFormatting>
  <conditionalFormatting sqref="G11:G15">
    <cfRule type="cellIs" dxfId="206" priority="277" operator="equal">
      <formula>"Plan Mejoramiento"</formula>
    </cfRule>
    <cfRule type="cellIs" dxfId="205" priority="278" operator="equal">
      <formula>"Acción Preventiva"</formula>
    </cfRule>
    <cfRule type="cellIs" dxfId="204" priority="279" operator="equal">
      <formula>"Acción Correctiva"</formula>
    </cfRule>
  </conditionalFormatting>
  <conditionalFormatting sqref="G11:G15">
    <cfRule type="cellIs" dxfId="203" priority="276" operator="equal">
      <formula>"Corrección"</formula>
    </cfRule>
  </conditionalFormatting>
  <conditionalFormatting sqref="G11:G15">
    <cfRule type="cellIs" dxfId="202" priority="273" operator="equal">
      <formula>"Plan Mejoramiento"</formula>
    </cfRule>
    <cfRule type="cellIs" dxfId="201" priority="274" operator="equal">
      <formula>"Acción Preventiva"</formula>
    </cfRule>
    <cfRule type="cellIs" dxfId="200" priority="275" operator="equal">
      <formula>"Acción Correctiva"</formula>
    </cfRule>
  </conditionalFormatting>
  <conditionalFormatting sqref="G11:G15">
    <cfRule type="cellIs" dxfId="199" priority="272" operator="equal">
      <formula>"Corrección"</formula>
    </cfRule>
  </conditionalFormatting>
  <conditionalFormatting sqref="H12:H15">
    <cfRule type="cellIs" dxfId="198" priority="270" operator="equal">
      <formula>"Recomendación"</formula>
    </cfRule>
    <cfRule type="cellIs" dxfId="197" priority="271" operator="equal">
      <formula>"No Conformidad"</formula>
    </cfRule>
  </conditionalFormatting>
  <conditionalFormatting sqref="I12:I15">
    <cfRule type="cellIs" dxfId="196" priority="267" operator="equal">
      <formula>"Plan Mejoramiento"</formula>
    </cfRule>
    <cfRule type="cellIs" dxfId="195" priority="268" operator="equal">
      <formula>"Acción Preventiva"</formula>
    </cfRule>
    <cfRule type="cellIs" dxfId="194" priority="269" operator="equal">
      <formula>"Acción Correctiva"</formula>
    </cfRule>
  </conditionalFormatting>
  <conditionalFormatting sqref="I12:I15">
    <cfRule type="cellIs" dxfId="193" priority="266" operator="equal">
      <formula>"Corrección"</formula>
    </cfRule>
  </conditionalFormatting>
  <conditionalFormatting sqref="J12:J15 J17:J22">
    <cfRule type="cellIs" dxfId="192" priority="263" operator="equal">
      <formula>"Plan Mejoramiento"</formula>
    </cfRule>
    <cfRule type="cellIs" dxfId="191" priority="264" operator="equal">
      <formula>"Acción Preventiva"</formula>
    </cfRule>
    <cfRule type="cellIs" dxfId="190" priority="265" operator="equal">
      <formula>"Acción Correctiva"</formula>
    </cfRule>
  </conditionalFormatting>
  <conditionalFormatting sqref="J12:J15 J17:J22">
    <cfRule type="cellIs" dxfId="189" priority="262" operator="equal">
      <formula>"Corrección"</formula>
    </cfRule>
  </conditionalFormatting>
  <conditionalFormatting sqref="H16">
    <cfRule type="cellIs" dxfId="188" priority="246" operator="equal">
      <formula>"Recomendación"</formula>
    </cfRule>
    <cfRule type="cellIs" dxfId="187" priority="247" operator="equal">
      <formula>"No Conformidad"</formula>
    </cfRule>
  </conditionalFormatting>
  <conditionalFormatting sqref="I16">
    <cfRule type="cellIs" dxfId="186" priority="243" operator="equal">
      <formula>"Plan Mejoramiento"</formula>
    </cfRule>
    <cfRule type="cellIs" dxfId="185" priority="244" operator="equal">
      <formula>"Acción Preventiva"</formula>
    </cfRule>
    <cfRule type="cellIs" dxfId="184" priority="245" operator="equal">
      <formula>"Acción Correctiva"</formula>
    </cfRule>
  </conditionalFormatting>
  <conditionalFormatting sqref="I16">
    <cfRule type="cellIs" dxfId="183" priority="242" operator="equal">
      <formula>"Corrección"</formula>
    </cfRule>
  </conditionalFormatting>
  <conditionalFormatting sqref="I17:I22">
    <cfRule type="cellIs" dxfId="182" priority="197" operator="equal">
      <formula>"Plan Mejoramiento"</formula>
    </cfRule>
    <cfRule type="cellIs" dxfId="181" priority="198" operator="equal">
      <formula>"Acción Preventiva"</formula>
    </cfRule>
    <cfRule type="cellIs" dxfId="180" priority="199" operator="equal">
      <formula>"Acción Correctiva"</formula>
    </cfRule>
  </conditionalFormatting>
  <conditionalFormatting sqref="I17:I22">
    <cfRule type="cellIs" dxfId="179" priority="196" operator="equal">
      <formula>"Corrección"</formula>
    </cfRule>
  </conditionalFormatting>
  <conditionalFormatting sqref="J16">
    <cfRule type="cellIs" dxfId="178" priority="235" operator="equal">
      <formula>"Plan Mejoramiento"</formula>
    </cfRule>
    <cfRule type="cellIs" dxfId="177" priority="236" operator="equal">
      <formula>"Acción Preventiva"</formula>
    </cfRule>
    <cfRule type="cellIs" dxfId="176" priority="237" operator="equal">
      <formula>"Acción Correctiva"</formula>
    </cfRule>
  </conditionalFormatting>
  <conditionalFormatting sqref="J16">
    <cfRule type="cellIs" dxfId="175" priority="234" operator="equal">
      <formula>"Corrección"</formula>
    </cfRule>
  </conditionalFormatting>
  <conditionalFormatting sqref="H17:H22">
    <cfRule type="cellIs" dxfId="174" priority="218" operator="equal">
      <formula>"Recomendación"</formula>
    </cfRule>
    <cfRule type="cellIs" dxfId="173" priority="219" operator="equal">
      <formula>"No Conformidad"</formula>
    </cfRule>
  </conditionalFormatting>
  <conditionalFormatting sqref="D16:D22">
    <cfRule type="cellIs" dxfId="172" priority="211" operator="equal">
      <formula>"Especial"</formula>
    </cfRule>
    <cfRule type="cellIs" dxfId="171" priority="212" operator="equal">
      <formula>"Informes"</formula>
    </cfRule>
    <cfRule type="cellIs" dxfId="170" priority="213" operator="equal">
      <formula>"Auditoria"</formula>
    </cfRule>
  </conditionalFormatting>
  <conditionalFormatting sqref="E16:E22">
    <cfRule type="cellIs" dxfId="169" priority="208" operator="equal">
      <formula>"Especial"</formula>
    </cfRule>
    <cfRule type="cellIs" dxfId="168" priority="209" operator="equal">
      <formula>"Informes"</formula>
    </cfRule>
    <cfRule type="cellIs" dxfId="167" priority="210" operator="equal">
      <formula>"Auditoria"</formula>
    </cfRule>
  </conditionalFormatting>
  <conditionalFormatting sqref="G16:G22">
    <cfRule type="cellIs" dxfId="166" priority="205" operator="equal">
      <formula>"Plan Mejoramiento"</formula>
    </cfRule>
    <cfRule type="cellIs" dxfId="165" priority="206" operator="equal">
      <formula>"Acción Preventiva"</formula>
    </cfRule>
    <cfRule type="cellIs" dxfId="164" priority="207" operator="equal">
      <formula>"Acción Correctiva"</formula>
    </cfRule>
  </conditionalFormatting>
  <conditionalFormatting sqref="G16:G22">
    <cfRule type="cellIs" dxfId="163" priority="204" operator="equal">
      <formula>"Corrección"</formula>
    </cfRule>
  </conditionalFormatting>
  <conditionalFormatting sqref="G16:G22">
    <cfRule type="cellIs" dxfId="162" priority="201" operator="equal">
      <formula>"Plan Mejoramiento"</formula>
    </cfRule>
    <cfRule type="cellIs" dxfId="161" priority="202" operator="equal">
      <formula>"Acción Preventiva"</formula>
    </cfRule>
    <cfRule type="cellIs" dxfId="160" priority="203" operator="equal">
      <formula>"Acción Correctiva"</formula>
    </cfRule>
  </conditionalFormatting>
  <conditionalFormatting sqref="G16:G22">
    <cfRule type="cellIs" dxfId="159" priority="200" operator="equal">
      <formula>"Corrección"</formula>
    </cfRule>
  </conditionalFormatting>
  <conditionalFormatting sqref="J23">
    <cfRule type="cellIs" dxfId="158" priority="193" operator="equal">
      <formula>"Plan Mejoramiento"</formula>
    </cfRule>
    <cfRule type="cellIs" dxfId="157" priority="194" operator="equal">
      <formula>"Acción Preventiva"</formula>
    </cfRule>
    <cfRule type="cellIs" dxfId="156" priority="195" operator="equal">
      <formula>"Acción Correctiva"</formula>
    </cfRule>
  </conditionalFormatting>
  <conditionalFormatting sqref="J23">
    <cfRule type="cellIs" dxfId="155" priority="192" operator="equal">
      <formula>"Corrección"</formula>
    </cfRule>
  </conditionalFormatting>
  <conditionalFormatting sqref="D23">
    <cfRule type="cellIs" dxfId="154" priority="187" operator="equal">
      <formula>"Especial"</formula>
    </cfRule>
    <cfRule type="cellIs" dxfId="153" priority="188" operator="equal">
      <formula>"Informes"</formula>
    </cfRule>
    <cfRule type="cellIs" dxfId="152" priority="189" operator="equal">
      <formula>"Auditoria"</formula>
    </cfRule>
  </conditionalFormatting>
  <conditionalFormatting sqref="E23">
    <cfRule type="cellIs" dxfId="151" priority="169" operator="equal">
      <formula>"Especial"</formula>
    </cfRule>
    <cfRule type="cellIs" dxfId="150" priority="170" operator="equal">
      <formula>"Informes"</formula>
    </cfRule>
    <cfRule type="cellIs" dxfId="149" priority="171" operator="equal">
      <formula>"Auditoria"</formula>
    </cfRule>
  </conditionalFormatting>
  <conditionalFormatting sqref="J24:J25">
    <cfRule type="cellIs" dxfId="148" priority="166" operator="equal">
      <formula>"Plan Mejoramiento"</formula>
    </cfRule>
    <cfRule type="cellIs" dxfId="147" priority="167" operator="equal">
      <formula>"Acción Preventiva"</formula>
    </cfRule>
    <cfRule type="cellIs" dxfId="146" priority="168" operator="equal">
      <formula>"Acción Correctiva"</formula>
    </cfRule>
  </conditionalFormatting>
  <conditionalFormatting sqref="J24:J25">
    <cfRule type="cellIs" dxfId="145" priority="165" operator="equal">
      <formula>"Corrección"</formula>
    </cfRule>
  </conditionalFormatting>
  <conditionalFormatting sqref="D24:D25">
    <cfRule type="cellIs" dxfId="144" priority="160" operator="equal">
      <formula>"Especial"</formula>
    </cfRule>
    <cfRule type="cellIs" dxfId="143" priority="161" operator="equal">
      <formula>"Informes"</formula>
    </cfRule>
    <cfRule type="cellIs" dxfId="142" priority="162" operator="equal">
      <formula>"Auditoria"</formula>
    </cfRule>
  </conditionalFormatting>
  <conditionalFormatting sqref="E24:E25">
    <cfRule type="cellIs" dxfId="141" priority="145" operator="equal">
      <formula>"Especial"</formula>
    </cfRule>
    <cfRule type="cellIs" dxfId="140" priority="146" operator="equal">
      <formula>"Informes"</formula>
    </cfRule>
    <cfRule type="cellIs" dxfId="139" priority="147" operator="equal">
      <formula>"Auditoria"</formula>
    </cfRule>
  </conditionalFormatting>
  <conditionalFormatting sqref="G23:G25">
    <cfRule type="cellIs" dxfId="138" priority="142" operator="equal">
      <formula>"Plan Mejoramiento"</formula>
    </cfRule>
    <cfRule type="cellIs" dxfId="137" priority="143" operator="equal">
      <formula>"Acción Preventiva"</formula>
    </cfRule>
    <cfRule type="cellIs" dxfId="136" priority="144" operator="equal">
      <formula>"Acción Correctiva"</formula>
    </cfRule>
  </conditionalFormatting>
  <conditionalFormatting sqref="G23:G25">
    <cfRule type="cellIs" dxfId="135" priority="141" operator="equal">
      <formula>"Corrección"</formula>
    </cfRule>
  </conditionalFormatting>
  <conditionalFormatting sqref="H23:H25">
    <cfRule type="cellIs" dxfId="134" priority="139" operator="equal">
      <formula>"Recomendación"</formula>
    </cfRule>
    <cfRule type="cellIs" dxfId="133" priority="140" operator="equal">
      <formula>"No Conformidad"</formula>
    </cfRule>
  </conditionalFormatting>
  <conditionalFormatting sqref="I23">
    <cfRule type="cellIs" dxfId="132" priority="136" operator="equal">
      <formula>"Plan Mejoramiento"</formula>
    </cfRule>
    <cfRule type="cellIs" dxfId="131" priority="137" operator="equal">
      <formula>"Acción Preventiva"</formula>
    </cfRule>
    <cfRule type="cellIs" dxfId="130" priority="138" operator="equal">
      <formula>"Acción Correctiva"</formula>
    </cfRule>
  </conditionalFormatting>
  <conditionalFormatting sqref="I23">
    <cfRule type="cellIs" dxfId="129" priority="135" operator="equal">
      <formula>"Corrección"</formula>
    </cfRule>
  </conditionalFormatting>
  <conditionalFormatting sqref="I24:I25">
    <cfRule type="cellIs" dxfId="128" priority="132" operator="equal">
      <formula>"Plan Mejoramiento"</formula>
    </cfRule>
    <cfRule type="cellIs" dxfId="127" priority="133" operator="equal">
      <formula>"Acción Preventiva"</formula>
    </cfRule>
    <cfRule type="cellIs" dxfId="126" priority="134" operator="equal">
      <formula>"Acción Correctiva"</formula>
    </cfRule>
  </conditionalFormatting>
  <conditionalFormatting sqref="I24:I25">
    <cfRule type="cellIs" dxfId="125" priority="131" operator="equal">
      <formula>"Corrección"</formula>
    </cfRule>
  </conditionalFormatting>
  <conditionalFormatting sqref="D26">
    <cfRule type="cellIs" dxfId="124" priority="128" operator="equal">
      <formula>"Especial"</formula>
    </cfRule>
    <cfRule type="cellIs" dxfId="123" priority="129" operator="equal">
      <formula>"Informes"</formula>
    </cfRule>
    <cfRule type="cellIs" dxfId="122" priority="130" operator="equal">
      <formula>"Auditoria"</formula>
    </cfRule>
  </conditionalFormatting>
  <conditionalFormatting sqref="E26">
    <cfRule type="cellIs" dxfId="121" priority="125" operator="equal">
      <formula>"Especial"</formula>
    </cfRule>
    <cfRule type="cellIs" dxfId="120" priority="126" operator="equal">
      <formula>"Informes"</formula>
    </cfRule>
    <cfRule type="cellIs" dxfId="119" priority="127" operator="equal">
      <formula>"Auditoria"</formula>
    </cfRule>
  </conditionalFormatting>
  <conditionalFormatting sqref="H26">
    <cfRule type="cellIs" dxfId="118" priority="123" operator="equal">
      <formula>"Recomendación"</formula>
    </cfRule>
    <cfRule type="cellIs" dxfId="117" priority="124" operator="equal">
      <formula>"No Conformidad"</formula>
    </cfRule>
  </conditionalFormatting>
  <conditionalFormatting sqref="G26">
    <cfRule type="cellIs" dxfId="116" priority="120" operator="equal">
      <formula>"Plan Mejoramiento"</formula>
    </cfRule>
    <cfRule type="cellIs" dxfId="115" priority="121" operator="equal">
      <formula>"Acción Preventiva"</formula>
    </cfRule>
    <cfRule type="cellIs" dxfId="114" priority="122" operator="equal">
      <formula>"Acción Correctiva"</formula>
    </cfRule>
  </conditionalFormatting>
  <conditionalFormatting sqref="G26">
    <cfRule type="cellIs" dxfId="113" priority="119" operator="equal">
      <formula>"Corrección"</formula>
    </cfRule>
  </conditionalFormatting>
  <conditionalFormatting sqref="G26">
    <cfRule type="cellIs" dxfId="112" priority="116" operator="equal">
      <formula>"Plan Mejoramiento"</formula>
    </cfRule>
    <cfRule type="cellIs" dxfId="111" priority="117" operator="equal">
      <formula>"Acción Preventiva"</formula>
    </cfRule>
    <cfRule type="cellIs" dxfId="110" priority="118" operator="equal">
      <formula>"Acción Correctiva"</formula>
    </cfRule>
  </conditionalFormatting>
  <conditionalFormatting sqref="G26">
    <cfRule type="cellIs" dxfId="109" priority="115" operator="equal">
      <formula>"Corrección"</formula>
    </cfRule>
  </conditionalFormatting>
  <conditionalFormatting sqref="J26">
    <cfRule type="cellIs" dxfId="108" priority="112" operator="equal">
      <formula>"Plan Mejoramiento"</formula>
    </cfRule>
    <cfRule type="cellIs" dxfId="107" priority="113" operator="equal">
      <formula>"Acción Preventiva"</formula>
    </cfRule>
    <cfRule type="cellIs" dxfId="106" priority="114" operator="equal">
      <formula>"Acción Correctiva"</formula>
    </cfRule>
  </conditionalFormatting>
  <conditionalFormatting sqref="J26">
    <cfRule type="cellIs" dxfId="105" priority="111" operator="equal">
      <formula>"Corrección"</formula>
    </cfRule>
  </conditionalFormatting>
  <conditionalFormatting sqref="I26">
    <cfRule type="cellIs" dxfId="104" priority="108" operator="equal">
      <formula>"Plan Mejoramiento"</formula>
    </cfRule>
    <cfRule type="cellIs" dxfId="103" priority="109" operator="equal">
      <formula>"Acción Preventiva"</formula>
    </cfRule>
    <cfRule type="cellIs" dxfId="102" priority="110" operator="equal">
      <formula>"Acción Correctiva"</formula>
    </cfRule>
  </conditionalFormatting>
  <conditionalFormatting sqref="I26">
    <cfRule type="cellIs" dxfId="101" priority="107" operator="equal">
      <formula>"Corrección"</formula>
    </cfRule>
  </conditionalFormatting>
  <conditionalFormatting sqref="G27:G34">
    <cfRule type="cellIs" dxfId="100" priority="104" operator="equal">
      <formula>"Plan Mejoramiento"</formula>
    </cfRule>
    <cfRule type="cellIs" dxfId="99" priority="105" operator="equal">
      <formula>"Acción Preventiva"</formula>
    </cfRule>
    <cfRule type="cellIs" dxfId="98" priority="106" operator="equal">
      <formula>"Acción Correctiva"</formula>
    </cfRule>
  </conditionalFormatting>
  <conditionalFormatting sqref="G27:G34">
    <cfRule type="cellIs" dxfId="97" priority="103" operator="equal">
      <formula>"Corrección"</formula>
    </cfRule>
  </conditionalFormatting>
  <conditionalFormatting sqref="D27:D34">
    <cfRule type="cellIs" dxfId="96" priority="100" operator="equal">
      <formula>"Especial"</formula>
    </cfRule>
    <cfRule type="cellIs" dxfId="95" priority="101" operator="equal">
      <formula>"Informes"</formula>
    </cfRule>
    <cfRule type="cellIs" dxfId="94" priority="102" operator="equal">
      <formula>"Auditoria"</formula>
    </cfRule>
  </conditionalFormatting>
  <conditionalFormatting sqref="E27:E34">
    <cfRule type="cellIs" dxfId="93" priority="97" operator="equal">
      <formula>"Especial"</formula>
    </cfRule>
    <cfRule type="cellIs" dxfId="92" priority="98" operator="equal">
      <formula>"Informes"</formula>
    </cfRule>
    <cfRule type="cellIs" dxfId="91" priority="99" operator="equal">
      <formula>"Auditoria"</formula>
    </cfRule>
  </conditionalFormatting>
  <conditionalFormatting sqref="F28:F34">
    <cfRule type="cellIs" dxfId="90" priority="94" operator="equal">
      <formula>"Plan Mejoramiento"</formula>
    </cfRule>
    <cfRule type="cellIs" dxfId="89" priority="95" operator="equal">
      <formula>"Acción Preventiva"</formula>
    </cfRule>
    <cfRule type="cellIs" dxfId="88" priority="96" operator="equal">
      <formula>"Acción Correctiva"</formula>
    </cfRule>
  </conditionalFormatting>
  <conditionalFormatting sqref="F28:F34">
    <cfRule type="cellIs" dxfId="87" priority="93" operator="equal">
      <formula>"Corrección"</formula>
    </cfRule>
  </conditionalFormatting>
  <conditionalFormatting sqref="H27:H34">
    <cfRule type="cellIs" dxfId="86" priority="91" operator="equal">
      <formula>"Recomendación"</formula>
    </cfRule>
    <cfRule type="cellIs" dxfId="85" priority="92" operator="equal">
      <formula>"No Conformidad"</formula>
    </cfRule>
  </conditionalFormatting>
  <conditionalFormatting sqref="I27:I34">
    <cfRule type="cellIs" dxfId="84" priority="84" operator="equal">
      <formula>"Plan Mejoramiento"</formula>
    </cfRule>
    <cfRule type="cellIs" dxfId="83" priority="85" operator="equal">
      <formula>"Acción Preventiva"</formula>
    </cfRule>
    <cfRule type="cellIs" dxfId="82" priority="86" operator="equal">
      <formula>"Acción Correctiva"</formula>
    </cfRule>
  </conditionalFormatting>
  <conditionalFormatting sqref="I27:I34">
    <cfRule type="cellIs" dxfId="81" priority="83" operator="equal">
      <formula>"Corrección"</formula>
    </cfRule>
  </conditionalFormatting>
  <conditionalFormatting sqref="J35">
    <cfRule type="cellIs" dxfId="80" priority="80" operator="equal">
      <formula>"Plan Mejoramiento"</formula>
    </cfRule>
    <cfRule type="cellIs" dxfId="79" priority="81" operator="equal">
      <formula>"Acción Preventiva"</formula>
    </cfRule>
    <cfRule type="cellIs" dxfId="78" priority="82" operator="equal">
      <formula>"Acción Correctiva"</formula>
    </cfRule>
  </conditionalFormatting>
  <conditionalFormatting sqref="J35">
    <cfRule type="cellIs" dxfId="77" priority="79" operator="equal">
      <formula>"Corrección"</formula>
    </cfRule>
  </conditionalFormatting>
  <conditionalFormatting sqref="J27:J34">
    <cfRule type="cellIs" dxfId="76" priority="72" operator="equal">
      <formula>"Plan Mejoramiento"</formula>
    </cfRule>
    <cfRule type="cellIs" dxfId="75" priority="73" operator="equal">
      <formula>"Acción Preventiva"</formula>
    </cfRule>
    <cfRule type="cellIs" dxfId="74" priority="74" operator="equal">
      <formula>"Acción Correctiva"</formula>
    </cfRule>
  </conditionalFormatting>
  <conditionalFormatting sqref="J27:J34">
    <cfRule type="cellIs" dxfId="73" priority="71" operator="equal">
      <formula>"Corrección"</formula>
    </cfRule>
  </conditionalFormatting>
  <conditionalFormatting sqref="G35">
    <cfRule type="cellIs" dxfId="72" priority="68" operator="equal">
      <formula>"Plan Mejoramiento"</formula>
    </cfRule>
    <cfRule type="cellIs" dxfId="71" priority="69" operator="equal">
      <formula>"Acción Preventiva"</formula>
    </cfRule>
    <cfRule type="cellIs" dxfId="70" priority="70" operator="equal">
      <formula>"Acción Correctiva"</formula>
    </cfRule>
  </conditionalFormatting>
  <conditionalFormatting sqref="G35">
    <cfRule type="cellIs" dxfId="69" priority="67" operator="equal">
      <formula>"Corrección"</formula>
    </cfRule>
  </conditionalFormatting>
  <conditionalFormatting sqref="H35">
    <cfRule type="cellIs" dxfId="68" priority="65" operator="equal">
      <formula>"Recomendación"</formula>
    </cfRule>
    <cfRule type="cellIs" dxfId="67" priority="66" operator="equal">
      <formula>"No Conformidad"</formula>
    </cfRule>
  </conditionalFormatting>
  <conditionalFormatting sqref="F36">
    <cfRule type="cellIs" dxfId="66" priority="62" operator="equal">
      <formula>"Plan Mejoramiento"</formula>
    </cfRule>
    <cfRule type="cellIs" dxfId="65" priority="63" operator="equal">
      <formula>"Acción Preventiva"</formula>
    </cfRule>
    <cfRule type="cellIs" dxfId="64" priority="64" operator="equal">
      <formula>"Acción Correctiva"</formula>
    </cfRule>
  </conditionalFormatting>
  <conditionalFormatting sqref="F36">
    <cfRule type="cellIs" dxfId="63" priority="61" operator="equal">
      <formula>"Corrección"</formula>
    </cfRule>
  </conditionalFormatting>
  <conditionalFormatting sqref="D36">
    <cfRule type="cellIs" dxfId="62" priority="58" operator="equal">
      <formula>"Especial"</formula>
    </cfRule>
    <cfRule type="cellIs" dxfId="61" priority="59" operator="equal">
      <formula>"Informes"</formula>
    </cfRule>
    <cfRule type="cellIs" dxfId="60" priority="60" operator="equal">
      <formula>"Auditoria"</formula>
    </cfRule>
  </conditionalFormatting>
  <conditionalFormatting sqref="E36">
    <cfRule type="cellIs" dxfId="59" priority="55" operator="equal">
      <formula>"Especial"</formula>
    </cfRule>
    <cfRule type="cellIs" dxfId="58" priority="56" operator="equal">
      <formula>"Informes"</formula>
    </cfRule>
    <cfRule type="cellIs" dxfId="57" priority="57" operator="equal">
      <formula>"Auditoria"</formula>
    </cfRule>
  </conditionalFormatting>
  <conditionalFormatting sqref="H36">
    <cfRule type="cellIs" dxfId="56" priority="53" operator="equal">
      <formula>"Recomendación"</formula>
    </cfRule>
    <cfRule type="cellIs" dxfId="55" priority="54" operator="equal">
      <formula>"No Conformidad"</formula>
    </cfRule>
  </conditionalFormatting>
  <conditionalFormatting sqref="G36">
    <cfRule type="cellIs" dxfId="54" priority="50" operator="equal">
      <formula>"Plan Mejoramiento"</formula>
    </cfRule>
    <cfRule type="cellIs" dxfId="53" priority="51" operator="equal">
      <formula>"Acción Preventiva"</formula>
    </cfRule>
    <cfRule type="cellIs" dxfId="52" priority="52" operator="equal">
      <formula>"Acción Correctiva"</formula>
    </cfRule>
  </conditionalFormatting>
  <conditionalFormatting sqref="G36">
    <cfRule type="cellIs" dxfId="51" priority="49" operator="equal">
      <formula>"Corrección"</formula>
    </cfRule>
  </conditionalFormatting>
  <conditionalFormatting sqref="G36">
    <cfRule type="cellIs" dxfId="50" priority="46" operator="equal">
      <formula>"Plan Mejoramiento"</formula>
    </cfRule>
    <cfRule type="cellIs" dxfId="49" priority="47" operator="equal">
      <formula>"Acción Preventiva"</formula>
    </cfRule>
    <cfRule type="cellIs" dxfId="48" priority="48" operator="equal">
      <formula>"Acción Correctiva"</formula>
    </cfRule>
  </conditionalFormatting>
  <conditionalFormatting sqref="G36">
    <cfRule type="cellIs" dxfId="47" priority="45" operator="equal">
      <formula>"Corrección"</formula>
    </cfRule>
  </conditionalFormatting>
  <conditionalFormatting sqref="J36">
    <cfRule type="cellIs" dxfId="46" priority="42" operator="equal">
      <formula>"Plan Mejoramiento"</formula>
    </cfRule>
    <cfRule type="cellIs" dxfId="45" priority="43" operator="equal">
      <formula>"Acción Preventiva"</formula>
    </cfRule>
    <cfRule type="cellIs" dxfId="44" priority="44" operator="equal">
      <formula>"Acción Correctiva"</formula>
    </cfRule>
  </conditionalFormatting>
  <conditionalFormatting sqref="J36">
    <cfRule type="cellIs" dxfId="43" priority="41" operator="equal">
      <formula>"Corrección"</formula>
    </cfRule>
  </conditionalFormatting>
  <conditionalFormatting sqref="I36">
    <cfRule type="cellIs" dxfId="42" priority="38" operator="equal">
      <formula>"Plan Mejoramiento"</formula>
    </cfRule>
    <cfRule type="cellIs" dxfId="41" priority="39" operator="equal">
      <formula>"Acción Preventiva"</formula>
    </cfRule>
    <cfRule type="cellIs" dxfId="40" priority="40" operator="equal">
      <formula>"Acción Correctiva"</formula>
    </cfRule>
  </conditionalFormatting>
  <conditionalFormatting sqref="I36">
    <cfRule type="cellIs" dxfId="39" priority="37" operator="equal">
      <formula>"Corrección"</formula>
    </cfRule>
  </conditionalFormatting>
  <conditionalFormatting sqref="F37">
    <cfRule type="cellIs" dxfId="38" priority="34" operator="equal">
      <formula>"Plan Mejoramiento"</formula>
    </cfRule>
    <cfRule type="cellIs" dxfId="37" priority="35" operator="equal">
      <formula>"Acción Preventiva"</formula>
    </cfRule>
    <cfRule type="cellIs" dxfId="36" priority="36" operator="equal">
      <formula>"Acción Correctiva"</formula>
    </cfRule>
  </conditionalFormatting>
  <conditionalFormatting sqref="F37">
    <cfRule type="cellIs" dxfId="35" priority="33" operator="equal">
      <formula>"Corrección"</formula>
    </cfRule>
  </conditionalFormatting>
  <conditionalFormatting sqref="D37">
    <cfRule type="cellIs" dxfId="34" priority="30" operator="equal">
      <formula>"Especial"</formula>
    </cfRule>
    <cfRule type="cellIs" dxfId="33" priority="31" operator="equal">
      <formula>"Informes"</formula>
    </cfRule>
    <cfRule type="cellIs" dxfId="32" priority="32" operator="equal">
      <formula>"Auditoria"</formula>
    </cfRule>
  </conditionalFormatting>
  <conditionalFormatting sqref="E37">
    <cfRule type="cellIs" dxfId="31" priority="27" operator="equal">
      <formula>"Especial"</formula>
    </cfRule>
    <cfRule type="cellIs" dxfId="30" priority="28" operator="equal">
      <formula>"Informes"</formula>
    </cfRule>
    <cfRule type="cellIs" dxfId="29" priority="29" operator="equal">
      <formula>"Auditoria"</formula>
    </cfRule>
  </conditionalFormatting>
  <conditionalFormatting sqref="H37">
    <cfRule type="cellIs" dxfId="28" priority="25" operator="equal">
      <formula>"Recomendación"</formula>
    </cfRule>
    <cfRule type="cellIs" dxfId="27" priority="26" operator="equal">
      <formula>"No Conformidad"</formula>
    </cfRule>
  </conditionalFormatting>
  <conditionalFormatting sqref="J37">
    <cfRule type="cellIs" dxfId="26" priority="22" operator="equal">
      <formula>"Plan Mejoramiento"</formula>
    </cfRule>
    <cfRule type="cellIs" dxfId="25" priority="23" operator="equal">
      <formula>"Acción Preventiva"</formula>
    </cfRule>
    <cfRule type="cellIs" dxfId="24" priority="24" operator="equal">
      <formula>"Acción Correctiva"</formula>
    </cfRule>
  </conditionalFormatting>
  <conditionalFormatting sqref="J37">
    <cfRule type="cellIs" dxfId="23" priority="21" operator="equal">
      <formula>"Corrección"</formula>
    </cfRule>
  </conditionalFormatting>
  <conditionalFormatting sqref="G37">
    <cfRule type="cellIs" dxfId="22" priority="14" operator="equal">
      <formula>"Plan Mejoramiento"</formula>
    </cfRule>
    <cfRule type="cellIs" dxfId="21" priority="15" operator="equal">
      <formula>"Acción Preventiva"</formula>
    </cfRule>
    <cfRule type="cellIs" dxfId="20" priority="16" operator="equal">
      <formula>"Acción Correctiva"</formula>
    </cfRule>
  </conditionalFormatting>
  <conditionalFormatting sqref="G37">
    <cfRule type="cellIs" dxfId="19" priority="13" operator="equal">
      <formula>"Corrección"</formula>
    </cfRule>
  </conditionalFormatting>
  <conditionalFormatting sqref="G37">
    <cfRule type="cellIs" dxfId="18" priority="10" operator="equal">
      <formula>"Plan Mejoramiento"</formula>
    </cfRule>
    <cfRule type="cellIs" dxfId="17" priority="11" operator="equal">
      <formula>"Acción Preventiva"</formula>
    </cfRule>
    <cfRule type="cellIs" dxfId="16" priority="12" operator="equal">
      <formula>"Acción Correctiva"</formula>
    </cfRule>
  </conditionalFormatting>
  <conditionalFormatting sqref="G37">
    <cfRule type="cellIs" dxfId="15" priority="9" operator="equal">
      <formula>"Corrección"</formula>
    </cfRule>
  </conditionalFormatting>
  <conditionalFormatting sqref="I37">
    <cfRule type="cellIs" dxfId="14" priority="6" operator="equal">
      <formula>"Plan Mejoramiento"</formula>
    </cfRule>
    <cfRule type="cellIs" dxfId="13" priority="7" operator="equal">
      <formula>"Acción Preventiva"</formula>
    </cfRule>
    <cfRule type="cellIs" dxfId="12" priority="8" operator="equal">
      <formula>"Acción Correctiva"</formula>
    </cfRule>
  </conditionalFormatting>
  <conditionalFormatting sqref="I37">
    <cfRule type="cellIs" dxfId="11" priority="5" operator="equal">
      <formula>"Corrección"</formula>
    </cfRule>
  </conditionalFormatting>
  <conditionalFormatting sqref="I4">
    <cfRule type="cellIs" dxfId="10" priority="2" operator="equal">
      <formula>"Plan Mejoramiento"</formula>
    </cfRule>
    <cfRule type="cellIs" dxfId="9" priority="3" operator="equal">
      <formula>"Acción Preventiva"</formula>
    </cfRule>
    <cfRule type="cellIs" dxfId="8" priority="4" operator="equal">
      <formula>"Acción Correctiva"</formula>
    </cfRule>
  </conditionalFormatting>
  <conditionalFormatting sqref="I4">
    <cfRule type="cellIs" dxfId="7" priority="1" operator="equal">
      <formula>"Corrección"</formula>
    </cfRule>
  </conditionalFormatting>
  <dataValidations count="4">
    <dataValidation type="list" allowBlank="1" showInputMessage="1" showErrorMessage="1" sqref="B35 E4:E34 E36:E37">
      <formula1>Auditores</formula1>
    </dataValidation>
    <dataValidation type="list" allowBlank="1" showInputMessage="1" showErrorMessage="1" sqref="D4:D34 D36:D37">
      <formula1>"Auditoria,Especial,Informes"</formula1>
    </dataValidation>
    <dataValidation type="list" allowBlank="1" showInputMessage="1" showErrorMessage="1" sqref="C16:C34 B4:B34 I35 B36:C36">
      <formula1>Proceso</formula1>
    </dataValidation>
    <dataValidation type="list" allowBlank="1" showInputMessage="1" showErrorMessage="1" sqref="E35 H4:H37">
      <formula1>"No Conformidad,Recomendación"</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19"/>
  <sheetViews>
    <sheetView topLeftCell="B1" zoomScaleNormal="100" workbookViewId="0">
      <selection activeCell="C17" sqref="C17"/>
    </sheetView>
  </sheetViews>
  <sheetFormatPr baseColWidth="10" defaultRowHeight="14.25" x14ac:dyDescent="0.2"/>
  <cols>
    <col min="1" max="1" width="3.140625" style="323" customWidth="1"/>
    <col min="2" max="2" width="32.85546875" style="323" customWidth="1"/>
    <col min="3" max="3" width="11.28515625" style="323" customWidth="1"/>
    <col min="4" max="4" width="11.5703125" style="323" customWidth="1"/>
    <col min="5" max="5" width="13.7109375" style="323" customWidth="1"/>
    <col min="6" max="6" width="11.85546875" style="323" customWidth="1"/>
    <col min="7" max="7" width="11.28515625" style="323" customWidth="1"/>
    <col min="8" max="8" width="11.42578125" style="323" customWidth="1"/>
    <col min="9" max="9" width="9.85546875" style="323" customWidth="1"/>
    <col min="10" max="10" width="10.28515625" style="323" customWidth="1"/>
    <col min="11" max="11" width="14.28515625" style="323" customWidth="1"/>
    <col min="12" max="13" width="11.42578125" style="323"/>
    <col min="14" max="14" width="3.28515625" style="323" customWidth="1"/>
    <col min="15" max="15" width="15.140625" style="323" customWidth="1"/>
    <col min="16" max="16384" width="11.42578125" style="323"/>
  </cols>
  <sheetData>
    <row r="1" spans="1:15" ht="21" thickBot="1" x14ac:dyDescent="0.35">
      <c r="B1" s="748" t="s">
        <v>911</v>
      </c>
      <c r="C1" s="749"/>
      <c r="D1" s="749"/>
      <c r="E1" s="749"/>
      <c r="F1" s="749"/>
      <c r="G1" s="749"/>
      <c r="H1" s="749"/>
      <c r="I1" s="749"/>
      <c r="J1" s="749"/>
      <c r="K1" s="749" t="s">
        <v>647</v>
      </c>
      <c r="L1" s="749"/>
      <c r="M1" s="750"/>
    </row>
    <row r="2" spans="1:15" ht="28.5" customHeight="1" x14ac:dyDescent="0.2">
      <c r="B2" s="755" t="s">
        <v>0</v>
      </c>
      <c r="C2" s="753" t="s">
        <v>626</v>
      </c>
      <c r="D2" s="744" t="s">
        <v>95</v>
      </c>
      <c r="E2" s="757"/>
      <c r="F2" s="757"/>
      <c r="G2" s="746" t="s">
        <v>625</v>
      </c>
      <c r="H2" s="747"/>
      <c r="I2" s="744" t="s">
        <v>132</v>
      </c>
      <c r="J2" s="745"/>
      <c r="K2" s="751" t="s">
        <v>624</v>
      </c>
      <c r="L2" s="751"/>
      <c r="M2" s="752"/>
    </row>
    <row r="3" spans="1:15" ht="27" customHeight="1" thickBot="1" x14ac:dyDescent="0.25">
      <c r="B3" s="756"/>
      <c r="C3" s="754"/>
      <c r="D3" s="307" t="s">
        <v>78</v>
      </c>
      <c r="E3" s="308" t="s">
        <v>53</v>
      </c>
      <c r="F3" s="311" t="s">
        <v>371</v>
      </c>
      <c r="G3" s="312" t="s">
        <v>79</v>
      </c>
      <c r="H3" s="313" t="s">
        <v>80</v>
      </c>
      <c r="I3" s="310" t="s">
        <v>133</v>
      </c>
      <c r="J3" s="304" t="s">
        <v>134</v>
      </c>
      <c r="K3" s="322" t="s">
        <v>538</v>
      </c>
      <c r="L3" s="111" t="s">
        <v>51</v>
      </c>
      <c r="M3" s="302" t="s">
        <v>55</v>
      </c>
      <c r="O3" s="331" t="s">
        <v>646</v>
      </c>
    </row>
    <row r="4" spans="1:15" ht="15" thickTop="1" x14ac:dyDescent="0.2">
      <c r="A4" s="323">
        <v>1</v>
      </c>
      <c r="B4" s="324" t="s">
        <v>49</v>
      </c>
      <c r="C4" s="386">
        <f>'PM 2017'!J303</f>
        <v>34</v>
      </c>
      <c r="D4" s="387">
        <f>'PM 2017'!N303</f>
        <v>34</v>
      </c>
      <c r="E4" s="388">
        <f>'PM 2017'!O303</f>
        <v>0</v>
      </c>
      <c r="F4" s="389">
        <f>'PM 2017'!P303</f>
        <v>0</v>
      </c>
      <c r="G4" s="390">
        <f>'PM 2017'!Q303</f>
        <v>34</v>
      </c>
      <c r="H4" s="391">
        <f>'PM 2017'!R303</f>
        <v>0</v>
      </c>
      <c r="I4" s="390">
        <f>'PM 2017'!L303</f>
        <v>6</v>
      </c>
      <c r="J4" s="392">
        <f>'PM 2017'!M303</f>
        <v>28</v>
      </c>
      <c r="K4" s="393">
        <f>'PM 2017'!J323</f>
        <v>35</v>
      </c>
      <c r="L4" s="394">
        <f>'PM 2017'!K323</f>
        <v>5</v>
      </c>
      <c r="M4" s="395">
        <f>'PM 2017'!L323</f>
        <v>30</v>
      </c>
      <c r="O4" s="333">
        <f>M4/K4</f>
        <v>0.8571428571428571</v>
      </c>
    </row>
    <row r="5" spans="1:15" ht="15.75" customHeight="1" x14ac:dyDescent="0.2">
      <c r="A5" s="323">
        <v>2</v>
      </c>
      <c r="B5" s="325" t="s">
        <v>10</v>
      </c>
      <c r="C5" s="386">
        <f>'PM 2017'!J304</f>
        <v>11</v>
      </c>
      <c r="D5" s="396">
        <f>'PM 2017'!N304</f>
        <v>11</v>
      </c>
      <c r="E5" s="394">
        <f>'PM 2017'!O304</f>
        <v>0</v>
      </c>
      <c r="F5" s="397">
        <f>'PM 2017'!P304</f>
        <v>0</v>
      </c>
      <c r="G5" s="390">
        <f>'PM 2017'!Q304</f>
        <v>11</v>
      </c>
      <c r="H5" s="391">
        <f>'PM 2017'!R304</f>
        <v>0</v>
      </c>
      <c r="I5" s="396">
        <f>'PM 2017'!L304</f>
        <v>2</v>
      </c>
      <c r="J5" s="397">
        <f>'PM 2017'!M304</f>
        <v>9</v>
      </c>
      <c r="K5" s="394">
        <f>'PM 2017'!J324</f>
        <v>11</v>
      </c>
      <c r="L5" s="394">
        <f>'PM 2017'!K324</f>
        <v>3</v>
      </c>
      <c r="M5" s="395">
        <f>'PM 2017'!L324</f>
        <v>8</v>
      </c>
      <c r="O5" s="330">
        <f t="shared" ref="O5:O16" si="0">M5/K5</f>
        <v>0.72727272727272729</v>
      </c>
    </row>
    <row r="6" spans="1:15" ht="29.25" customHeight="1" x14ac:dyDescent="0.2">
      <c r="A6" s="323">
        <v>3</v>
      </c>
      <c r="B6" s="325" t="s">
        <v>337</v>
      </c>
      <c r="C6" s="386">
        <f>'PM 2017'!J305</f>
        <v>18</v>
      </c>
      <c r="D6" s="396">
        <f>'PM 2017'!N305</f>
        <v>18</v>
      </c>
      <c r="E6" s="394">
        <f>'PM 2017'!O305</f>
        <v>0</v>
      </c>
      <c r="F6" s="397">
        <f>'PM 2017'!P305</f>
        <v>0</v>
      </c>
      <c r="G6" s="390">
        <f>'PM 2017'!Q305</f>
        <v>18</v>
      </c>
      <c r="H6" s="391">
        <f>'PM 2017'!R305</f>
        <v>0</v>
      </c>
      <c r="I6" s="396">
        <f>'PM 2017'!L305</f>
        <v>8</v>
      </c>
      <c r="J6" s="397">
        <f>'PM 2017'!M305</f>
        <v>10</v>
      </c>
      <c r="K6" s="394">
        <f>'PM 2017'!J325</f>
        <v>18</v>
      </c>
      <c r="L6" s="394">
        <f>'PM 2017'!K325</f>
        <v>8</v>
      </c>
      <c r="M6" s="395">
        <f>'PM 2017'!L325</f>
        <v>10</v>
      </c>
      <c r="O6" s="330">
        <f t="shared" si="0"/>
        <v>0.55555555555555558</v>
      </c>
    </row>
    <row r="7" spans="1:15" ht="16.5" customHeight="1" x14ac:dyDescent="0.2">
      <c r="A7" s="323">
        <v>4</v>
      </c>
      <c r="B7" s="326" t="s">
        <v>2</v>
      </c>
      <c r="C7" s="386">
        <f>'PM 2017'!J306</f>
        <v>6</v>
      </c>
      <c r="D7" s="396">
        <f>'PM 2017'!N306</f>
        <v>6</v>
      </c>
      <c r="E7" s="394">
        <f>'PM 2017'!O306</f>
        <v>0</v>
      </c>
      <c r="F7" s="397">
        <f>'PM 2017'!P306</f>
        <v>0</v>
      </c>
      <c r="G7" s="390">
        <f>'PM 2017'!Q306</f>
        <v>6</v>
      </c>
      <c r="H7" s="391">
        <f>'PM 2017'!R306</f>
        <v>0</v>
      </c>
      <c r="I7" s="396">
        <f>'PM 2017'!L306</f>
        <v>1</v>
      </c>
      <c r="J7" s="397">
        <f>'PM 2017'!M306</f>
        <v>5</v>
      </c>
      <c r="K7" s="394">
        <f>'PM 2017'!J326</f>
        <v>6</v>
      </c>
      <c r="L7" s="394">
        <f>'PM 2017'!K326</f>
        <v>1</v>
      </c>
      <c r="M7" s="395">
        <f>'PM 2017'!L326</f>
        <v>5</v>
      </c>
      <c r="O7" s="330">
        <f t="shared" si="0"/>
        <v>0.83333333333333337</v>
      </c>
    </row>
    <row r="8" spans="1:15" ht="16.5" customHeight="1" x14ac:dyDescent="0.2">
      <c r="A8" s="323">
        <v>5</v>
      </c>
      <c r="B8" s="326" t="s">
        <v>25</v>
      </c>
      <c r="C8" s="386">
        <f>'PM 2017'!J307</f>
        <v>8</v>
      </c>
      <c r="D8" s="396">
        <f>'PM 2017'!N307</f>
        <v>8</v>
      </c>
      <c r="E8" s="394">
        <f>'PM 2017'!O307</f>
        <v>0</v>
      </c>
      <c r="F8" s="397">
        <f>'PM 2017'!P307</f>
        <v>0</v>
      </c>
      <c r="G8" s="390">
        <f>'PM 2017'!Q307</f>
        <v>8</v>
      </c>
      <c r="H8" s="391">
        <f>'PM 2017'!R307</f>
        <v>0</v>
      </c>
      <c r="I8" s="396">
        <f>'PM 2017'!L307</f>
        <v>6</v>
      </c>
      <c r="J8" s="397">
        <f>'PM 2017'!M307</f>
        <v>2</v>
      </c>
      <c r="K8" s="394">
        <f>'PM 2017'!J327</f>
        <v>8</v>
      </c>
      <c r="L8" s="394">
        <f>'PM 2017'!K327</f>
        <v>6</v>
      </c>
      <c r="M8" s="395">
        <f>'PM 2017'!L327</f>
        <v>2</v>
      </c>
      <c r="O8" s="330">
        <f t="shared" si="0"/>
        <v>0.25</v>
      </c>
    </row>
    <row r="9" spans="1:15" x14ac:dyDescent="0.2">
      <c r="A9" s="323">
        <v>6</v>
      </c>
      <c r="B9" s="326" t="s">
        <v>37</v>
      </c>
      <c r="C9" s="386">
        <f>'PM 2017'!J308</f>
        <v>4</v>
      </c>
      <c r="D9" s="396">
        <f>'PM 2017'!N308</f>
        <v>4</v>
      </c>
      <c r="E9" s="394">
        <f>'PM 2017'!O308</f>
        <v>0</v>
      </c>
      <c r="F9" s="397">
        <f>'PM 2017'!P308</f>
        <v>0</v>
      </c>
      <c r="G9" s="390">
        <f>'PM 2017'!Q308</f>
        <v>4</v>
      </c>
      <c r="H9" s="391">
        <f>'PM 2017'!R308</f>
        <v>0</v>
      </c>
      <c r="I9" s="396">
        <f>'PM 2017'!L308</f>
        <v>4</v>
      </c>
      <c r="J9" s="397">
        <f>'PM 2017'!M308</f>
        <v>0</v>
      </c>
      <c r="K9" s="394">
        <f>'PM 2017'!J328</f>
        <v>4</v>
      </c>
      <c r="L9" s="394">
        <f>'PM 2017'!K328</f>
        <v>3</v>
      </c>
      <c r="M9" s="395">
        <f>'PM 2017'!L328</f>
        <v>1</v>
      </c>
      <c r="O9" s="330">
        <f t="shared" si="0"/>
        <v>0.25</v>
      </c>
    </row>
    <row r="10" spans="1:15" x14ac:dyDescent="0.2">
      <c r="A10" s="323">
        <v>7</v>
      </c>
      <c r="B10" s="326" t="s">
        <v>36</v>
      </c>
      <c r="C10" s="386">
        <f>'PM 2017'!J309</f>
        <v>7</v>
      </c>
      <c r="D10" s="396">
        <f>'PM 2017'!N309</f>
        <v>7</v>
      </c>
      <c r="E10" s="394">
        <f>'PM 2017'!O309</f>
        <v>0</v>
      </c>
      <c r="F10" s="397">
        <f>'PM 2017'!P309</f>
        <v>0</v>
      </c>
      <c r="G10" s="390">
        <f>'PM 2017'!Q309</f>
        <v>7</v>
      </c>
      <c r="H10" s="391">
        <f>'PM 2017'!R309</f>
        <v>0</v>
      </c>
      <c r="I10" s="396">
        <f>'PM 2017'!L309</f>
        <v>7</v>
      </c>
      <c r="J10" s="397">
        <f>'PM 2017'!M309</f>
        <v>0</v>
      </c>
      <c r="K10" s="394">
        <f>'PM 2017'!J329</f>
        <v>7</v>
      </c>
      <c r="L10" s="394">
        <f>'PM 2017'!K329</f>
        <v>7</v>
      </c>
      <c r="M10" s="395">
        <f>'PM 2017'!L329</f>
        <v>0</v>
      </c>
      <c r="O10" s="330">
        <f t="shared" si="0"/>
        <v>0</v>
      </c>
    </row>
    <row r="11" spans="1:15" x14ac:dyDescent="0.2">
      <c r="A11" s="323">
        <v>8</v>
      </c>
      <c r="B11" s="326" t="s">
        <v>267</v>
      </c>
      <c r="C11" s="386">
        <f>'PM 2017'!J310</f>
        <v>8</v>
      </c>
      <c r="D11" s="396">
        <f>'PM 2017'!N310</f>
        <v>8</v>
      </c>
      <c r="E11" s="394">
        <f>'PM 2017'!O310</f>
        <v>0</v>
      </c>
      <c r="F11" s="397">
        <f>'PM 2017'!P310</f>
        <v>0</v>
      </c>
      <c r="G11" s="390">
        <f>'PM 2017'!Q310</f>
        <v>8</v>
      </c>
      <c r="H11" s="391">
        <f>'PM 2017'!R310</f>
        <v>0</v>
      </c>
      <c r="I11" s="396">
        <f>'PM 2017'!L310</f>
        <v>8</v>
      </c>
      <c r="J11" s="397">
        <f>'PM 2017'!M310</f>
        <v>0</v>
      </c>
      <c r="K11" s="394">
        <f>'PM 2017'!J330</f>
        <v>8</v>
      </c>
      <c r="L11" s="394">
        <f>'PM 2017'!K330</f>
        <v>5</v>
      </c>
      <c r="M11" s="395">
        <f>'PM 2017'!L330</f>
        <v>3</v>
      </c>
      <c r="O11" s="330">
        <f t="shared" si="0"/>
        <v>0.375</v>
      </c>
    </row>
    <row r="12" spans="1:15" ht="28.5" x14ac:dyDescent="0.2">
      <c r="A12" s="323">
        <v>9</v>
      </c>
      <c r="B12" s="327" t="s">
        <v>62</v>
      </c>
      <c r="C12" s="386">
        <f>'PM 2017'!J311</f>
        <v>30</v>
      </c>
      <c r="D12" s="396">
        <f>'PM 2017'!N311</f>
        <v>30</v>
      </c>
      <c r="E12" s="394">
        <f>'PM 2017'!O311</f>
        <v>0</v>
      </c>
      <c r="F12" s="397">
        <f>'PM 2017'!P311</f>
        <v>0</v>
      </c>
      <c r="G12" s="390">
        <f>'PM 2017'!Q311</f>
        <v>22</v>
      </c>
      <c r="H12" s="391">
        <f>'PM 2017'!R311</f>
        <v>8</v>
      </c>
      <c r="I12" s="396">
        <f>'PM 2017'!L311</f>
        <v>30</v>
      </c>
      <c r="J12" s="397">
        <f>'PM 2017'!M311</f>
        <v>0</v>
      </c>
      <c r="K12" s="394">
        <f>'PM 2017'!J331</f>
        <v>22</v>
      </c>
      <c r="L12" s="394">
        <f>'PM 2017'!K331</f>
        <v>25</v>
      </c>
      <c r="M12" s="395">
        <f>'PM 2017'!L331</f>
        <v>0</v>
      </c>
      <c r="O12" s="330">
        <f t="shared" si="0"/>
        <v>0</v>
      </c>
    </row>
    <row r="13" spans="1:15" x14ac:dyDescent="0.2">
      <c r="A13" s="323">
        <v>10</v>
      </c>
      <c r="B13" s="327" t="s">
        <v>63</v>
      </c>
      <c r="C13" s="386">
        <f>'PM 2017'!J312</f>
        <v>10</v>
      </c>
      <c r="D13" s="396">
        <f>'PM 2017'!N312</f>
        <v>10</v>
      </c>
      <c r="E13" s="394">
        <f>'PM 2017'!O312</f>
        <v>0</v>
      </c>
      <c r="F13" s="397">
        <f>'PM 2017'!P312</f>
        <v>0</v>
      </c>
      <c r="G13" s="390">
        <f>'PM 2017'!Q312</f>
        <v>9</v>
      </c>
      <c r="H13" s="391">
        <f>'PM 2017'!R312</f>
        <v>1</v>
      </c>
      <c r="I13" s="396">
        <f>'PM 2017'!L312</f>
        <v>10</v>
      </c>
      <c r="J13" s="397">
        <f>'PM 2017'!M312</f>
        <v>0</v>
      </c>
      <c r="K13" s="394">
        <f>'PM 2017'!J332</f>
        <v>9</v>
      </c>
      <c r="L13" s="394">
        <f>'PM 2017'!K332</f>
        <v>9</v>
      </c>
      <c r="M13" s="395">
        <f>'PM 2017'!L332</f>
        <v>0</v>
      </c>
      <c r="O13" s="330">
        <f t="shared" si="0"/>
        <v>0</v>
      </c>
    </row>
    <row r="14" spans="1:15" x14ac:dyDescent="0.2">
      <c r="A14" s="323">
        <v>11</v>
      </c>
      <c r="B14" s="327" t="s">
        <v>335</v>
      </c>
      <c r="C14" s="386">
        <f>'PM 2017'!J313</f>
        <v>20</v>
      </c>
      <c r="D14" s="396">
        <f>'PM 2017'!N313</f>
        <v>20</v>
      </c>
      <c r="E14" s="394">
        <f>'PM 2017'!O313</f>
        <v>0</v>
      </c>
      <c r="F14" s="397">
        <f>'PM 2017'!P313</f>
        <v>0</v>
      </c>
      <c r="G14" s="390">
        <f>'PM 2017'!Q313</f>
        <v>19</v>
      </c>
      <c r="H14" s="391">
        <f>'PM 2017'!R313</f>
        <v>1</v>
      </c>
      <c r="I14" s="396">
        <f>'PM 2017'!L313</f>
        <v>8</v>
      </c>
      <c r="J14" s="397">
        <f>'PM 2017'!M313</f>
        <v>12</v>
      </c>
      <c r="K14" s="394">
        <f>'PM 2017'!J333</f>
        <v>19</v>
      </c>
      <c r="L14" s="394">
        <f>'PM 2017'!K333</f>
        <v>7</v>
      </c>
      <c r="M14" s="395">
        <f>'PM 2017'!L333</f>
        <v>13</v>
      </c>
      <c r="O14" s="330">
        <f t="shared" si="0"/>
        <v>0.68421052631578949</v>
      </c>
    </row>
    <row r="15" spans="1:15" x14ac:dyDescent="0.2">
      <c r="A15" s="323">
        <v>12</v>
      </c>
      <c r="B15" s="327" t="s">
        <v>61</v>
      </c>
      <c r="C15" s="386">
        <f>'PM 2017'!J314</f>
        <v>9</v>
      </c>
      <c r="D15" s="396">
        <f>'PM 2017'!N314</f>
        <v>9</v>
      </c>
      <c r="E15" s="394">
        <f>'PM 2017'!O314</f>
        <v>0</v>
      </c>
      <c r="F15" s="397">
        <f>'PM 2017'!P314</f>
        <v>0</v>
      </c>
      <c r="G15" s="390">
        <f>'PM 2017'!Q314</f>
        <v>9</v>
      </c>
      <c r="H15" s="391">
        <f>'PM 2017'!R314</f>
        <v>0</v>
      </c>
      <c r="I15" s="396">
        <f>'PM 2017'!L314</f>
        <v>7</v>
      </c>
      <c r="J15" s="397">
        <f>'PM 2017'!M314</f>
        <v>2</v>
      </c>
      <c r="K15" s="394">
        <f>'PM 2017'!J334</f>
        <v>9</v>
      </c>
      <c r="L15" s="394">
        <f>'PM 2017'!K334</f>
        <v>7</v>
      </c>
      <c r="M15" s="395">
        <f>'PM 2017'!L334</f>
        <v>2</v>
      </c>
      <c r="O15" s="330">
        <f t="shared" si="0"/>
        <v>0.22222222222222221</v>
      </c>
    </row>
    <row r="16" spans="1:15" ht="15" thickBot="1" x14ac:dyDescent="0.25">
      <c r="A16" s="323">
        <v>13</v>
      </c>
      <c r="B16" s="328" t="s">
        <v>65</v>
      </c>
      <c r="C16" s="398">
        <f>'PM 2017'!J315</f>
        <v>8</v>
      </c>
      <c r="D16" s="399">
        <f>'PM 2017'!N315</f>
        <v>8</v>
      </c>
      <c r="E16" s="400">
        <f>'PM 2017'!O315</f>
        <v>0</v>
      </c>
      <c r="F16" s="335">
        <f>'PM 2017'!P315</f>
        <v>0</v>
      </c>
      <c r="G16" s="399">
        <f>'PM 2017'!Q315</f>
        <v>8</v>
      </c>
      <c r="H16" s="401">
        <f>'PM 2017'!R315</f>
        <v>0</v>
      </c>
      <c r="I16" s="399">
        <f>'PM 2017'!L315</f>
        <v>4</v>
      </c>
      <c r="J16" s="335">
        <f>'PM 2017'!M315</f>
        <v>4</v>
      </c>
      <c r="K16" s="400">
        <f>'PM 2017'!J335</f>
        <v>8</v>
      </c>
      <c r="L16" s="400">
        <f>'PM 2017'!K335</f>
        <v>4</v>
      </c>
      <c r="M16" s="402">
        <f>'PM 2017'!L335</f>
        <v>4</v>
      </c>
      <c r="O16" s="334">
        <f t="shared" si="0"/>
        <v>0.5</v>
      </c>
    </row>
    <row r="17" spans="2:15" ht="18.75" thickBot="1" x14ac:dyDescent="0.3">
      <c r="B17" s="303" t="s">
        <v>86</v>
      </c>
      <c r="C17" s="354">
        <f>SUM(C4:C16)</f>
        <v>173</v>
      </c>
      <c r="D17" s="355">
        <f>SUM(D4:D16)</f>
        <v>173</v>
      </c>
      <c r="E17" s="355">
        <f t="shared" ref="E17:F17" si="1">SUM(E4:E16)</f>
        <v>0</v>
      </c>
      <c r="F17" s="356">
        <f t="shared" si="1"/>
        <v>0</v>
      </c>
      <c r="G17" s="314">
        <f t="shared" ref="G17:M17" si="2">SUM(G4:G16)</f>
        <v>163</v>
      </c>
      <c r="H17" s="315">
        <f>SUM(H4:H16)</f>
        <v>10</v>
      </c>
      <c r="I17" s="314">
        <f t="shared" si="2"/>
        <v>101</v>
      </c>
      <c r="J17" s="316">
        <f t="shared" si="2"/>
        <v>72</v>
      </c>
      <c r="K17" s="320">
        <f t="shared" si="2"/>
        <v>164</v>
      </c>
      <c r="L17" s="309">
        <f t="shared" si="2"/>
        <v>90</v>
      </c>
      <c r="M17" s="321">
        <f t="shared" si="2"/>
        <v>78</v>
      </c>
      <c r="O17" s="332">
        <f>M17/K17</f>
        <v>0.47560975609756095</v>
      </c>
    </row>
    <row r="18" spans="2:15" ht="5.25" customHeight="1" thickBot="1" x14ac:dyDescent="0.25"/>
    <row r="19" spans="2:15" ht="16.5" thickBot="1" x14ac:dyDescent="0.3">
      <c r="B19" s="135" t="s">
        <v>623</v>
      </c>
      <c r="C19" s="329">
        <f>'PM 2017'!N1</f>
        <v>42781</v>
      </c>
    </row>
  </sheetData>
  <mergeCells count="8">
    <mergeCell ref="I2:J2"/>
    <mergeCell ref="G2:H2"/>
    <mergeCell ref="B1:J1"/>
    <mergeCell ref="K1:M1"/>
    <mergeCell ref="K2:M2"/>
    <mergeCell ref="C2:C3"/>
    <mergeCell ref="B2:B3"/>
    <mergeCell ref="D2:F2"/>
  </mergeCells>
  <conditionalFormatting sqref="F3">
    <cfRule type="cellIs" dxfId="6" priority="5" operator="equal">
      <formula>"Oportunidad de mejora"</formula>
    </cfRule>
    <cfRule type="cellIs" dxfId="5" priority="6" operator="equal">
      <formula>"Recomendación"</formula>
    </cfRule>
    <cfRule type="cellIs" dxfId="4" priority="7" operator="equal">
      <formula>"No Conformidad"</formula>
    </cfRule>
  </conditionalFormatting>
  <conditionalFormatting sqref="L3:M3">
    <cfRule type="cellIs" dxfId="3" priority="3" operator="equal">
      <formula>"Cerrada"</formula>
    </cfRule>
    <cfRule type="cellIs" dxfId="2" priority="4" operator="equal">
      <formula>"Abierta"</formula>
    </cfRule>
  </conditionalFormatting>
  <conditionalFormatting sqref="I3:J3">
    <cfRule type="cellIs" dxfId="1" priority="1" operator="equal">
      <formula>"Hallazgo Cerrado"</formula>
    </cfRule>
    <cfRule type="cellIs" dxfId="0" priority="2" operator="equal">
      <formula>"Hallazgo Abierto"</formula>
    </cfRule>
  </conditionalFormatting>
  <pageMargins left="0.51181102362204722" right="0.43307086614173229" top="1.1023622047244095" bottom="0.74803149606299213" header="0.31496062992125984" footer="0.31496062992125984"/>
  <pageSetup scale="78" orientation="landscape" r:id="rId1"/>
  <headerFooter>
    <oddHeader>&amp;L&amp;G&amp;C&amp;"Arial Black,Normal"&amp;12Seguimiento consolidado Plan de Mejoramiento por procesos.
Caja de la Vivienda Popular
Control Interno</oddHeader>
    <oddFooter>&amp;L&amp;A&amp;R&amp;F</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Parametros</vt:lpstr>
      <vt:lpstr>PM FORMATO V1 Mar 2014</vt:lpstr>
      <vt:lpstr>recibo PM</vt:lpstr>
      <vt:lpstr>ControlCambiosHerra</vt:lpstr>
      <vt:lpstr>PM 2017</vt:lpstr>
      <vt:lpstr>coherencia</vt:lpstr>
      <vt:lpstr>HyRsinplan</vt:lpstr>
      <vt:lpstr>Resumen Vig2017</vt:lpstr>
      <vt:lpstr>Administración_de_la_Información</vt:lpstr>
      <vt:lpstr>'PM 2017'!Área_de_impresión</vt:lpstr>
      <vt:lpstr>'Resumen Vig2017'!Área_de_impresión</vt:lpstr>
      <vt:lpstr>Auditores</vt:lpstr>
      <vt:lpstr>Proceso</vt:lpstr>
      <vt:lpstr>'PM 2017'!Títulos_a_imprimir</vt:lpstr>
      <vt:lpstr>'PM FORMATO V1 Mar 2014'!Títulos_a_imprimir</vt:lpstr>
      <vt:lpstr>'recibo PM'!Títulos_a_imprimir</vt:lpstr>
    </vt:vector>
  </TitlesOfParts>
  <Company>Caja de la Vivienda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Mejoramiento</dc:title>
  <dc:creator>CVP Control Interno</dc:creator>
  <cp:keywords>Seguimiento Plan de Mejoramiento</cp:keywords>
  <cp:lastModifiedBy>Héctor Andrés Mejía Mejía</cp:lastModifiedBy>
  <cp:lastPrinted>2017-04-21T15:22:54Z</cp:lastPrinted>
  <dcterms:created xsi:type="dcterms:W3CDTF">2012-12-10T14:26:22Z</dcterms:created>
  <dcterms:modified xsi:type="dcterms:W3CDTF">2017-05-09T13:13:12Z</dcterms:modified>
</cp:coreProperties>
</file>