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gomezm\Documents\AÑO 2023\PLURIANUAL\"/>
    </mc:Choice>
  </mc:AlternateContent>
  <bookViews>
    <workbookView xWindow="0" yWindow="0" windowWidth="20400" windowHeight="6720" tabRatio="553" firstSheet="2" activeTab="2"/>
  </bookViews>
  <sheets>
    <sheet name="DIFERENCIAS" sheetId="52" state="hidden" r:id="rId1"/>
    <sheet name="SOPORTE REPROGRAMACIÓN $ 2017" sheetId="53" state="hidden" r:id="rId2"/>
    <sheet name="MAR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'MAR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17" i="93" l="1"/>
  <c r="AB97" i="93"/>
  <c r="AA97" i="93"/>
  <c r="AB96" i="93"/>
  <c r="AA96" i="93"/>
  <c r="AA95" i="93"/>
  <c r="AB94" i="93"/>
  <c r="AB93" i="93"/>
  <c r="AA93" i="93"/>
  <c r="AB79" i="93"/>
  <c r="AA79" i="93"/>
  <c r="AA78" i="93"/>
  <c r="AB63" i="93"/>
  <c r="AB62" i="93"/>
  <c r="AB61" i="93"/>
  <c r="AB60" i="93"/>
  <c r="AB58" i="93"/>
  <c r="AB57" i="93"/>
  <c r="AB43" i="93"/>
  <c r="AB41" i="93"/>
  <c r="AB40" i="93"/>
  <c r="AB26" i="93"/>
  <c r="AA26" i="93"/>
  <c r="AB24" i="93"/>
  <c r="AA24" i="93"/>
  <c r="AA21" i="93"/>
  <c r="AB19" i="93"/>
  <c r="AA19" i="93"/>
  <c r="AB18" i="93"/>
  <c r="AA18" i="93"/>
  <c r="AJ43" i="93" l="1"/>
  <c r="AB95" i="93" l="1"/>
  <c r="AB44" i="93"/>
  <c r="AA42" i="93"/>
  <c r="AA43" i="93"/>
  <c r="AA41" i="93"/>
  <c r="AA40" i="93"/>
  <c r="AI18" i="93" l="1"/>
  <c r="AA94" i="93"/>
  <c r="AB78" i="93"/>
  <c r="AA61" i="93"/>
  <c r="AB27" i="93"/>
  <c r="AA20" i="93"/>
  <c r="AJ79" i="93"/>
  <c r="AJ61" i="93"/>
  <c r="Z26" i="93"/>
  <c r="AJ26" i="93" s="1"/>
  <c r="AJ25" i="93"/>
  <c r="AJ22" i="93"/>
  <c r="AG104" i="93" l="1"/>
  <c r="W104" i="93"/>
  <c r="V104" i="93"/>
  <c r="R104" i="93"/>
  <c r="Q104" i="93"/>
  <c r="M104" i="93"/>
  <c r="L104" i="93"/>
  <c r="W97" i="93"/>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J63" i="93" l="1"/>
  <c r="AF96" i="93" l="1"/>
  <c r="AF97" i="93"/>
  <c r="AF95" i="93"/>
  <c r="AF94" i="93"/>
  <c r="AF93" i="93"/>
  <c r="AF43" i="93" l="1"/>
  <c r="AF40" i="93"/>
  <c r="AG98" i="93" l="1"/>
  <c r="AF98" i="93"/>
  <c r="AB98" i="93"/>
  <c r="W98" i="93"/>
  <c r="M98" i="93"/>
  <c r="L98" i="93"/>
  <c r="AL97" i="93"/>
  <c r="AK97" i="93"/>
  <c r="AJ97" i="93"/>
  <c r="AI97" i="93"/>
  <c r="R97" i="93"/>
  <c r="Q97" i="93"/>
  <c r="AL96" i="93"/>
  <c r="AJ96" i="93"/>
  <c r="AI96" i="93"/>
  <c r="V98" i="93"/>
  <c r="R96" i="93"/>
  <c r="Q96" i="93"/>
  <c r="AJ95" i="93"/>
  <c r="AI95" i="93"/>
  <c r="W95" i="93"/>
  <c r="R95" i="93"/>
  <c r="AL95" i="93" s="1"/>
  <c r="Q95" i="93"/>
  <c r="AK95" i="93" s="1"/>
  <c r="AL94" i="93"/>
  <c r="AK94" i="93"/>
  <c r="AJ94" i="93"/>
  <c r="AI94" i="93"/>
  <c r="R94" i="93"/>
  <c r="Q94" i="93"/>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L61" i="93"/>
  <c r="AI61" i="93"/>
  <c r="AK61" i="93"/>
  <c r="R61" i="93"/>
  <c r="Q61" i="93"/>
  <c r="AJ60" i="93"/>
  <c r="AI60" i="93"/>
  <c r="AA60" i="93"/>
  <c r="R60" i="93"/>
  <c r="AL60" i="93" s="1"/>
  <c r="Q60" i="93"/>
  <c r="AK60" i="93" s="1"/>
  <c r="AL59" i="93"/>
  <c r="AJ59" i="93"/>
  <c r="AI59" i="93"/>
  <c r="W65" i="93"/>
  <c r="R59" i="93"/>
  <c r="Q59" i="93"/>
  <c r="AK59" i="93" s="1"/>
  <c r="AJ58" i="93"/>
  <c r="AI58" i="93"/>
  <c r="AA58" i="93"/>
  <c r="AK58" i="93" s="1"/>
  <c r="R58" i="93"/>
  <c r="AL58" i="93" s="1"/>
  <c r="Q58" i="93"/>
  <c r="AJ57" i="93"/>
  <c r="AI57" i="93"/>
  <c r="AA57" i="93"/>
  <c r="AA65" i="93" s="1"/>
  <c r="R57" i="93"/>
  <c r="AL57" i="93" s="1"/>
  <c r="Q57" i="93"/>
  <c r="AK57" i="93" s="1"/>
  <c r="AL56" i="93"/>
  <c r="AK56" i="93"/>
  <c r="AJ56" i="93"/>
  <c r="AI56" i="93"/>
  <c r="H56" i="93"/>
  <c r="E56" i="93"/>
  <c r="AG44" i="93"/>
  <c r="AF44" i="93"/>
  <c r="AA44" i="93"/>
  <c r="W44" i="93"/>
  <c r="V44" i="93"/>
  <c r="R44" i="93"/>
  <c r="Q44" i="93"/>
  <c r="M44" i="93"/>
  <c r="L44" i="93"/>
  <c r="AL43" i="93"/>
  <c r="AK43" i="93"/>
  <c r="AI43" i="93"/>
  <c r="AL42" i="93"/>
  <c r="R42" i="93"/>
  <c r="Q42" i="93"/>
  <c r="AK42" i="93" s="1"/>
  <c r="AL41" i="93"/>
  <c r="AK41" i="93"/>
  <c r="AJ41" i="93"/>
  <c r="AI41" i="93"/>
  <c r="R41" i="93"/>
  <c r="Q41" i="93"/>
  <c r="AJ40" i="93"/>
  <c r="AI40" i="93"/>
  <c r="R40" i="93"/>
  <c r="AL40" i="93" s="1"/>
  <c r="Q40" i="93"/>
  <c r="AK40" i="93" s="1"/>
  <c r="AL39" i="93"/>
  <c r="AK39" i="93"/>
  <c r="AJ39" i="93"/>
  <c r="AI39" i="93"/>
  <c r="H39" i="93"/>
  <c r="E39" i="93"/>
  <c r="AG27" i="93"/>
  <c r="AF27" i="93"/>
  <c r="AA27" i="93"/>
  <c r="W27" i="93"/>
  <c r="V27" i="93"/>
  <c r="R27" i="93"/>
  <c r="Q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K20" i="93"/>
  <c r="AJ20" i="93"/>
  <c r="AI20" i="93"/>
  <c r="R20" i="93"/>
  <c r="Q20" i="93"/>
  <c r="AJ19" i="93"/>
  <c r="AI19" i="93"/>
  <c r="R19" i="93"/>
  <c r="AL19" i="93" s="1"/>
  <c r="Q19" i="93"/>
  <c r="AK19" i="93" s="1"/>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M80" i="93" l="1"/>
  <c r="AB104" i="93"/>
  <c r="AF104" i="93"/>
  <c r="AA104" i="93"/>
  <c r="AL80" i="93"/>
  <c r="AK79" i="93"/>
  <c r="AK80" i="93" s="1"/>
  <c r="AK96" i="93"/>
  <c r="AK98" i="93" s="1"/>
  <c r="Q98" i="93"/>
  <c r="R98" i="93"/>
  <c r="AK26" i="93"/>
  <c r="AK27" i="93" s="1"/>
  <c r="R65" i="93"/>
  <c r="Q65" i="93"/>
  <c r="AL44" i="93"/>
  <c r="AM44" i="93" s="1"/>
  <c r="AK62" i="93"/>
  <c r="AK65" i="93" s="1"/>
  <c r="AL27" i="93"/>
  <c r="AM27" i="93" s="1"/>
  <c r="AK44" i="93"/>
  <c r="AL98" i="93"/>
  <c r="AM98" i="93" s="1"/>
  <c r="AL65" i="93"/>
  <c r="AM65" i="93" s="1"/>
  <c r="AL104" i="93" l="1"/>
  <c r="AK104" i="93"/>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<sst xmlns="http://schemas.openxmlformats.org/spreadsheetml/2006/main" count="508" uniqueCount="189">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</sst>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 numFmtId="193"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70" fontId="17"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1"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167" fontId="1"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42"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9"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1" fontId="3" fillId="0" borderId="0" applyFont="0" applyFill="0" applyBorder="0" applyAlignment="0" applyProtection="0"/>
    <xf numFmtId="0" fontId="42" fillId="0" borderId="0"/>
    <xf numFmtId="42" fontId="42"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42" fontId="42" fillId="0" borderId="0" applyFont="0" applyFill="0" applyBorder="0" applyAlignment="0" applyProtection="0"/>
    <xf numFmtId="44"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2"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7">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2"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2"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2" fontId="23" fillId="0" borderId="0" xfId="128" applyNumberFormat="1" applyFont="1"/>
    <xf numFmtId="9" fontId="26" fillId="0" borderId="3" xfId="149" applyFont="1" applyFill="1" applyBorder="1" applyAlignment="1">
      <alignment horizontal="center" vertical="center"/>
    </xf>
    <xf numFmtId="172" fontId="26" fillId="0" borderId="3" xfId="80" applyNumberFormat="1" applyFont="1" applyFill="1" applyBorder="1" applyAlignment="1">
      <alignment vertical="center"/>
    </xf>
    <xf numFmtId="172" fontId="26" fillId="0" borderId="3" xfId="88" applyNumberFormat="1" applyFont="1" applyFill="1" applyBorder="1" applyAlignment="1">
      <alignment horizontal="center" vertical="center"/>
    </xf>
    <xf numFmtId="172" fontId="26" fillId="0" borderId="3" xfId="80" applyNumberFormat="1" applyFont="1" applyFill="1" applyBorder="1" applyAlignment="1">
      <alignment horizontal="center" vertical="center"/>
    </xf>
    <xf numFmtId="172" fontId="26" fillId="5" borderId="3" xfId="88" applyNumberFormat="1" applyFont="1" applyFill="1" applyBorder="1" applyAlignment="1">
      <alignment horizontal="center" vertical="center"/>
    </xf>
    <xf numFmtId="172" fontId="26" fillId="5" borderId="3" xfId="80" applyNumberFormat="1" applyFont="1" applyFill="1" applyBorder="1" applyAlignment="1">
      <alignment horizontal="center" vertical="center"/>
    </xf>
    <xf numFmtId="172" fontId="26" fillId="0" borderId="5" xfId="88" applyNumberFormat="1" applyFont="1" applyFill="1" applyBorder="1" applyAlignment="1">
      <alignment horizontal="center" vertical="center"/>
    </xf>
    <xf numFmtId="0" fontId="23" fillId="0" borderId="0" xfId="128" applyFont="1" applyAlignment="1">
      <alignment vertical="center"/>
    </xf>
    <xf numFmtId="172" fontId="26" fillId="0" borderId="3" xfId="88" applyNumberFormat="1" applyFont="1" applyFill="1" applyBorder="1" applyAlignment="1">
      <alignment vertical="center"/>
    </xf>
    <xf numFmtId="172" fontId="26" fillId="5" borderId="3" xfId="88" applyNumberFormat="1" applyFont="1" applyFill="1" applyBorder="1" applyAlignment="1">
      <alignment vertical="center"/>
    </xf>
    <xf numFmtId="172"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2" fontId="30" fillId="0" borderId="0" xfId="81" applyNumberFormat="1" applyFont="1" applyFill="1" applyBorder="1"/>
    <xf numFmtId="3" fontId="30" fillId="0" borderId="3" xfId="81" applyNumberFormat="1" applyFont="1" applyFill="1" applyBorder="1" applyAlignment="1">
      <alignment horizontal="center" vertical="center"/>
    </xf>
    <xf numFmtId="172"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2" fontId="30" fillId="0" borderId="3" xfId="88" applyNumberFormat="1" applyFont="1" applyFill="1" applyBorder="1" applyAlignment="1">
      <alignment horizontal="center" vertical="center"/>
    </xf>
    <xf numFmtId="172" fontId="30" fillId="5" borderId="0" xfId="81" applyNumberFormat="1" applyFont="1" applyFill="1" applyBorder="1"/>
    <xf numFmtId="172"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2" fontId="30" fillId="0" borderId="0" xfId="80" applyNumberFormat="1" applyFont="1" applyFill="1" applyBorder="1" applyAlignment="1">
      <alignment horizontal="center" vertical="center"/>
    </xf>
    <xf numFmtId="172" fontId="30" fillId="0" borderId="0" xfId="80" applyNumberFormat="1" applyFont="1" applyFill="1" applyBorder="1" applyAlignment="1">
      <alignment vertical="center"/>
    </xf>
    <xf numFmtId="172" fontId="32" fillId="0" borderId="0" xfId="80" applyNumberFormat="1" applyFont="1" applyFill="1" applyBorder="1" applyAlignment="1">
      <alignment horizontal="center" vertical="center"/>
    </xf>
    <xf numFmtId="172" fontId="26" fillId="0" borderId="4" xfId="80" applyNumberFormat="1" applyFont="1" applyFill="1" applyBorder="1" applyAlignment="1">
      <alignment horizontal="center" vertical="center"/>
    </xf>
    <xf numFmtId="172" fontId="34" fillId="0" borderId="3" xfId="80" applyNumberFormat="1" applyFont="1" applyFill="1" applyBorder="1" applyAlignment="1">
      <alignment vertical="center"/>
    </xf>
    <xf numFmtId="172" fontId="34" fillId="0" borderId="3" xfId="80" applyNumberFormat="1" applyFont="1" applyFill="1" applyBorder="1" applyAlignment="1">
      <alignment horizontal="center" vertical="center"/>
    </xf>
    <xf numFmtId="172"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4" fontId="17" fillId="0" borderId="0" xfId="24" applyNumberFormat="1" applyBorder="1"/>
    <xf numFmtId="172" fontId="17" fillId="0" borderId="0" xfId="128" applyNumberFormat="1" applyBorder="1"/>
    <xf numFmtId="0" fontId="23" fillId="0" borderId="3" xfId="0" applyFont="1" applyBorder="1"/>
    <xf numFmtId="0" fontId="0" fillId="0" borderId="3" xfId="0" applyBorder="1"/>
    <xf numFmtId="172" fontId="0" fillId="0" borderId="3" xfId="0" applyNumberFormat="1" applyBorder="1"/>
    <xf numFmtId="172" fontId="23" fillId="0" borderId="3" xfId="0" applyNumberFormat="1" applyFont="1" applyBorder="1"/>
    <xf numFmtId="172"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2" fontId="30" fillId="0" borderId="3" xfId="80" applyNumberFormat="1" applyFont="1" applyFill="1" applyBorder="1" applyAlignment="1">
      <alignment vertical="center"/>
    </xf>
    <xf numFmtId="172" fontId="17" fillId="11" borderId="0" xfId="128" applyNumberFormat="1" applyFill="1"/>
    <xf numFmtId="172" fontId="23" fillId="11" borderId="0" xfId="128" applyNumberFormat="1" applyFont="1" applyFill="1"/>
    <xf numFmtId="172"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4" fontId="22" fillId="0" borderId="0" xfId="24" applyNumberFormat="1" applyFont="1" applyBorder="1"/>
    <xf numFmtId="0" fontId="36" fillId="0" borderId="0" xfId="128" applyFont="1"/>
    <xf numFmtId="174"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4"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2"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2"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8" fontId="26" fillId="0" borderId="4" xfId="81" applyNumberFormat="1" applyFont="1" applyFill="1" applyBorder="1" applyAlignment="1">
      <alignment horizontal="center" vertical="center"/>
    </xf>
    <xf numFmtId="188" fontId="26" fillId="16" borderId="4" xfId="81" applyNumberFormat="1" applyFont="1" applyFill="1" applyBorder="1" applyAlignment="1">
      <alignment horizontal="center" vertical="center"/>
    </xf>
    <xf numFmtId="171" fontId="34" fillId="0" borderId="3" xfId="149" applyNumberFormat="1" applyFont="1" applyFill="1" applyBorder="1" applyAlignment="1">
      <alignment horizontal="center" vertical="center"/>
    </xf>
    <xf numFmtId="189" fontId="30" fillId="0" borderId="3" xfId="80" applyNumberFormat="1" applyFont="1" applyFill="1" applyBorder="1" applyAlignment="1">
      <alignment horizontal="center" vertical="center"/>
    </xf>
    <xf numFmtId="190" fontId="26" fillId="16" borderId="4" xfId="3515" applyNumberFormat="1" applyFont="1" applyFill="1" applyBorder="1" applyAlignment="1">
      <alignment horizontal="center" vertical="center"/>
    </xf>
    <xf numFmtId="190" fontId="26" fillId="0" borderId="3" xfId="3515" applyNumberFormat="1" applyFont="1" applyFill="1" applyBorder="1" applyAlignment="1">
      <alignment horizontal="center" vertical="center"/>
    </xf>
    <xf numFmtId="190" fontId="30" fillId="0" borderId="3" xfId="3515" applyNumberFormat="1" applyFont="1" applyFill="1" applyBorder="1" applyAlignment="1">
      <alignment horizontal="center" vertical="center"/>
    </xf>
    <xf numFmtId="190" fontId="26" fillId="0" borderId="4" xfId="3515" applyNumberFormat="1" applyFont="1" applyFill="1" applyBorder="1" applyAlignment="1">
      <alignment horizontal="center" vertical="center"/>
    </xf>
    <xf numFmtId="190" fontId="26" fillId="16" borderId="3" xfId="3515" applyNumberFormat="1" applyFont="1" applyFill="1" applyBorder="1" applyAlignment="1">
      <alignment horizontal="center" vertical="center"/>
    </xf>
    <xf numFmtId="190" fontId="18" fillId="0" borderId="0" xfId="3515" applyNumberFormat="1" applyFont="1"/>
    <xf numFmtId="170" fontId="26" fillId="0" borderId="3" xfId="24" applyFont="1" applyFill="1" applyBorder="1" applyAlignment="1">
      <alignment horizontal="center" vertical="center"/>
    </xf>
    <xf numFmtId="170" fontId="34" fillId="0" borderId="3" xfId="24" applyFont="1" applyFill="1" applyBorder="1" applyAlignment="1">
      <alignment horizontal="center" vertical="center"/>
    </xf>
    <xf numFmtId="166" fontId="26" fillId="0" borderId="3" xfId="3515" applyNumberFormat="1" applyFont="1" applyFill="1" applyBorder="1" applyAlignment="1">
      <alignment horizontal="center" vertical="center"/>
    </xf>
    <xf numFmtId="169" fontId="26" fillId="0" borderId="3" xfId="80" applyNumberFormat="1" applyFont="1" applyFill="1" applyBorder="1" applyAlignment="1">
      <alignment horizontal="center" vertical="center"/>
    </xf>
    <xf numFmtId="191"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1" fontId="26" fillId="16" borderId="3" xfId="149" applyNumberFormat="1" applyFont="1" applyFill="1" applyBorder="1" applyAlignment="1">
      <alignment horizontal="center" vertical="center"/>
    </xf>
    <xf numFmtId="171" fontId="26" fillId="0" borderId="3" xfId="149" applyNumberFormat="1" applyFont="1" applyFill="1" applyBorder="1" applyAlignment="1">
      <alignment horizontal="center" vertical="center"/>
    </xf>
    <xf numFmtId="190"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1"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1" fontId="26" fillId="0" borderId="3" xfId="3459" applyNumberFormat="1" applyFont="1" applyFill="1" applyBorder="1" applyAlignment="1">
      <alignment horizontal="center" vertical="center"/>
    </xf>
    <xf numFmtId="171" fontId="34" fillId="0" borderId="3" xfId="3459" applyNumberFormat="1" applyFont="1" applyFill="1" applyBorder="1" applyAlignment="1">
      <alignment horizontal="center" vertical="center"/>
    </xf>
    <xf numFmtId="171"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90" fontId="23" fillId="0" borderId="0" xfId="128" applyNumberFormat="1" applyFont="1"/>
    <xf numFmtId="188" fontId="26" fillId="16" borderId="3" xfId="81" applyNumberFormat="1" applyFont="1" applyFill="1" applyBorder="1" applyAlignment="1">
      <alignment horizontal="center" vertical="center"/>
    </xf>
    <xf numFmtId="188"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2"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1"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70"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2" fontId="34" fillId="0" borderId="3" xfId="3516" applyNumberFormat="1" applyFont="1" applyFill="1" applyBorder="1" applyAlignment="1">
      <alignment horizontal="center" vertical="center"/>
    </xf>
    <xf numFmtId="189"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90"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90" fontId="17" fillId="0" borderId="0" xfId="3515" applyNumberFormat="1" applyFont="1" applyBorder="1"/>
    <xf numFmtId="190"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164" fontId="34" fillId="16" borderId="3" xfId="0" applyNumberFormat="1" applyFont="1" applyFill="1" applyBorder="1" applyAlignment="1">
      <alignment horizontal="right" vertical="center"/>
    </xf>
    <xf numFmtId="175"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5" fontId="34" fillId="0" borderId="3" xfId="0" applyNumberFormat="1" applyFont="1" applyFill="1" applyBorder="1" applyAlignment="1">
      <alignment horizontal="right" vertical="center"/>
    </xf>
    <xf numFmtId="175" fontId="26" fillId="0" borderId="3" xfId="0" applyNumberFormat="1" applyFont="1" applyFill="1" applyBorder="1" applyAlignment="1">
      <alignment horizontal="right" vertical="center"/>
    </xf>
    <xf numFmtId="0" fontId="17" fillId="16" borderId="0" xfId="128" applyFont="1" applyFill="1"/>
    <xf numFmtId="171"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1"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4"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164" fontId="34" fillId="0" borderId="3" xfId="0" applyNumberFormat="1" applyFont="1" applyFill="1" applyBorder="1" applyAlignment="1">
      <alignment horizontal="right" vertical="center"/>
    </xf>
    <xf numFmtId="172"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90" fontId="17" fillId="0" borderId="0" xfId="3515" applyNumberFormat="1" applyFont="1"/>
    <xf numFmtId="1" fontId="34" fillId="0" borderId="3" xfId="150" applyNumberFormat="1" applyFont="1" applyFill="1" applyBorder="1" applyAlignment="1">
      <alignment horizontal="center" vertical="center" wrapText="1"/>
    </xf>
    <xf numFmtId="190"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1"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1"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1" fontId="34" fillId="5" borderId="3" xfId="149" applyNumberFormat="1" applyFont="1" applyFill="1" applyBorder="1" applyAlignment="1">
      <alignment horizontal="center" vertical="center" wrapText="1"/>
    </xf>
    <xf numFmtId="193" fontId="34" fillId="5" borderId="3" xfId="319" applyNumberFormat="1" applyFont="1" applyFill="1" applyBorder="1" applyAlignment="1">
      <alignment horizontal="center" vertical="center" wrapText="1"/>
    </xf>
    <xf numFmtId="172" fontId="26" fillId="0" borderId="3" xfId="80" applyNumberFormat="1" applyFont="1" applyFill="1" applyBorder="1" applyAlignment="1">
      <alignment horizontal="center" vertical="center" wrapText="1"/>
    </xf>
    <xf numFmtId="172" fontId="36" fillId="0" borderId="0" xfId="128" applyNumberFormat="1" applyFont="1"/>
    <xf numFmtId="9" fontId="34" fillId="16" borderId="3" xfId="149" applyNumberFormat="1" applyFont="1" applyFill="1" applyBorder="1" applyAlignment="1">
      <alignment horizontal="center" vertical="center"/>
    </xf>
    <xf numFmtId="0" fontId="37" fillId="0" borderId="3" xfId="128" applyFont="1" applyFill="1" applyBorder="1" applyAlignment="1" applyProtection="1">
      <alignment horizontal="justify"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51" t="s">
        <v>0</v>
      </c>
      <c r="B3" s="252"/>
      <c r="C3" s="252"/>
      <c r="D3" s="253"/>
      <c r="E3" s="1"/>
      <c r="F3" s="2"/>
      <c r="G3" s="2"/>
      <c r="H3" s="2"/>
      <c r="I3" s="2"/>
      <c r="J3" s="2"/>
      <c r="K3" s="2"/>
      <c r="M3" s="2"/>
      <c r="O3" s="2"/>
      <c r="Q3" s="2"/>
    </row>
    <row r="4" spans="1:18" s="3" customFormat="1" ht="12.75" x14ac:dyDescent="0.2">
      <c r="A4" s="251" t="s">
        <v>14</v>
      </c>
      <c r="B4" s="252"/>
      <c r="C4" s="252"/>
      <c r="D4" s="253"/>
      <c r="E4" s="1"/>
      <c r="F4" s="2"/>
      <c r="G4" s="2"/>
      <c r="H4" s="2"/>
      <c r="I4" s="2"/>
      <c r="J4" s="2"/>
      <c r="K4" s="2"/>
      <c r="M4" s="2"/>
      <c r="O4" s="2"/>
      <c r="Q4" s="2"/>
    </row>
    <row r="5" spans="1:18" s="3" customFormat="1" ht="12.75" x14ac:dyDescent="0.2">
      <c r="A5" s="251" t="s">
        <v>0</v>
      </c>
      <c r="B5" s="252"/>
      <c r="C5" s="252"/>
      <c r="D5" s="253"/>
      <c r="E5" s="1"/>
      <c r="F5" s="2"/>
      <c r="G5" s="2"/>
      <c r="H5" s="2"/>
      <c r="I5" s="2"/>
      <c r="J5" s="2"/>
      <c r="K5" s="2"/>
      <c r="M5" s="2"/>
      <c r="O5" s="2"/>
      <c r="Q5" s="2"/>
    </row>
    <row r="6" spans="1:18" s="3" customFormat="1" ht="12.75" x14ac:dyDescent="0.2">
      <c r="A6" s="251" t="s">
        <v>15</v>
      </c>
      <c r="B6" s="252"/>
      <c r="C6" s="252"/>
      <c r="D6" s="253"/>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60" t="s">
        <v>85</v>
      </c>
      <c r="B8" s="261"/>
      <c r="C8" s="261"/>
      <c r="D8" s="261"/>
    </row>
    <row r="9" spans="1:18" s="3" customFormat="1" ht="12.75" x14ac:dyDescent="0.2">
      <c r="A9" s="4"/>
      <c r="B9" s="4"/>
      <c r="C9" s="4"/>
      <c r="D9" s="4"/>
      <c r="E9" s="2"/>
      <c r="F9" s="2"/>
      <c r="G9" s="2"/>
      <c r="H9" s="2"/>
      <c r="I9" s="2"/>
      <c r="J9" s="2"/>
      <c r="K9" s="2"/>
      <c r="M9" s="2"/>
      <c r="O9" s="2"/>
      <c r="Q9" s="2"/>
    </row>
    <row r="10" spans="1:18" ht="34.5" customHeight="1" x14ac:dyDescent="0.25">
      <c r="A10" s="33" t="s">
        <v>1</v>
      </c>
      <c r="B10" s="262" t="s">
        <v>16</v>
      </c>
      <c r="C10" s="262"/>
      <c r="D10" s="262"/>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7" t="s">
        <v>2</v>
      </c>
      <c r="B13" s="232" t="s">
        <v>3</v>
      </c>
      <c r="C13" s="232" t="s">
        <v>67</v>
      </c>
      <c r="D13" s="254" t="s">
        <v>19</v>
      </c>
      <c r="E13" s="10"/>
      <c r="F13" s="66">
        <v>2016</v>
      </c>
      <c r="G13" s="10"/>
      <c r="H13" s="228">
        <v>2017</v>
      </c>
      <c r="I13" s="229"/>
      <c r="J13" s="265"/>
      <c r="K13" s="228">
        <v>2018</v>
      </c>
      <c r="L13" s="265"/>
      <c r="M13" s="228">
        <v>2019</v>
      </c>
      <c r="N13" s="265"/>
      <c r="O13" s="228">
        <v>2020</v>
      </c>
      <c r="P13" s="229"/>
      <c r="Q13" s="229" t="s">
        <v>78</v>
      </c>
      <c r="R13" s="229"/>
    </row>
    <row r="14" spans="1:18" s="11" customFormat="1" ht="15" customHeight="1" x14ac:dyDescent="0.25">
      <c r="A14" s="258"/>
      <c r="B14" s="233"/>
      <c r="C14" s="233"/>
      <c r="D14" s="255"/>
      <c r="E14" s="10"/>
      <c r="F14" s="226" t="s">
        <v>8</v>
      </c>
      <c r="G14" s="10"/>
      <c r="H14" s="226" t="s">
        <v>8</v>
      </c>
      <c r="I14" s="226" t="s">
        <v>84</v>
      </c>
      <c r="J14" s="226" t="s">
        <v>80</v>
      </c>
      <c r="K14" s="226" t="s">
        <v>8</v>
      </c>
      <c r="L14" s="226" t="s">
        <v>79</v>
      </c>
      <c r="M14" s="226" t="s">
        <v>8</v>
      </c>
      <c r="N14" s="226" t="s">
        <v>79</v>
      </c>
      <c r="O14" s="230" t="s">
        <v>8</v>
      </c>
      <c r="P14" s="226" t="s">
        <v>79</v>
      </c>
      <c r="Q14" s="230" t="s">
        <v>8</v>
      </c>
      <c r="R14" s="226" t="s">
        <v>79</v>
      </c>
    </row>
    <row r="15" spans="1:18" s="11" customFormat="1" ht="47.25" customHeight="1" x14ac:dyDescent="0.25">
      <c r="A15" s="259"/>
      <c r="B15" s="234"/>
      <c r="C15" s="234"/>
      <c r="D15" s="256"/>
      <c r="E15" s="12"/>
      <c r="F15" s="226"/>
      <c r="G15" s="12"/>
      <c r="H15" s="226"/>
      <c r="I15" s="226"/>
      <c r="J15" s="226"/>
      <c r="K15" s="226"/>
      <c r="L15" s="226"/>
      <c r="M15" s="226"/>
      <c r="N15" s="226"/>
      <c r="O15" s="231"/>
      <c r="P15" s="226"/>
      <c r="Q15" s="231"/>
      <c r="R15" s="226"/>
    </row>
    <row r="16" spans="1:18" ht="60" customHeight="1" x14ac:dyDescent="0.25">
      <c r="A16" s="263" t="s">
        <v>11</v>
      </c>
      <c r="B16" s="235" t="s">
        <v>12</v>
      </c>
      <c r="C16" s="235"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4"/>
      <c r="B17" s="242"/>
      <c r="C17" s="242"/>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4"/>
      <c r="B18" s="242"/>
      <c r="C18" s="242"/>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4"/>
      <c r="B19" s="242"/>
      <c r="C19" s="242"/>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4"/>
      <c r="B20" s="236"/>
      <c r="C20" s="236"/>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7" t="s">
        <v>2</v>
      </c>
      <c r="B26" s="227" t="s">
        <v>3</v>
      </c>
      <c r="C26" s="232" t="s">
        <v>67</v>
      </c>
      <c r="D26" s="227" t="s">
        <v>19</v>
      </c>
      <c r="E26" s="10"/>
      <c r="F26" s="70">
        <v>2016</v>
      </c>
      <c r="G26" s="78"/>
      <c r="H26" s="227">
        <v>2017</v>
      </c>
      <c r="I26" s="227"/>
      <c r="J26" s="227"/>
      <c r="K26" s="227">
        <v>2018</v>
      </c>
      <c r="L26" s="227"/>
      <c r="M26" s="227">
        <v>2019</v>
      </c>
      <c r="N26" s="227"/>
      <c r="O26" s="227">
        <v>2020</v>
      </c>
      <c r="P26" s="227"/>
      <c r="Q26" s="227" t="s">
        <v>78</v>
      </c>
      <c r="R26" s="227"/>
    </row>
    <row r="27" spans="1:20" s="11" customFormat="1" ht="15" customHeight="1" x14ac:dyDescent="0.25">
      <c r="A27" s="227"/>
      <c r="B27" s="227"/>
      <c r="C27" s="233"/>
      <c r="D27" s="227"/>
      <c r="E27" s="10"/>
      <c r="F27" s="226" t="s">
        <v>8</v>
      </c>
      <c r="G27" s="78"/>
      <c r="H27" s="226" t="s">
        <v>8</v>
      </c>
      <c r="I27" s="226" t="s">
        <v>84</v>
      </c>
      <c r="J27" s="226" t="s">
        <v>80</v>
      </c>
      <c r="K27" s="226" t="s">
        <v>8</v>
      </c>
      <c r="L27" s="226" t="s">
        <v>79</v>
      </c>
      <c r="M27" s="226" t="s">
        <v>8</v>
      </c>
      <c r="N27" s="226" t="s">
        <v>79</v>
      </c>
      <c r="O27" s="226" t="s">
        <v>8</v>
      </c>
      <c r="P27" s="226" t="s">
        <v>79</v>
      </c>
      <c r="Q27" s="226" t="s">
        <v>8</v>
      </c>
      <c r="R27" s="226" t="s">
        <v>79</v>
      </c>
    </row>
    <row r="28" spans="1:20" s="11" customFormat="1" ht="47.25" customHeight="1" x14ac:dyDescent="0.25">
      <c r="A28" s="227"/>
      <c r="B28" s="227"/>
      <c r="C28" s="234"/>
      <c r="D28" s="227"/>
      <c r="E28" s="12"/>
      <c r="F28" s="226"/>
      <c r="G28" s="79"/>
      <c r="H28" s="226"/>
      <c r="I28" s="226"/>
      <c r="J28" s="226"/>
      <c r="K28" s="226"/>
      <c r="L28" s="226"/>
      <c r="M28" s="226"/>
      <c r="N28" s="226"/>
      <c r="O28" s="226"/>
      <c r="P28" s="226"/>
      <c r="Q28" s="226"/>
      <c r="R28" s="226"/>
    </row>
    <row r="29" spans="1:20" ht="51" hidden="1" customHeight="1" x14ac:dyDescent="0.25">
      <c r="A29" s="249" t="s">
        <v>24</v>
      </c>
      <c r="B29" s="250" t="s">
        <v>25</v>
      </c>
      <c r="C29" s="67"/>
      <c r="D29" s="18" t="s">
        <v>9</v>
      </c>
      <c r="E29" s="14"/>
      <c r="F29" s="28"/>
      <c r="G29" s="80"/>
      <c r="H29" s="28"/>
      <c r="I29" s="80"/>
      <c r="J29" s="80"/>
      <c r="K29" s="29"/>
      <c r="L29" s="81"/>
      <c r="M29" s="20"/>
      <c r="N29" s="81"/>
      <c r="O29" s="20"/>
      <c r="P29" s="81"/>
      <c r="Q29" s="15"/>
      <c r="R29" s="81"/>
    </row>
    <row r="30" spans="1:20" ht="95.25" customHeight="1" x14ac:dyDescent="0.25">
      <c r="A30" s="249"/>
      <c r="B30" s="250"/>
      <c r="C30" s="250"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9"/>
      <c r="B31" s="250"/>
      <c r="C31" s="250"/>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43" t="s">
        <v>10</v>
      </c>
      <c r="B33" s="246" t="s">
        <v>26</v>
      </c>
      <c r="C33" s="246"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4"/>
      <c r="B34" s="247"/>
      <c r="C34" s="247"/>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5"/>
      <c r="B35" s="248"/>
      <c r="C35" s="248"/>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39" t="s">
        <v>27</v>
      </c>
      <c r="B37" s="235" t="s">
        <v>28</v>
      </c>
      <c r="C37" s="235"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0"/>
      <c r="B38" s="242"/>
      <c r="C38" s="242"/>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1"/>
      <c r="B39" s="236"/>
      <c r="C39" s="236"/>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7" t="s">
        <v>2</v>
      </c>
      <c r="B45" s="227" t="s">
        <v>3</v>
      </c>
      <c r="C45" s="232" t="s">
        <v>67</v>
      </c>
      <c r="D45" s="227" t="s">
        <v>19</v>
      </c>
      <c r="E45" s="10"/>
      <c r="F45" s="70">
        <v>2016</v>
      </c>
      <c r="G45" s="78"/>
      <c r="H45" s="227">
        <v>2017</v>
      </c>
      <c r="I45" s="227"/>
      <c r="J45" s="227"/>
      <c r="K45" s="227">
        <v>2018</v>
      </c>
      <c r="L45" s="227"/>
      <c r="M45" s="227">
        <v>2019</v>
      </c>
      <c r="N45" s="227"/>
      <c r="O45" s="227">
        <v>2020</v>
      </c>
      <c r="P45" s="227"/>
      <c r="Q45" s="227" t="s">
        <v>78</v>
      </c>
      <c r="R45" s="227"/>
    </row>
    <row r="46" spans="1:20" s="11" customFormat="1" ht="15" customHeight="1" x14ac:dyDescent="0.25">
      <c r="A46" s="227"/>
      <c r="B46" s="227"/>
      <c r="C46" s="233"/>
      <c r="D46" s="227"/>
      <c r="E46" s="10"/>
      <c r="F46" s="230" t="s">
        <v>8</v>
      </c>
      <c r="G46" s="78"/>
      <c r="H46" s="230" t="s">
        <v>8</v>
      </c>
      <c r="I46" s="226" t="s">
        <v>84</v>
      </c>
      <c r="J46" s="226" t="s">
        <v>80</v>
      </c>
      <c r="K46" s="230" t="s">
        <v>8</v>
      </c>
      <c r="L46" s="226" t="s">
        <v>79</v>
      </c>
      <c r="M46" s="230" t="s">
        <v>8</v>
      </c>
      <c r="N46" s="226" t="s">
        <v>79</v>
      </c>
      <c r="O46" s="226" t="s">
        <v>8</v>
      </c>
      <c r="P46" s="226" t="s">
        <v>79</v>
      </c>
      <c r="Q46" s="230" t="s">
        <v>8</v>
      </c>
      <c r="R46" s="226" t="s">
        <v>79</v>
      </c>
    </row>
    <row r="47" spans="1:20" s="11" customFormat="1" ht="47.25" customHeight="1" x14ac:dyDescent="0.25">
      <c r="A47" s="227"/>
      <c r="B47" s="227"/>
      <c r="C47" s="234"/>
      <c r="D47" s="227"/>
      <c r="E47" s="12"/>
      <c r="F47" s="231"/>
      <c r="G47" s="79"/>
      <c r="H47" s="231"/>
      <c r="I47" s="226"/>
      <c r="J47" s="226"/>
      <c r="K47" s="231"/>
      <c r="L47" s="226"/>
      <c r="M47" s="231"/>
      <c r="N47" s="226"/>
      <c r="O47" s="226"/>
      <c r="P47" s="226"/>
      <c r="Q47" s="231"/>
      <c r="R47" s="226"/>
    </row>
    <row r="48" spans="1:20" ht="60" customHeight="1" x14ac:dyDescent="0.25">
      <c r="A48" s="237" t="s">
        <v>35</v>
      </c>
      <c r="B48" s="235" t="s">
        <v>36</v>
      </c>
      <c r="C48" s="235"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8"/>
      <c r="B49" s="236"/>
      <c r="C49" s="236"/>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7" t="s">
        <v>2</v>
      </c>
      <c r="B54" s="227" t="s">
        <v>3</v>
      </c>
      <c r="C54" s="232" t="s">
        <v>67</v>
      </c>
      <c r="D54" s="227" t="s">
        <v>19</v>
      </c>
      <c r="E54" s="10"/>
      <c r="F54" s="70">
        <v>2016</v>
      </c>
      <c r="G54" s="78"/>
      <c r="H54" s="227">
        <v>2017</v>
      </c>
      <c r="I54" s="227"/>
      <c r="J54" s="227"/>
      <c r="K54" s="227">
        <v>2018</v>
      </c>
      <c r="L54" s="227"/>
      <c r="M54" s="227">
        <v>2019</v>
      </c>
      <c r="N54" s="227"/>
      <c r="O54" s="227">
        <v>2020</v>
      </c>
      <c r="P54" s="227"/>
      <c r="Q54" s="227" t="s">
        <v>78</v>
      </c>
      <c r="R54" s="227"/>
    </row>
    <row r="55" spans="1:20" s="11" customFormat="1" ht="15" customHeight="1" x14ac:dyDescent="0.25">
      <c r="A55" s="227"/>
      <c r="B55" s="227"/>
      <c r="C55" s="233"/>
      <c r="D55" s="227"/>
      <c r="E55" s="10"/>
      <c r="F55" s="226" t="s">
        <v>8</v>
      </c>
      <c r="G55" s="78"/>
      <c r="H55" s="226" t="s">
        <v>8</v>
      </c>
      <c r="I55" s="226" t="s">
        <v>84</v>
      </c>
      <c r="J55" s="226" t="s">
        <v>80</v>
      </c>
      <c r="K55" s="226" t="s">
        <v>8</v>
      </c>
      <c r="L55" s="226" t="s">
        <v>79</v>
      </c>
      <c r="M55" s="226" t="s">
        <v>8</v>
      </c>
      <c r="N55" s="226" t="s">
        <v>79</v>
      </c>
      <c r="O55" s="226" t="s">
        <v>8</v>
      </c>
      <c r="P55" s="226" t="s">
        <v>79</v>
      </c>
      <c r="Q55" s="226" t="s">
        <v>8</v>
      </c>
      <c r="R55" s="226" t="s">
        <v>79</v>
      </c>
    </row>
    <row r="56" spans="1:20" s="11" customFormat="1" ht="47.25" customHeight="1" x14ac:dyDescent="0.25">
      <c r="A56" s="227"/>
      <c r="B56" s="227"/>
      <c r="C56" s="234"/>
      <c r="D56" s="227"/>
      <c r="E56" s="12"/>
      <c r="F56" s="226"/>
      <c r="G56" s="79"/>
      <c r="H56" s="226"/>
      <c r="I56" s="226"/>
      <c r="J56" s="226"/>
      <c r="K56" s="226"/>
      <c r="L56" s="226"/>
      <c r="M56" s="226"/>
      <c r="N56" s="226"/>
      <c r="O56" s="226"/>
      <c r="P56" s="226"/>
      <c r="Q56" s="226"/>
      <c r="R56" s="226"/>
    </row>
    <row r="57" spans="1:20" ht="88.5" customHeight="1" x14ac:dyDescent="0.25">
      <c r="A57" s="237" t="s">
        <v>39</v>
      </c>
      <c r="B57" s="235" t="s">
        <v>13</v>
      </c>
      <c r="C57" s="235"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8"/>
      <c r="B58" s="236"/>
      <c r="C58" s="236"/>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7" t="s">
        <v>2</v>
      </c>
      <c r="B63" s="227" t="s">
        <v>3</v>
      </c>
      <c r="C63" s="232" t="s">
        <v>67</v>
      </c>
      <c r="D63" s="227" t="s">
        <v>19</v>
      </c>
      <c r="E63" s="10"/>
      <c r="F63" s="70">
        <v>2016</v>
      </c>
      <c r="G63" s="78"/>
      <c r="H63" s="227">
        <v>2017</v>
      </c>
      <c r="I63" s="227"/>
      <c r="J63" s="227"/>
      <c r="K63" s="227">
        <v>2018</v>
      </c>
      <c r="L63" s="227"/>
      <c r="M63" s="227">
        <v>2019</v>
      </c>
      <c r="N63" s="227"/>
      <c r="O63" s="227">
        <v>2020</v>
      </c>
      <c r="P63" s="227"/>
      <c r="Q63" s="227" t="s">
        <v>78</v>
      </c>
      <c r="R63" s="227"/>
    </row>
    <row r="64" spans="1:20" s="11" customFormat="1" ht="15" customHeight="1" x14ac:dyDescent="0.25">
      <c r="A64" s="227"/>
      <c r="B64" s="227"/>
      <c r="C64" s="233"/>
      <c r="D64" s="227"/>
      <c r="E64" s="10"/>
      <c r="F64" s="226" t="s">
        <v>8</v>
      </c>
      <c r="G64" s="78"/>
      <c r="H64" s="226" t="s">
        <v>8</v>
      </c>
      <c r="I64" s="226" t="s">
        <v>84</v>
      </c>
      <c r="J64" s="226" t="s">
        <v>80</v>
      </c>
      <c r="K64" s="226" t="s">
        <v>8</v>
      </c>
      <c r="L64" s="226" t="s">
        <v>79</v>
      </c>
      <c r="M64" s="226" t="s">
        <v>8</v>
      </c>
      <c r="N64" s="226" t="s">
        <v>79</v>
      </c>
      <c r="O64" s="226" t="s">
        <v>8</v>
      </c>
      <c r="P64" s="226" t="s">
        <v>79</v>
      </c>
      <c r="Q64" s="226" t="s">
        <v>8</v>
      </c>
      <c r="R64" s="226" t="s">
        <v>79</v>
      </c>
    </row>
    <row r="65" spans="1:20" s="11" customFormat="1" ht="47.25" customHeight="1" x14ac:dyDescent="0.25">
      <c r="A65" s="227"/>
      <c r="B65" s="227"/>
      <c r="C65" s="234"/>
      <c r="D65" s="227"/>
      <c r="E65" s="12"/>
      <c r="F65" s="226"/>
      <c r="G65" s="79"/>
      <c r="H65" s="226"/>
      <c r="I65" s="226"/>
      <c r="J65" s="226"/>
      <c r="K65" s="226"/>
      <c r="L65" s="226"/>
      <c r="M65" s="226"/>
      <c r="N65" s="226"/>
      <c r="O65" s="226"/>
      <c r="P65" s="226"/>
      <c r="Q65" s="226"/>
      <c r="R65" s="226"/>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4"/>
  <sheetViews>
    <sheetView tabSelected="1" topLeftCell="A2" zoomScale="78" zoomScaleNormal="78" workbookViewId="0">
      <pane xSplit="6" ySplit="15" topLeftCell="G59" activePane="bottomRight" state="frozen"/>
      <selection activeCell="A2" sqref="A2"/>
      <selection pane="topRight" activeCell="G2" sqref="G2"/>
      <selection pane="bottomLeft" activeCell="A17" sqref="A17"/>
      <selection pane="bottomRight" activeCell="F59" sqref="F59"/>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9" customWidth="1"/>
    <col min="10" max="10" width="10.7109375" style="115" customWidth="1"/>
    <col min="11" max="11" width="10.7109375" style="50" customWidth="1"/>
    <col min="12" max="12" width="19.7109375" style="209" customWidth="1"/>
    <col min="13" max="13" width="18.7109375" style="50" customWidth="1"/>
    <col min="14" max="14" width="0.5703125" style="169"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1" customFormat="1" x14ac:dyDescent="0.25">
      <c r="A2" s="284" t="s">
        <v>0</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6"/>
      <c r="AM2" s="170"/>
    </row>
    <row r="3" spans="1:40" s="171" customFormat="1" x14ac:dyDescent="0.25">
      <c r="A3" s="284" t="s">
        <v>92</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6"/>
      <c r="AM3" s="170"/>
    </row>
    <row r="4" spans="1:40" s="171" customFormat="1" x14ac:dyDescent="0.25">
      <c r="A4" s="284" t="s">
        <v>0</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6"/>
      <c r="AM4" s="170"/>
    </row>
    <row r="5" spans="1:40" s="171" customFormat="1" x14ac:dyDescent="0.25">
      <c r="A5" s="284" t="s">
        <v>93</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6"/>
      <c r="AM5" s="170"/>
    </row>
    <row r="6" spans="1:40" s="171" customFormat="1" x14ac:dyDescent="0.25">
      <c r="A6" s="284"/>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6"/>
      <c r="AM6" s="170"/>
    </row>
    <row r="7" spans="1:40" s="173" customFormat="1" ht="15.75" customHeight="1" x14ac:dyDescent="0.2">
      <c r="A7" s="278"/>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172"/>
    </row>
    <row r="8" spans="1:40" s="171" customFormat="1" ht="12.75" hidden="1" x14ac:dyDescent="0.2">
      <c r="A8" s="174"/>
      <c r="B8" s="175"/>
      <c r="C8" s="175"/>
      <c r="D8" s="175"/>
      <c r="E8" s="175"/>
      <c r="F8" s="175"/>
      <c r="G8" s="175"/>
      <c r="H8" s="175"/>
      <c r="I8" s="176"/>
      <c r="J8" s="174"/>
      <c r="K8" s="176"/>
      <c r="L8" s="177"/>
      <c r="M8" s="176"/>
      <c r="N8" s="176"/>
      <c r="O8" s="176"/>
      <c r="P8" s="176"/>
      <c r="Q8" s="176"/>
      <c r="R8" s="176"/>
      <c r="T8" s="178"/>
      <c r="U8" s="178"/>
      <c r="V8" s="178"/>
      <c r="W8" s="178"/>
      <c r="Y8" s="178"/>
      <c r="Z8" s="178"/>
      <c r="AA8" s="178"/>
      <c r="AB8" s="178"/>
      <c r="AD8" s="176"/>
      <c r="AE8" s="176"/>
      <c r="AF8" s="178"/>
      <c r="AG8" s="178"/>
      <c r="AI8" s="179"/>
      <c r="AJ8" s="179"/>
      <c r="AK8" s="179"/>
      <c r="AL8" s="180"/>
      <c r="AM8" s="170"/>
    </row>
    <row r="9" spans="1:40" hidden="1" x14ac:dyDescent="0.25">
      <c r="A9" s="114">
        <v>1</v>
      </c>
      <c r="B9" s="101" t="s">
        <v>94</v>
      </c>
      <c r="C9" s="274" t="s">
        <v>97</v>
      </c>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row>
    <row r="10" spans="1:40" hidden="1" x14ac:dyDescent="0.25">
      <c r="A10" s="113">
        <v>8</v>
      </c>
      <c r="B10" s="6" t="s">
        <v>156</v>
      </c>
      <c r="C10" s="274" t="s">
        <v>157</v>
      </c>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row>
    <row r="11" spans="1:40" hidden="1" x14ac:dyDescent="0.25">
      <c r="A11" s="113">
        <v>19</v>
      </c>
      <c r="B11" s="6" t="s">
        <v>95</v>
      </c>
      <c r="C11" s="274" t="s">
        <v>155</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row>
    <row r="12" spans="1:40" ht="30" hidden="1" x14ac:dyDescent="0.25">
      <c r="A12" s="113">
        <v>3</v>
      </c>
      <c r="B12" s="102" t="s">
        <v>98</v>
      </c>
      <c r="C12" s="274" t="s">
        <v>96</v>
      </c>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row>
    <row r="13" spans="1:40" ht="13.9" customHeight="1" x14ac:dyDescent="0.25">
      <c r="F13" s="169"/>
      <c r="G13" s="169"/>
      <c r="H13" s="169"/>
      <c r="I13" s="50"/>
      <c r="J13" s="181"/>
      <c r="K13" s="169"/>
      <c r="L13" s="182"/>
      <c r="M13" s="169"/>
      <c r="N13" s="50"/>
      <c r="O13" s="169"/>
      <c r="P13" s="169"/>
      <c r="Q13" s="169"/>
      <c r="R13" s="90">
        <v>1000000</v>
      </c>
      <c r="T13" s="90"/>
      <c r="U13" s="90"/>
      <c r="V13" s="90">
        <v>1000000</v>
      </c>
      <c r="W13" s="90">
        <v>1000000</v>
      </c>
      <c r="Y13" s="90"/>
      <c r="Z13" s="90"/>
      <c r="AA13" s="90"/>
      <c r="AB13" s="90">
        <v>1000000</v>
      </c>
      <c r="AD13" s="169"/>
      <c r="AE13" s="169"/>
      <c r="AF13" s="90"/>
      <c r="AG13" s="90">
        <v>1000000</v>
      </c>
      <c r="AI13" s="92"/>
      <c r="AJ13" s="92"/>
      <c r="AK13" s="92"/>
    </row>
    <row r="14" spans="1:40" s="11" customFormat="1" ht="27" customHeight="1" x14ac:dyDescent="0.25">
      <c r="A14" s="257" t="s">
        <v>2</v>
      </c>
      <c r="B14" s="232" t="s">
        <v>3</v>
      </c>
      <c r="C14" s="272" t="s">
        <v>87</v>
      </c>
      <c r="D14" s="232" t="s">
        <v>67</v>
      </c>
      <c r="E14" s="272" t="s">
        <v>168</v>
      </c>
      <c r="F14" s="254" t="s">
        <v>101</v>
      </c>
      <c r="G14" s="281" t="s">
        <v>90</v>
      </c>
      <c r="H14" s="227" t="s">
        <v>169</v>
      </c>
      <c r="I14" s="10"/>
      <c r="J14" s="227">
        <v>2020</v>
      </c>
      <c r="K14" s="227"/>
      <c r="L14" s="227"/>
      <c r="M14" s="227"/>
      <c r="N14" s="10"/>
      <c r="O14" s="227">
        <v>2021</v>
      </c>
      <c r="P14" s="227"/>
      <c r="Q14" s="227"/>
      <c r="R14" s="227"/>
      <c r="T14" s="227">
        <v>2022</v>
      </c>
      <c r="U14" s="227"/>
      <c r="V14" s="227"/>
      <c r="W14" s="227"/>
      <c r="Y14" s="227">
        <v>2023</v>
      </c>
      <c r="Z14" s="227"/>
      <c r="AA14" s="227"/>
      <c r="AB14" s="227"/>
      <c r="AD14" s="228">
        <v>2024</v>
      </c>
      <c r="AE14" s="229"/>
      <c r="AF14" s="229"/>
      <c r="AG14" s="229"/>
      <c r="AI14" s="275" t="s">
        <v>102</v>
      </c>
      <c r="AJ14" s="275"/>
      <c r="AK14" s="275"/>
      <c r="AL14" s="275"/>
      <c r="AM14" s="95"/>
    </row>
    <row r="15" spans="1:40" s="11" customFormat="1" ht="16.5" customHeight="1" x14ac:dyDescent="0.25">
      <c r="A15" s="258"/>
      <c r="B15" s="233"/>
      <c r="C15" s="255"/>
      <c r="D15" s="233"/>
      <c r="E15" s="255"/>
      <c r="F15" s="255"/>
      <c r="G15" s="281"/>
      <c r="H15" s="227"/>
      <c r="I15" s="10"/>
      <c r="J15" s="227" t="s">
        <v>4</v>
      </c>
      <c r="K15" s="227"/>
      <c r="L15" s="227" t="s">
        <v>61</v>
      </c>
      <c r="M15" s="227"/>
      <c r="N15" s="10"/>
      <c r="O15" s="227" t="s">
        <v>6</v>
      </c>
      <c r="P15" s="227"/>
      <c r="Q15" s="227" t="s">
        <v>8</v>
      </c>
      <c r="R15" s="227"/>
      <c r="S15" s="10"/>
      <c r="T15" s="227" t="s">
        <v>7</v>
      </c>
      <c r="U15" s="227"/>
      <c r="V15" s="227" t="s">
        <v>8</v>
      </c>
      <c r="W15" s="227"/>
      <c r="Y15" s="227" t="s">
        <v>7</v>
      </c>
      <c r="Z15" s="227"/>
      <c r="AA15" s="227" t="s">
        <v>8</v>
      </c>
      <c r="AB15" s="227"/>
      <c r="AD15" s="227" t="s">
        <v>7</v>
      </c>
      <c r="AE15" s="227"/>
      <c r="AF15" s="227" t="s">
        <v>8</v>
      </c>
      <c r="AG15" s="227"/>
      <c r="AI15" s="272" t="s">
        <v>4</v>
      </c>
      <c r="AJ15" s="272" t="s">
        <v>66</v>
      </c>
      <c r="AK15" s="272" t="s">
        <v>8</v>
      </c>
      <c r="AL15" s="272" t="s">
        <v>5</v>
      </c>
      <c r="AM15" s="95"/>
    </row>
    <row r="16" spans="1:40" s="11" customFormat="1" ht="30" x14ac:dyDescent="0.25">
      <c r="A16" s="259"/>
      <c r="B16" s="234"/>
      <c r="C16" s="273"/>
      <c r="D16" s="234"/>
      <c r="E16" s="273"/>
      <c r="F16" s="256"/>
      <c r="G16" s="281"/>
      <c r="H16" s="227"/>
      <c r="I16" s="12"/>
      <c r="J16" s="164" t="s">
        <v>59</v>
      </c>
      <c r="K16" s="164" t="s">
        <v>60</v>
      </c>
      <c r="L16" s="183" t="s">
        <v>64</v>
      </c>
      <c r="M16" s="164" t="s">
        <v>63</v>
      </c>
      <c r="N16" s="12"/>
      <c r="O16" s="184" t="s">
        <v>59</v>
      </c>
      <c r="P16" s="164" t="s">
        <v>60</v>
      </c>
      <c r="Q16" s="183" t="s">
        <v>64</v>
      </c>
      <c r="R16" s="164" t="s">
        <v>63</v>
      </c>
      <c r="S16" s="10"/>
      <c r="T16" s="184" t="s">
        <v>59</v>
      </c>
      <c r="U16" s="164" t="s">
        <v>60</v>
      </c>
      <c r="V16" s="183" t="s">
        <v>64</v>
      </c>
      <c r="W16" s="164" t="s">
        <v>63</v>
      </c>
      <c r="Y16" s="164" t="s">
        <v>59</v>
      </c>
      <c r="Z16" s="164" t="s">
        <v>60</v>
      </c>
      <c r="AA16" s="164" t="s">
        <v>64</v>
      </c>
      <c r="AB16" s="164" t="s">
        <v>63</v>
      </c>
      <c r="AD16" s="164" t="s">
        <v>59</v>
      </c>
      <c r="AE16" s="164" t="s">
        <v>60</v>
      </c>
      <c r="AF16" s="164" t="s">
        <v>64</v>
      </c>
      <c r="AG16" s="164" t="s">
        <v>63</v>
      </c>
      <c r="AI16" s="273"/>
      <c r="AJ16" s="273"/>
      <c r="AK16" s="273"/>
      <c r="AL16" s="273"/>
      <c r="AM16" s="95"/>
      <c r="AN16" s="95"/>
    </row>
    <row r="17" spans="1:42" s="185" customFormat="1" ht="75.75" customHeight="1" x14ac:dyDescent="0.25">
      <c r="A17" s="266" t="s">
        <v>99</v>
      </c>
      <c r="B17" s="235" t="s">
        <v>100</v>
      </c>
      <c r="C17" s="235" t="s">
        <v>89</v>
      </c>
      <c r="D17" s="235" t="s">
        <v>150</v>
      </c>
      <c r="E17" s="268" t="str">
        <f>C10</f>
        <v xml:space="preserve">Aumentar el acceso a vivienda digna, espacio público y equipamientos de la población vulnerable en suelo urbano y rural </v>
      </c>
      <c r="F17" s="112" t="s">
        <v>159</v>
      </c>
      <c r="G17" s="112" t="s">
        <v>104</v>
      </c>
      <c r="H17" s="276" t="str">
        <f>C12</f>
        <v>Sistema Distrital de Cuidado</v>
      </c>
      <c r="I17" s="14"/>
      <c r="J17" s="104">
        <v>0.05</v>
      </c>
      <c r="K17" s="104">
        <v>0.05</v>
      </c>
      <c r="L17" s="122"/>
      <c r="M17" s="106"/>
      <c r="N17" s="23"/>
      <c r="O17" s="108">
        <v>0.3</v>
      </c>
      <c r="P17" s="156" t="s">
        <v>175</v>
      </c>
      <c r="Q17" s="106"/>
      <c r="R17" s="106"/>
      <c r="T17" s="186">
        <v>0.65</v>
      </c>
      <c r="U17" s="187">
        <v>0.63460000000000005</v>
      </c>
      <c r="V17" s="188"/>
      <c r="W17" s="189"/>
      <c r="X17" s="97"/>
      <c r="Y17" s="186">
        <v>0.95</v>
      </c>
      <c r="Z17" s="194">
        <v>0.6976</v>
      </c>
      <c r="AA17" s="188"/>
      <c r="AB17" s="189"/>
      <c r="AC17" s="97"/>
      <c r="AD17" s="110">
        <v>1</v>
      </c>
      <c r="AE17" s="110">
        <v>0</v>
      </c>
      <c r="AF17" s="188"/>
      <c r="AG17" s="189"/>
      <c r="AI17" s="110">
        <f>AD17</f>
        <v>1</v>
      </c>
      <c r="AJ17" s="145">
        <f>+Z17</f>
        <v>0.6976</v>
      </c>
      <c r="AK17" s="111">
        <f t="shared" ref="AK17:AL21" si="0">L17+Q17+V17+AA17+AF17</f>
        <v>0</v>
      </c>
      <c r="AL17" s="111">
        <f t="shared" si="0"/>
        <v>0</v>
      </c>
      <c r="AM17" s="103"/>
    </row>
    <row r="18" spans="1:42" ht="90" x14ac:dyDescent="0.25">
      <c r="A18" s="267"/>
      <c r="B18" s="242"/>
      <c r="C18" s="242"/>
      <c r="D18" s="242"/>
      <c r="E18" s="269"/>
      <c r="F18" s="13" t="s">
        <v>105</v>
      </c>
      <c r="G18" s="13" t="s">
        <v>170</v>
      </c>
      <c r="H18" s="277"/>
      <c r="I18" s="14"/>
      <c r="J18" s="15">
        <v>20</v>
      </c>
      <c r="K18" s="15">
        <v>20</v>
      </c>
      <c r="L18" s="123">
        <v>1562.1521029999999</v>
      </c>
      <c r="M18" s="29">
        <v>1072.7394810000001</v>
      </c>
      <c r="N18" s="23"/>
      <c r="O18" s="89">
        <v>280</v>
      </c>
      <c r="P18" s="15">
        <v>280</v>
      </c>
      <c r="Q18" s="29">
        <f>4680171442/L1</f>
        <v>4680.1714419999998</v>
      </c>
      <c r="R18" s="62">
        <f>4544842307/L1</f>
        <v>4544.8423069999999</v>
      </c>
      <c r="S18" s="185"/>
      <c r="T18" s="190">
        <v>565</v>
      </c>
      <c r="U18" s="190">
        <v>536</v>
      </c>
      <c r="V18" s="29">
        <f>4974978666/L1</f>
        <v>4974.978666</v>
      </c>
      <c r="W18" s="62">
        <f>4964166750/L1</f>
        <v>4964.1667500000003</v>
      </c>
      <c r="X18" s="97"/>
      <c r="Y18" s="89">
        <v>414</v>
      </c>
      <c r="Z18" s="190">
        <v>184</v>
      </c>
      <c r="AA18" s="222">
        <f>+ 5742080760/L1</f>
        <v>5742.0807599999998</v>
      </c>
      <c r="AB18" s="191">
        <f>3466121110/L1</f>
        <v>3466.12111</v>
      </c>
      <c r="AC18" s="97"/>
      <c r="AD18" s="89">
        <v>0</v>
      </c>
      <c r="AE18" s="89">
        <v>0</v>
      </c>
      <c r="AF18" s="29">
        <v>0</v>
      </c>
      <c r="AG18" s="191"/>
      <c r="AH18" s="185"/>
      <c r="AI18" s="89">
        <f>J18+O18+T18+Y18+AD18-29</f>
        <v>1250</v>
      </c>
      <c r="AJ18" s="89">
        <f t="shared" ref="AI18:AJ21" si="1">K18+P18+U18+Z18+AE18</f>
        <v>1020</v>
      </c>
      <c r="AK18" s="61">
        <f t="shared" si="0"/>
        <v>16959.382970999999</v>
      </c>
      <c r="AL18" s="61">
        <f t="shared" si="0"/>
        <v>14047.869648</v>
      </c>
      <c r="AM18" s="96"/>
    </row>
    <row r="19" spans="1:42" ht="75" x14ac:dyDescent="0.25">
      <c r="A19" s="267"/>
      <c r="B19" s="242"/>
      <c r="C19" s="242"/>
      <c r="D19" s="242"/>
      <c r="E19" s="269"/>
      <c r="F19" s="13" t="s">
        <v>106</v>
      </c>
      <c r="G19" s="13" t="s">
        <v>107</v>
      </c>
      <c r="H19" s="277"/>
      <c r="I19" s="14"/>
      <c r="J19" s="15">
        <v>0</v>
      </c>
      <c r="K19" s="15">
        <v>0</v>
      </c>
      <c r="L19" s="123">
        <v>0</v>
      </c>
      <c r="M19" s="29"/>
      <c r="N19" s="23"/>
      <c r="O19" s="89">
        <v>0</v>
      </c>
      <c r="P19" s="15">
        <v>0</v>
      </c>
      <c r="Q19" s="29">
        <f>1456900000/L1</f>
        <v>1456.9</v>
      </c>
      <c r="R19" s="29">
        <f>1454454730/L1</f>
        <v>1454.4547299999999</v>
      </c>
      <c r="S19" s="185"/>
      <c r="T19" s="190">
        <v>546</v>
      </c>
      <c r="U19" s="190">
        <v>546</v>
      </c>
      <c r="V19" s="29">
        <f>6858418529/L1</f>
        <v>6858.4185289999996</v>
      </c>
      <c r="W19" s="29">
        <f>6833220789/L1</f>
        <v>6833.220789</v>
      </c>
      <c r="X19" s="97"/>
      <c r="Y19" s="89">
        <v>704</v>
      </c>
      <c r="Z19" s="190">
        <v>0</v>
      </c>
      <c r="AA19" s="29">
        <f>7375072925/L1</f>
        <v>7375.0729250000004</v>
      </c>
      <c r="AB19" s="191">
        <f>3989815420/L1</f>
        <v>3989.8154199999999</v>
      </c>
      <c r="AC19" s="97"/>
      <c r="AD19" s="89">
        <v>0</v>
      </c>
      <c r="AE19" s="89">
        <v>0</v>
      </c>
      <c r="AF19" s="29">
        <v>0</v>
      </c>
      <c r="AG19" s="192"/>
      <c r="AH19" s="185"/>
      <c r="AI19" s="89">
        <f t="shared" si="1"/>
        <v>1250</v>
      </c>
      <c r="AJ19" s="89">
        <f t="shared" si="1"/>
        <v>546</v>
      </c>
      <c r="AK19" s="61">
        <f t="shared" si="0"/>
        <v>15690.391454000001</v>
      </c>
      <c r="AL19" s="61">
        <f t="shared" si="0"/>
        <v>12277.490938999999</v>
      </c>
      <c r="AM19" s="152"/>
    </row>
    <row r="20" spans="1:42" ht="49.5" customHeight="1" x14ac:dyDescent="0.25">
      <c r="A20" s="267"/>
      <c r="B20" s="242"/>
      <c r="C20" s="242"/>
      <c r="D20" s="242"/>
      <c r="E20" s="269"/>
      <c r="F20" s="13" t="s">
        <v>174</v>
      </c>
      <c r="G20" s="13" t="s">
        <v>107</v>
      </c>
      <c r="H20" s="277"/>
      <c r="I20" s="14"/>
      <c r="J20" s="15">
        <v>0</v>
      </c>
      <c r="K20" s="15">
        <v>0</v>
      </c>
      <c r="L20" s="123">
        <v>0</v>
      </c>
      <c r="M20" s="29"/>
      <c r="N20" s="23"/>
      <c r="O20" s="89">
        <v>406</v>
      </c>
      <c r="P20" s="89">
        <v>406</v>
      </c>
      <c r="Q20" s="29">
        <f>165096800/L1</f>
        <v>165.0968</v>
      </c>
      <c r="R20" s="29">
        <f>123822600/L1</f>
        <v>123.82259999999999</v>
      </c>
      <c r="S20" s="185"/>
      <c r="T20" s="190">
        <v>1647</v>
      </c>
      <c r="U20" s="190">
        <v>1647</v>
      </c>
      <c r="V20" s="29">
        <f>162794289/L1</f>
        <v>162.79428899999999</v>
      </c>
      <c r="W20" s="29">
        <f>158517729/L1</f>
        <v>158.517729</v>
      </c>
      <c r="X20" s="97"/>
      <c r="Y20" s="89">
        <v>2700</v>
      </c>
      <c r="Z20" s="190">
        <v>580</v>
      </c>
      <c r="AA20" s="29">
        <f>1900000000/L1</f>
        <v>1900</v>
      </c>
      <c r="AB20" s="191">
        <v>0</v>
      </c>
      <c r="AC20" s="97"/>
      <c r="AD20" s="89">
        <v>247</v>
      </c>
      <c r="AE20" s="89">
        <v>0</v>
      </c>
      <c r="AF20" s="29">
        <v>356.79326500000002</v>
      </c>
      <c r="AG20" s="192"/>
      <c r="AH20" s="185"/>
      <c r="AI20" s="89">
        <f t="shared" si="1"/>
        <v>5000</v>
      </c>
      <c r="AJ20" s="89">
        <f t="shared" si="1"/>
        <v>2633</v>
      </c>
      <c r="AK20" s="61">
        <f t="shared" si="0"/>
        <v>2584.684354</v>
      </c>
      <c r="AL20" s="61">
        <f t="shared" si="0"/>
        <v>282.340329</v>
      </c>
      <c r="AM20" s="153"/>
    </row>
    <row r="21" spans="1:42" ht="49.5" customHeight="1" x14ac:dyDescent="0.25">
      <c r="A21" s="267"/>
      <c r="B21" s="242"/>
      <c r="C21" s="242"/>
      <c r="D21" s="242"/>
      <c r="E21" s="269"/>
      <c r="F21" s="13" t="s">
        <v>178</v>
      </c>
      <c r="G21" s="13"/>
      <c r="H21" s="277"/>
      <c r="I21" s="14"/>
      <c r="J21" s="15"/>
      <c r="K21" s="15"/>
      <c r="L21" s="123"/>
      <c r="M21" s="29"/>
      <c r="N21" s="23"/>
      <c r="O21" s="89"/>
      <c r="P21" s="89"/>
      <c r="Q21" s="29"/>
      <c r="R21" s="29"/>
      <c r="S21" s="185"/>
      <c r="T21" s="89">
        <v>58</v>
      </c>
      <c r="U21" s="190">
        <v>58</v>
      </c>
      <c r="V21" s="29">
        <f>27483586/L1</f>
        <v>27.483585999999999</v>
      </c>
      <c r="W21" s="62">
        <f>15651770/L1</f>
        <v>15.651770000000001</v>
      </c>
      <c r="X21" s="97"/>
      <c r="Y21" s="89">
        <v>902</v>
      </c>
      <c r="Z21" s="190">
        <v>0</v>
      </c>
      <c r="AA21" s="29">
        <f>85000000/L1</f>
        <v>85</v>
      </c>
      <c r="AB21" s="191">
        <v>0</v>
      </c>
      <c r="AC21" s="97"/>
      <c r="AD21" s="89">
        <v>290</v>
      </c>
      <c r="AE21" s="89">
        <v>0</v>
      </c>
      <c r="AF21" s="29">
        <v>673.94</v>
      </c>
      <c r="AG21" s="192"/>
      <c r="AH21" s="185"/>
      <c r="AI21" s="89">
        <f t="shared" si="1"/>
        <v>1250</v>
      </c>
      <c r="AJ21" s="89">
        <f t="shared" si="1"/>
        <v>58</v>
      </c>
      <c r="AK21" s="61">
        <f t="shared" si="0"/>
        <v>786.42358600000011</v>
      </c>
      <c r="AL21" s="61">
        <f t="shared" si="0"/>
        <v>15.651770000000001</v>
      </c>
      <c r="AM21" s="153"/>
    </row>
    <row r="22" spans="1:42" s="185" customFormat="1" ht="75.75" customHeight="1" x14ac:dyDescent="0.25">
      <c r="A22" s="267"/>
      <c r="B22" s="242"/>
      <c r="C22" s="242"/>
      <c r="D22" s="242"/>
      <c r="E22" s="269"/>
      <c r="F22" s="112" t="s">
        <v>158</v>
      </c>
      <c r="G22" s="112" t="s">
        <v>108</v>
      </c>
      <c r="H22" s="277"/>
      <c r="I22" s="14"/>
      <c r="J22" s="104">
        <v>0.3</v>
      </c>
      <c r="K22" s="104">
        <v>0.3</v>
      </c>
      <c r="L22" s="122"/>
      <c r="M22" s="106"/>
      <c r="N22" s="107"/>
      <c r="O22" s="108">
        <v>0.7</v>
      </c>
      <c r="P22" s="134">
        <v>0.67200000000000004</v>
      </c>
      <c r="Q22" s="106"/>
      <c r="R22" s="106"/>
      <c r="S22" s="193"/>
      <c r="T22" s="186">
        <v>0.9</v>
      </c>
      <c r="U22" s="186">
        <v>0.9</v>
      </c>
      <c r="V22" s="188"/>
      <c r="W22" s="189"/>
      <c r="X22" s="109"/>
      <c r="Y22" s="186">
        <v>1</v>
      </c>
      <c r="Z22" s="186">
        <v>0.90900000000000003</v>
      </c>
      <c r="AA22" s="188"/>
      <c r="AB22" s="189"/>
      <c r="AC22" s="109"/>
      <c r="AD22" s="110">
        <v>1</v>
      </c>
      <c r="AE22" s="110">
        <v>0</v>
      </c>
      <c r="AF22" s="188"/>
      <c r="AG22" s="189"/>
      <c r="AH22" s="193"/>
      <c r="AI22" s="110">
        <f>AD22</f>
        <v>1</v>
      </c>
      <c r="AJ22" s="224">
        <f>Z22</f>
        <v>0.90900000000000003</v>
      </c>
      <c r="AK22" s="111">
        <f t="shared" ref="AJ22:AL23" si="2">L22+Q22+V22+AA22+AF22</f>
        <v>0</v>
      </c>
      <c r="AL22" s="111">
        <f t="shared" si="2"/>
        <v>0</v>
      </c>
      <c r="AM22" s="103"/>
    </row>
    <row r="23" spans="1:42" s="185" customFormat="1" ht="75.75" customHeight="1" x14ac:dyDescent="0.25">
      <c r="A23" s="267"/>
      <c r="B23" s="242"/>
      <c r="C23" s="242"/>
      <c r="D23" s="242"/>
      <c r="E23" s="269"/>
      <c r="F23" s="112" t="s">
        <v>158</v>
      </c>
      <c r="G23" s="112" t="s">
        <v>171</v>
      </c>
      <c r="H23" s="277"/>
      <c r="I23" s="14"/>
      <c r="J23" s="104">
        <v>1</v>
      </c>
      <c r="K23" s="104">
        <v>1</v>
      </c>
      <c r="L23" s="122"/>
      <c r="M23" s="106"/>
      <c r="N23" s="107"/>
      <c r="O23" s="110">
        <v>0</v>
      </c>
      <c r="P23" s="145">
        <v>0</v>
      </c>
      <c r="Q23" s="106"/>
      <c r="R23" s="106"/>
      <c r="S23" s="193"/>
      <c r="T23" s="186">
        <v>0</v>
      </c>
      <c r="U23" s="186">
        <v>0</v>
      </c>
      <c r="V23" s="188"/>
      <c r="W23" s="189"/>
      <c r="X23" s="109"/>
      <c r="Y23" s="186">
        <v>0</v>
      </c>
      <c r="Z23" s="186">
        <v>0</v>
      </c>
      <c r="AA23" s="188"/>
      <c r="AB23" s="189"/>
      <c r="AC23" s="109"/>
      <c r="AD23" s="110">
        <v>0</v>
      </c>
      <c r="AE23" s="110">
        <v>0</v>
      </c>
      <c r="AF23" s="188"/>
      <c r="AG23" s="189"/>
      <c r="AH23" s="193"/>
      <c r="AI23" s="110">
        <f>J23+O23+T23+Y23+AD23</f>
        <v>1</v>
      </c>
      <c r="AJ23" s="110">
        <f t="shared" si="2"/>
        <v>1</v>
      </c>
      <c r="AK23" s="111">
        <f t="shared" si="2"/>
        <v>0</v>
      </c>
      <c r="AL23" s="111">
        <f t="shared" si="2"/>
        <v>0</v>
      </c>
      <c r="AM23" s="103"/>
    </row>
    <row r="24" spans="1:42" ht="60" x14ac:dyDescent="0.25">
      <c r="A24" s="267"/>
      <c r="B24" s="242"/>
      <c r="C24" s="242"/>
      <c r="D24" s="242"/>
      <c r="E24" s="269"/>
      <c r="F24" s="13" t="s">
        <v>109</v>
      </c>
      <c r="G24" s="13" t="s">
        <v>110</v>
      </c>
      <c r="H24" s="277"/>
      <c r="I24" s="14"/>
      <c r="J24" s="15">
        <v>50</v>
      </c>
      <c r="K24" s="15">
        <v>50</v>
      </c>
      <c r="L24" s="123">
        <v>3103.2696059999998</v>
      </c>
      <c r="M24" s="29">
        <v>2913.9473720000001</v>
      </c>
      <c r="N24" s="23"/>
      <c r="O24" s="15">
        <v>250</v>
      </c>
      <c r="P24" s="15">
        <v>250</v>
      </c>
      <c r="Q24" s="62">
        <f>3932276784/L1</f>
        <v>3932.2767840000001</v>
      </c>
      <c r="R24" s="62">
        <f>3805545713/L1</f>
        <v>3805.545713</v>
      </c>
      <c r="S24" s="185"/>
      <c r="T24" s="89">
        <v>500</v>
      </c>
      <c r="U24" s="190">
        <v>500</v>
      </c>
      <c r="V24" s="29">
        <f>1940129558/L1</f>
        <v>1940.1295580000001</v>
      </c>
      <c r="W24" s="62">
        <f>1927155006/L1</f>
        <v>1927.155006</v>
      </c>
      <c r="X24" s="97"/>
      <c r="Y24" s="89">
        <v>630</v>
      </c>
      <c r="Z24" s="190">
        <v>60</v>
      </c>
      <c r="AA24" s="29">
        <f>1865571315/L1</f>
        <v>1865.5713149999999</v>
      </c>
      <c r="AB24" s="192">
        <f>1221435493/L1</f>
        <v>1221.435493</v>
      </c>
      <c r="AC24" s="97"/>
      <c r="AD24" s="89">
        <v>70</v>
      </c>
      <c r="AE24" s="89">
        <v>0</v>
      </c>
      <c r="AF24" s="29">
        <v>1810</v>
      </c>
      <c r="AG24" s="192"/>
      <c r="AH24" s="185"/>
      <c r="AI24" s="89">
        <f>J24+O24+T24+Y24+AD24</f>
        <v>1500</v>
      </c>
      <c r="AJ24" s="89">
        <f>K24+P24+U24+Z24+AE24</f>
        <v>860</v>
      </c>
      <c r="AK24" s="61">
        <f>L24+Q24+V24+AA24+AF24</f>
        <v>12651.247262999999</v>
      </c>
      <c r="AL24" s="61">
        <f>M24+R24+W24+AB24+AG24</f>
        <v>9868.083584</v>
      </c>
    </row>
    <row r="25" spans="1:42" s="185" customFormat="1" ht="75.75" customHeight="1" x14ac:dyDescent="0.25">
      <c r="A25" s="267"/>
      <c r="B25" s="242"/>
      <c r="C25" s="242"/>
      <c r="D25" s="242"/>
      <c r="E25" s="269"/>
      <c r="F25" s="112" t="s">
        <v>160</v>
      </c>
      <c r="G25" s="112" t="s">
        <v>111</v>
      </c>
      <c r="H25" s="277"/>
      <c r="I25" s="14"/>
      <c r="J25" s="104">
        <v>0.2</v>
      </c>
      <c r="K25" s="104">
        <v>0.2</v>
      </c>
      <c r="L25" s="122"/>
      <c r="M25" s="106"/>
      <c r="N25" s="107"/>
      <c r="O25" s="108">
        <v>0.45</v>
      </c>
      <c r="P25" s="157">
        <v>0.40749999999999997</v>
      </c>
      <c r="Q25" s="106"/>
      <c r="R25" s="106"/>
      <c r="S25" s="193"/>
      <c r="T25" s="186">
        <v>0.8</v>
      </c>
      <c r="U25" s="194">
        <v>0.7843</v>
      </c>
      <c r="V25" s="188"/>
      <c r="W25" s="189"/>
      <c r="X25" s="109"/>
      <c r="Y25" s="186">
        <v>1</v>
      </c>
      <c r="Z25" s="194">
        <v>0.82969999999999999</v>
      </c>
      <c r="AA25" s="29"/>
      <c r="AB25" s="189"/>
      <c r="AC25" s="109"/>
      <c r="AD25" s="110">
        <v>1</v>
      </c>
      <c r="AE25" s="110">
        <v>0</v>
      </c>
      <c r="AF25" s="29"/>
      <c r="AG25" s="189"/>
      <c r="AH25" s="193"/>
      <c r="AI25" s="110">
        <f>+AD25</f>
        <v>1</v>
      </c>
      <c r="AJ25" s="145">
        <f>+Z25</f>
        <v>0.82969999999999999</v>
      </c>
      <c r="AK25" s="111">
        <f>L25+Q25+V25+AA25+AF25</f>
        <v>0</v>
      </c>
      <c r="AL25" s="111">
        <f>M25+R25+W25+AB25+AG25</f>
        <v>0</v>
      </c>
      <c r="AM25" s="103"/>
    </row>
    <row r="26" spans="1:42" s="185" customFormat="1" ht="75" x14ac:dyDescent="0.25">
      <c r="A26" s="267"/>
      <c r="B26" s="236"/>
      <c r="C26" s="236"/>
      <c r="D26" s="236"/>
      <c r="E26" s="283"/>
      <c r="F26" s="13" t="s">
        <v>112</v>
      </c>
      <c r="G26" s="13" t="s">
        <v>111</v>
      </c>
      <c r="H26" s="277"/>
      <c r="I26" s="14"/>
      <c r="J26" s="26">
        <v>0.2</v>
      </c>
      <c r="K26" s="99">
        <v>0.2</v>
      </c>
      <c r="L26" s="123">
        <f>80000000/L1</f>
        <v>80</v>
      </c>
      <c r="M26" s="29">
        <v>37.799999999999997</v>
      </c>
      <c r="N26" s="23"/>
      <c r="O26" s="26">
        <v>0.45</v>
      </c>
      <c r="P26" s="147">
        <v>0.40749999999999997</v>
      </c>
      <c r="Q26" s="29">
        <f>2986400000/L1</f>
        <v>2986.4</v>
      </c>
      <c r="R26" s="29">
        <f>2978800000/L1</f>
        <v>2978.8</v>
      </c>
      <c r="T26" s="195">
        <v>0.8</v>
      </c>
      <c r="U26" s="196">
        <v>0.7843</v>
      </c>
      <c r="V26" s="29">
        <f>836195372/L1</f>
        <v>836.19537200000002</v>
      </c>
      <c r="W26" s="62">
        <f>832393880/L1</f>
        <v>832.39387999999997</v>
      </c>
      <c r="X26" s="97"/>
      <c r="Y26" s="195">
        <v>1</v>
      </c>
      <c r="Z26" s="196">
        <f>+Z25</f>
        <v>0.82969999999999999</v>
      </c>
      <c r="AA26" s="29">
        <f>3835275000/L1</f>
        <v>3835.2750000000001</v>
      </c>
      <c r="AB26" s="191">
        <f>2690525000/L1</f>
        <v>2690.5250000000001</v>
      </c>
      <c r="AC26" s="97"/>
      <c r="AD26" s="99">
        <v>1</v>
      </c>
      <c r="AE26" s="99">
        <v>0</v>
      </c>
      <c r="AF26" s="29">
        <v>0</v>
      </c>
      <c r="AG26" s="191"/>
      <c r="AI26" s="99">
        <f>AD26</f>
        <v>1</v>
      </c>
      <c r="AJ26" s="120">
        <f>+Z26</f>
        <v>0.82969999999999999</v>
      </c>
      <c r="AK26" s="61">
        <f>L26+Q26+V26+AA26+AF26</f>
        <v>7737.8703720000003</v>
      </c>
      <c r="AL26" s="61">
        <f>M26+R26+W26+AB26+AG26</f>
        <v>6539.5188800000005</v>
      </c>
      <c r="AM26" s="103"/>
    </row>
    <row r="27" spans="1:42" s="6" customFormat="1" ht="15.75" x14ac:dyDescent="0.25">
      <c r="A27" s="197"/>
      <c r="B27" s="166" t="s">
        <v>103</v>
      </c>
      <c r="C27" s="166"/>
      <c r="D27" s="166"/>
      <c r="E27" s="166"/>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20803.000000000004</v>
      </c>
      <c r="AB27" s="42">
        <f>SUM(AB17:AB26)</f>
        <v>11367.897023</v>
      </c>
      <c r="AC27" s="100"/>
      <c r="AD27" s="41"/>
      <c r="AE27" s="42"/>
      <c r="AF27" s="42">
        <f>SUM(AF17:AF26)</f>
        <v>2840.7332649999998</v>
      </c>
      <c r="AG27" s="42">
        <f>SUM(AG17:AG26)</f>
        <v>0</v>
      </c>
      <c r="AI27" s="93"/>
      <c r="AJ27" s="93"/>
      <c r="AK27" s="63">
        <f>SUM(AK17:AK26)</f>
        <v>56409.999999999993</v>
      </c>
      <c r="AL27" s="63">
        <f>SUM(AL17:AL26)</f>
        <v>43030.955150000002</v>
      </c>
      <c r="AM27" s="223">
        <f>+M27+R27+W27+AB27+AG27-AL27</f>
        <v>0</v>
      </c>
      <c r="AN27" s="25"/>
      <c r="AO27" s="162"/>
      <c r="AP27" s="162"/>
    </row>
    <row r="28" spans="1:42" s="171" customFormat="1" ht="12.75" x14ac:dyDescent="0.2">
      <c r="A28" s="174"/>
      <c r="B28" s="175"/>
      <c r="C28" s="175"/>
      <c r="D28" s="175"/>
      <c r="E28" s="175"/>
      <c r="F28" s="175"/>
      <c r="G28" s="175"/>
      <c r="H28" s="175"/>
      <c r="I28" s="176"/>
      <c r="J28" s="174"/>
      <c r="K28" s="176"/>
      <c r="L28" s="177"/>
      <c r="M28" s="176"/>
      <c r="N28" s="176"/>
      <c r="O28" s="176"/>
      <c r="P28" s="176"/>
      <c r="Q28" s="176"/>
      <c r="R28" s="176"/>
      <c r="T28" s="178"/>
      <c r="U28" s="178"/>
      <c r="V28" s="178"/>
      <c r="W28" s="178"/>
      <c r="Y28" s="178"/>
      <c r="Z28" s="178"/>
      <c r="AA28" s="178"/>
      <c r="AB28" s="178"/>
      <c r="AD28" s="176"/>
      <c r="AE28" s="176"/>
      <c r="AF28" s="178"/>
      <c r="AG28" s="178"/>
      <c r="AI28" s="179"/>
      <c r="AJ28" s="179"/>
      <c r="AK28" s="179"/>
      <c r="AL28" s="180"/>
      <c r="AM28" s="170"/>
    </row>
    <row r="29" spans="1:42" s="173" customFormat="1" ht="15.75" customHeight="1" x14ac:dyDescent="0.2">
      <c r="A29" s="278"/>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172"/>
    </row>
    <row r="30" spans="1:42" s="171" customFormat="1" ht="12.75" x14ac:dyDescent="0.2">
      <c r="A30" s="174"/>
      <c r="B30" s="175"/>
      <c r="C30" s="175"/>
      <c r="D30" s="175"/>
      <c r="E30" s="175"/>
      <c r="F30" s="175"/>
      <c r="G30" s="175"/>
      <c r="H30" s="175"/>
      <c r="I30" s="176"/>
      <c r="J30" s="174"/>
      <c r="K30" s="176"/>
      <c r="L30" s="177"/>
      <c r="M30" s="176"/>
      <c r="N30" s="176"/>
      <c r="O30" s="176"/>
      <c r="P30" s="176"/>
      <c r="Q30" s="176"/>
      <c r="R30" s="176"/>
      <c r="T30" s="178"/>
      <c r="U30" s="178"/>
      <c r="V30" s="178"/>
      <c r="W30" s="178"/>
      <c r="Y30" s="178"/>
      <c r="Z30" s="178"/>
      <c r="AA30" s="178"/>
      <c r="AB30" s="178"/>
      <c r="AD30" s="176"/>
      <c r="AE30" s="176"/>
      <c r="AF30" s="178"/>
      <c r="AG30" s="178"/>
      <c r="AI30" s="179"/>
      <c r="AJ30" s="179"/>
      <c r="AK30" s="179"/>
      <c r="AL30" s="180"/>
      <c r="AM30" s="170"/>
    </row>
    <row r="31" spans="1:42" x14ac:dyDescent="0.25">
      <c r="A31" s="114">
        <v>1</v>
      </c>
      <c r="B31" s="101" t="s">
        <v>94</v>
      </c>
      <c r="C31" s="274" t="s">
        <v>113</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row>
    <row r="32" spans="1:42" x14ac:dyDescent="0.25">
      <c r="A32" s="113">
        <v>8</v>
      </c>
      <c r="B32" s="6" t="s">
        <v>156</v>
      </c>
      <c r="C32" s="274" t="s">
        <v>157</v>
      </c>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row>
    <row r="33" spans="1:43" x14ac:dyDescent="0.25">
      <c r="A33" s="113">
        <v>19</v>
      </c>
      <c r="B33" s="6" t="s">
        <v>95</v>
      </c>
      <c r="C33" s="274" t="s">
        <v>155</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row>
    <row r="34" spans="1:43" ht="30" x14ac:dyDescent="0.25">
      <c r="A34" s="113">
        <v>3</v>
      </c>
      <c r="B34" s="102" t="s">
        <v>98</v>
      </c>
      <c r="C34" s="274" t="s">
        <v>114</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row>
    <row r="35" spans="1:43" x14ac:dyDescent="0.25">
      <c r="F35" s="169"/>
      <c r="G35" s="169"/>
      <c r="H35" s="169"/>
      <c r="I35" s="50"/>
      <c r="J35" s="181"/>
      <c r="K35" s="169"/>
      <c r="L35" s="182"/>
      <c r="M35" s="169"/>
      <c r="N35" s="50"/>
      <c r="O35" s="169"/>
      <c r="P35" s="169"/>
      <c r="Q35" s="169"/>
      <c r="R35" s="169"/>
      <c r="T35" s="169"/>
      <c r="U35" s="169"/>
      <c r="V35" s="198"/>
      <c r="W35" s="198"/>
      <c r="Y35" s="169"/>
      <c r="Z35" s="169"/>
      <c r="AA35" s="198"/>
      <c r="AB35" s="198"/>
      <c r="AC35" s="185"/>
      <c r="AD35" s="199"/>
      <c r="AE35" s="199"/>
      <c r="AF35" s="198"/>
      <c r="AG35" s="198"/>
      <c r="AI35" s="92"/>
      <c r="AJ35" s="92"/>
      <c r="AK35" s="94"/>
    </row>
    <row r="36" spans="1:43" s="11" customFormat="1" ht="27" customHeight="1" x14ac:dyDescent="0.25">
      <c r="A36" s="257" t="s">
        <v>2</v>
      </c>
      <c r="B36" s="232" t="s">
        <v>3</v>
      </c>
      <c r="C36" s="272" t="s">
        <v>87</v>
      </c>
      <c r="D36" s="232" t="s">
        <v>67</v>
      </c>
      <c r="E36" s="272" t="s">
        <v>168</v>
      </c>
      <c r="F36" s="254" t="s">
        <v>101</v>
      </c>
      <c r="G36" s="281" t="s">
        <v>90</v>
      </c>
      <c r="H36" s="227" t="s">
        <v>169</v>
      </c>
      <c r="I36" s="10"/>
      <c r="J36" s="227">
        <v>2020</v>
      </c>
      <c r="K36" s="227"/>
      <c r="L36" s="227"/>
      <c r="M36" s="227"/>
      <c r="N36" s="10"/>
      <c r="O36" s="227">
        <v>2021</v>
      </c>
      <c r="P36" s="227"/>
      <c r="Q36" s="227"/>
      <c r="R36" s="227"/>
      <c r="T36" s="227">
        <v>2022</v>
      </c>
      <c r="U36" s="227"/>
      <c r="V36" s="227"/>
      <c r="W36" s="227"/>
      <c r="Y36" s="227">
        <v>2023</v>
      </c>
      <c r="Z36" s="227"/>
      <c r="AA36" s="227"/>
      <c r="AB36" s="227"/>
      <c r="AD36" s="228">
        <v>2024</v>
      </c>
      <c r="AE36" s="229"/>
      <c r="AF36" s="229"/>
      <c r="AG36" s="229"/>
      <c r="AI36" s="275" t="s">
        <v>102</v>
      </c>
      <c r="AJ36" s="275"/>
      <c r="AK36" s="275"/>
      <c r="AL36" s="275"/>
      <c r="AM36" s="95"/>
    </row>
    <row r="37" spans="1:43" s="11" customFormat="1" ht="16.5" customHeight="1" x14ac:dyDescent="0.25">
      <c r="A37" s="258"/>
      <c r="B37" s="233"/>
      <c r="C37" s="255"/>
      <c r="D37" s="233"/>
      <c r="E37" s="255"/>
      <c r="F37" s="255"/>
      <c r="G37" s="281"/>
      <c r="H37" s="227"/>
      <c r="I37" s="10"/>
      <c r="J37" s="227" t="s">
        <v>4</v>
      </c>
      <c r="K37" s="227"/>
      <c r="L37" s="227" t="s">
        <v>61</v>
      </c>
      <c r="M37" s="227"/>
      <c r="N37" s="10"/>
      <c r="O37" s="227" t="s">
        <v>6</v>
      </c>
      <c r="P37" s="227"/>
      <c r="Q37" s="227" t="s">
        <v>8</v>
      </c>
      <c r="R37" s="227"/>
      <c r="S37" s="10"/>
      <c r="T37" s="227" t="s">
        <v>7</v>
      </c>
      <c r="U37" s="227"/>
      <c r="V37" s="227" t="s">
        <v>8</v>
      </c>
      <c r="W37" s="227"/>
      <c r="Y37" s="227" t="s">
        <v>7</v>
      </c>
      <c r="Z37" s="227"/>
      <c r="AA37" s="227" t="s">
        <v>8</v>
      </c>
      <c r="AB37" s="227"/>
      <c r="AD37" s="227" t="s">
        <v>7</v>
      </c>
      <c r="AE37" s="227"/>
      <c r="AF37" s="227" t="s">
        <v>8</v>
      </c>
      <c r="AG37" s="227"/>
      <c r="AI37" s="272" t="s">
        <v>4</v>
      </c>
      <c r="AJ37" s="272" t="s">
        <v>66</v>
      </c>
      <c r="AK37" s="272" t="s">
        <v>8</v>
      </c>
      <c r="AL37" s="272" t="s">
        <v>5</v>
      </c>
      <c r="AM37" s="95"/>
    </row>
    <row r="38" spans="1:43" s="11" customFormat="1" ht="30" x14ac:dyDescent="0.25">
      <c r="A38" s="259"/>
      <c r="B38" s="234"/>
      <c r="C38" s="273"/>
      <c r="D38" s="234"/>
      <c r="E38" s="273"/>
      <c r="F38" s="256"/>
      <c r="G38" s="281"/>
      <c r="H38" s="227"/>
      <c r="I38" s="12"/>
      <c r="J38" s="164" t="s">
        <v>59</v>
      </c>
      <c r="K38" s="164" t="s">
        <v>60</v>
      </c>
      <c r="L38" s="183" t="s">
        <v>64</v>
      </c>
      <c r="M38" s="164" t="s">
        <v>63</v>
      </c>
      <c r="N38" s="12"/>
      <c r="O38" s="184" t="s">
        <v>59</v>
      </c>
      <c r="P38" s="164" t="s">
        <v>60</v>
      </c>
      <c r="Q38" s="184" t="s">
        <v>62</v>
      </c>
      <c r="R38" s="164" t="s">
        <v>63</v>
      </c>
      <c r="S38" s="10"/>
      <c r="T38" s="184" t="s">
        <v>59</v>
      </c>
      <c r="U38" s="164" t="s">
        <v>60</v>
      </c>
      <c r="V38" s="164" t="s">
        <v>62</v>
      </c>
      <c r="W38" s="164" t="s">
        <v>63</v>
      </c>
      <c r="Y38" s="164" t="s">
        <v>59</v>
      </c>
      <c r="Z38" s="164" t="s">
        <v>60</v>
      </c>
      <c r="AA38" s="164" t="s">
        <v>64</v>
      </c>
      <c r="AB38" s="164" t="s">
        <v>63</v>
      </c>
      <c r="AD38" s="164" t="s">
        <v>59</v>
      </c>
      <c r="AE38" s="164" t="s">
        <v>60</v>
      </c>
      <c r="AF38" s="164" t="s">
        <v>64</v>
      </c>
      <c r="AG38" s="164" t="s">
        <v>63</v>
      </c>
      <c r="AI38" s="273"/>
      <c r="AJ38" s="273"/>
      <c r="AK38" s="273"/>
      <c r="AL38" s="273"/>
      <c r="AM38" s="95"/>
    </row>
    <row r="39" spans="1:43" ht="75.75" customHeight="1" x14ac:dyDescent="0.25">
      <c r="A39" s="266" t="s">
        <v>115</v>
      </c>
      <c r="B39" s="235" t="s">
        <v>116</v>
      </c>
      <c r="C39" s="235" t="s">
        <v>117</v>
      </c>
      <c r="D39" s="235" t="s">
        <v>151</v>
      </c>
      <c r="E39" s="235" t="str">
        <f>C32</f>
        <v xml:space="preserve">Aumentar el acceso a vivienda digna, espacio público y equipamientos de la población vulnerable en suelo urbano y rural </v>
      </c>
      <c r="F39" s="112" t="s">
        <v>187</v>
      </c>
      <c r="G39" s="112" t="s">
        <v>91</v>
      </c>
      <c r="H39" s="276" t="str">
        <f>C34</f>
        <v>Sistema Distrital de cuidado</v>
      </c>
      <c r="I39" s="14"/>
      <c r="J39" s="105">
        <v>433</v>
      </c>
      <c r="K39" s="105">
        <v>433</v>
      </c>
      <c r="L39" s="122"/>
      <c r="M39" s="106"/>
      <c r="N39" s="107"/>
      <c r="O39" s="116">
        <v>1005</v>
      </c>
      <c r="P39" s="116">
        <v>1005</v>
      </c>
      <c r="Q39" s="106"/>
      <c r="R39" s="106"/>
      <c r="S39" s="193"/>
      <c r="T39" s="201">
        <v>907</v>
      </c>
      <c r="U39" s="201">
        <v>907</v>
      </c>
      <c r="V39" s="188"/>
      <c r="W39" s="189"/>
      <c r="X39" s="109"/>
      <c r="Y39" s="201">
        <v>1500</v>
      </c>
      <c r="Z39" s="201">
        <v>270</v>
      </c>
      <c r="AA39" s="188"/>
      <c r="AB39" s="189"/>
      <c r="AC39" s="109"/>
      <c r="AD39" s="89">
        <v>55</v>
      </c>
      <c r="AE39" s="117">
        <v>0</v>
      </c>
      <c r="AF39" s="188"/>
      <c r="AG39" s="189"/>
      <c r="AH39" s="193"/>
      <c r="AI39" s="117">
        <f t="shared" ref="AI39:AL42" si="3">J39+O39+T39+Y39+AD39</f>
        <v>3900</v>
      </c>
      <c r="AJ39" s="117">
        <f t="shared" si="3"/>
        <v>2615</v>
      </c>
      <c r="AK39" s="111">
        <f t="shared" si="3"/>
        <v>0</v>
      </c>
      <c r="AL39" s="111">
        <f t="shared" si="3"/>
        <v>0</v>
      </c>
      <c r="AM39" s="96"/>
    </row>
    <row r="40" spans="1:43" ht="75.75" customHeight="1" x14ac:dyDescent="0.25">
      <c r="A40" s="267"/>
      <c r="B40" s="242"/>
      <c r="C40" s="242"/>
      <c r="D40" s="242"/>
      <c r="E40" s="242"/>
      <c r="F40" s="13" t="s">
        <v>186</v>
      </c>
      <c r="G40" s="13" t="s">
        <v>91</v>
      </c>
      <c r="H40" s="277"/>
      <c r="I40" s="14"/>
      <c r="J40" s="98">
        <v>433</v>
      </c>
      <c r="K40" s="98">
        <v>433</v>
      </c>
      <c r="L40" s="125">
        <v>2485.9104860000002</v>
      </c>
      <c r="M40" s="29">
        <v>2462.6375039999998</v>
      </c>
      <c r="N40" s="23"/>
      <c r="O40" s="15">
        <v>1005</v>
      </c>
      <c r="P40" s="15">
        <v>1005</v>
      </c>
      <c r="Q40" s="62">
        <f>3174460251/L1</f>
        <v>3174.460251</v>
      </c>
      <c r="R40" s="29">
        <f>3173790307/L1</f>
        <v>3173.7903070000002</v>
      </c>
      <c r="S40" s="185"/>
      <c r="T40" s="200">
        <v>907</v>
      </c>
      <c r="U40" s="190">
        <v>907</v>
      </c>
      <c r="V40" s="62">
        <f>2789780428/L1</f>
        <v>2789.780428</v>
      </c>
      <c r="W40" s="62">
        <f>2722403328/L1</f>
        <v>2722.4033279999999</v>
      </c>
      <c r="X40" s="97"/>
      <c r="Y40" s="200">
        <v>1500</v>
      </c>
      <c r="Z40" s="190">
        <v>270</v>
      </c>
      <c r="AA40" s="62">
        <f>2134306807/L1</f>
        <v>2134.3068069999999</v>
      </c>
      <c r="AB40" s="205">
        <f>672252160/L1</f>
        <v>672.25216</v>
      </c>
      <c r="AC40" s="97"/>
      <c r="AD40" s="89">
        <v>55</v>
      </c>
      <c r="AE40" s="89">
        <v>0</v>
      </c>
      <c r="AF40" s="62">
        <f>1858657000/L1</f>
        <v>1858.6569999999999</v>
      </c>
      <c r="AG40" s="191"/>
      <c r="AH40" s="185"/>
      <c r="AI40" s="89">
        <f t="shared" si="3"/>
        <v>3900</v>
      </c>
      <c r="AJ40" s="89">
        <f t="shared" si="3"/>
        <v>2615</v>
      </c>
      <c r="AK40" s="62">
        <f t="shared" si="3"/>
        <v>12443.114971999999</v>
      </c>
      <c r="AL40" s="61">
        <f t="shared" si="3"/>
        <v>9031.0832989999999</v>
      </c>
      <c r="AM40" s="96"/>
      <c r="AN40" s="202"/>
    </row>
    <row r="41" spans="1:43" ht="43.5" customHeight="1" x14ac:dyDescent="0.25">
      <c r="A41" s="267"/>
      <c r="B41" s="242"/>
      <c r="C41" s="242"/>
      <c r="D41" s="242"/>
      <c r="E41" s="242"/>
      <c r="F41" s="13" t="s">
        <v>120</v>
      </c>
      <c r="G41" s="13" t="s">
        <v>121</v>
      </c>
      <c r="H41" s="277"/>
      <c r="I41" s="14"/>
      <c r="J41" s="15">
        <v>1</v>
      </c>
      <c r="K41" s="15">
        <v>1</v>
      </c>
      <c r="L41" s="123">
        <v>3933.2635260000002</v>
      </c>
      <c r="M41" s="29">
        <v>3919.824286</v>
      </c>
      <c r="N41" s="23"/>
      <c r="O41" s="19">
        <v>0.35</v>
      </c>
      <c r="P41" s="151">
        <v>0.35</v>
      </c>
      <c r="Q41" s="62">
        <f>785812430/L1</f>
        <v>785.81242999999995</v>
      </c>
      <c r="R41" s="29">
        <f>783562430/L1</f>
        <v>783.56242999999995</v>
      </c>
      <c r="S41" s="185"/>
      <c r="T41" s="203">
        <v>0.25</v>
      </c>
      <c r="U41" s="204">
        <v>0.25</v>
      </c>
      <c r="V41" s="62">
        <f>780581888/L1</f>
        <v>780.58188800000005</v>
      </c>
      <c r="W41" s="62">
        <f>664949494/L1</f>
        <v>664.94949399999996</v>
      </c>
      <c r="X41" s="97"/>
      <c r="Y41" s="203">
        <v>0.27</v>
      </c>
      <c r="Z41" s="221">
        <v>0.12</v>
      </c>
      <c r="AA41" s="62">
        <f>798636500/L1</f>
        <v>798.63649999999996</v>
      </c>
      <c r="AB41" s="62">
        <f>357583080/L1</f>
        <v>357.58308</v>
      </c>
      <c r="AC41" s="97"/>
      <c r="AD41" s="89">
        <v>0.13</v>
      </c>
      <c r="AE41" s="89">
        <v>0</v>
      </c>
      <c r="AF41" s="62">
        <v>0</v>
      </c>
      <c r="AG41" s="205"/>
      <c r="AH41" s="185"/>
      <c r="AI41" s="89">
        <f>J41+O41+T41+Y41+AD41</f>
        <v>2</v>
      </c>
      <c r="AJ41" s="151">
        <f t="shared" si="3"/>
        <v>1.7200000000000002</v>
      </c>
      <c r="AK41" s="62">
        <f>L41+Q41+V41+AA41+AF41</f>
        <v>6298.2943439999999</v>
      </c>
      <c r="AL41" s="61">
        <f t="shared" si="3"/>
        <v>5725.9192899999998</v>
      </c>
      <c r="AM41" s="96"/>
      <c r="AN41" s="206"/>
      <c r="AO41" s="207"/>
    </row>
    <row r="42" spans="1:43" ht="39.75" customHeight="1" x14ac:dyDescent="0.25">
      <c r="A42" s="267"/>
      <c r="B42" s="242"/>
      <c r="C42" s="242"/>
      <c r="D42" s="242"/>
      <c r="E42" s="242"/>
      <c r="F42" s="13" t="s">
        <v>118</v>
      </c>
      <c r="G42" s="13" t="s">
        <v>119</v>
      </c>
      <c r="H42" s="277"/>
      <c r="I42" s="14"/>
      <c r="J42" s="15">
        <v>1</v>
      </c>
      <c r="K42" s="15">
        <v>1</v>
      </c>
      <c r="L42" s="130">
        <v>1.1481950000000001</v>
      </c>
      <c r="M42" s="131">
        <v>1.1481950000000001</v>
      </c>
      <c r="N42" s="23"/>
      <c r="O42" s="15">
        <v>1</v>
      </c>
      <c r="P42" s="15">
        <v>1</v>
      </c>
      <c r="Q42" s="62">
        <f>704512319/L1</f>
        <v>704.51231900000005</v>
      </c>
      <c r="R42" s="29">
        <f>700993442/L1</f>
        <v>700.99344199999996</v>
      </c>
      <c r="S42" s="185"/>
      <c r="T42" s="203" t="s">
        <v>182</v>
      </c>
      <c r="U42" s="204">
        <v>0.7</v>
      </c>
      <c r="V42" s="62">
        <f>544580000/L1</f>
        <v>544.58000000000004</v>
      </c>
      <c r="W42" s="62">
        <f>544580000/L1</f>
        <v>544.58000000000004</v>
      </c>
      <c r="X42" s="97"/>
      <c r="Y42" s="190" t="s">
        <v>181</v>
      </c>
      <c r="Z42" s="221">
        <v>0.65</v>
      </c>
      <c r="AA42" s="62">
        <f>143025000/L1</f>
        <v>143.02500000000001</v>
      </c>
      <c r="AB42" s="192">
        <v>0</v>
      </c>
      <c r="AC42" s="97"/>
      <c r="AD42" s="89">
        <v>0</v>
      </c>
      <c r="AE42" s="89">
        <v>0</v>
      </c>
      <c r="AF42" s="62">
        <v>0</v>
      </c>
      <c r="AG42" s="192"/>
      <c r="AH42" s="185"/>
      <c r="AI42" s="163">
        <v>4</v>
      </c>
      <c r="AJ42" s="151">
        <f t="shared" si="3"/>
        <v>3.35</v>
      </c>
      <c r="AK42" s="62">
        <f t="shared" si="3"/>
        <v>1393.2655140000002</v>
      </c>
      <c r="AL42" s="61">
        <f>M42+R42+W42+AB42+AG42</f>
        <v>1246.7216370000001</v>
      </c>
      <c r="AM42" s="152"/>
    </row>
    <row r="43" spans="1:43" ht="61.5" customHeight="1" x14ac:dyDescent="0.25">
      <c r="A43" s="208"/>
      <c r="B43" s="236"/>
      <c r="C43" s="236"/>
      <c r="D43" s="236"/>
      <c r="E43" s="236"/>
      <c r="F43" s="13" t="s">
        <v>185</v>
      </c>
      <c r="G43" s="159" t="s">
        <v>177</v>
      </c>
      <c r="H43" s="168"/>
      <c r="I43" s="14"/>
      <c r="J43" s="15">
        <v>0</v>
      </c>
      <c r="K43" s="15">
        <v>0</v>
      </c>
      <c r="L43" s="130"/>
      <c r="M43" s="131"/>
      <c r="N43" s="23"/>
      <c r="O43" s="15">
        <v>0</v>
      </c>
      <c r="P43" s="15">
        <v>0</v>
      </c>
      <c r="Q43" s="62"/>
      <c r="R43" s="29"/>
      <c r="S43" s="185"/>
      <c r="T43" s="195">
        <v>1</v>
      </c>
      <c r="U43" s="195">
        <v>0.95</v>
      </c>
      <c r="V43" s="62">
        <f>4835058684/L1</f>
        <v>4835.0586839999996</v>
      </c>
      <c r="W43" s="62">
        <f>4774833286/L1</f>
        <v>4774.833286</v>
      </c>
      <c r="X43" s="97"/>
      <c r="Y43" s="195">
        <v>1</v>
      </c>
      <c r="Z43" s="219">
        <v>0.44</v>
      </c>
      <c r="AA43" s="62">
        <f>745891693/L1</f>
        <v>745.89169300000003</v>
      </c>
      <c r="AB43" s="192">
        <f>143539840/L1</f>
        <v>143.53984</v>
      </c>
      <c r="AC43" s="97"/>
      <c r="AD43" s="195">
        <v>1</v>
      </c>
      <c r="AE43" s="89">
        <v>0</v>
      </c>
      <c r="AF43" s="62">
        <f>2160000000/L1</f>
        <v>2160</v>
      </c>
      <c r="AG43" s="192"/>
      <c r="AH43" s="185"/>
      <c r="AI43" s="99">
        <f>AD43</f>
        <v>1</v>
      </c>
      <c r="AJ43" s="120">
        <f>(+Z43+U43)/2</f>
        <v>0.69499999999999995</v>
      </c>
      <c r="AK43" s="62">
        <f>L43+Q43+V43+AA43+AF43</f>
        <v>7740.9503769999992</v>
      </c>
      <c r="AL43" s="61">
        <f>M43+R43+W43+AB43+AG43</f>
        <v>4918.3731260000004</v>
      </c>
      <c r="AM43" s="152"/>
    </row>
    <row r="44" spans="1:43" s="6" customFormat="1" ht="15.75" x14ac:dyDescent="0.25">
      <c r="A44" s="197"/>
      <c r="B44" s="166" t="s">
        <v>103</v>
      </c>
      <c r="C44" s="166"/>
      <c r="D44" s="166"/>
      <c r="E44" s="166"/>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3821.86</v>
      </c>
      <c r="AB44" s="124">
        <f>SUM(AB39:AB43)</f>
        <v>1173.3750799999998</v>
      </c>
      <c r="AC44" s="100"/>
      <c r="AD44" s="41"/>
      <c r="AE44" s="42"/>
      <c r="AF44" s="124">
        <f>SUM(AF39:AF43)</f>
        <v>4018.6570000000002</v>
      </c>
      <c r="AG44" s="124">
        <f>SUM(AG39:AG43)</f>
        <v>0</v>
      </c>
      <c r="AI44" s="93"/>
      <c r="AJ44" s="93"/>
      <c r="AK44" s="124">
        <f>SUM(AK39:AK43)</f>
        <v>27875.625206999997</v>
      </c>
      <c r="AL44" s="124">
        <f>SUM(AL39:AL43)</f>
        <v>20922.097352000001</v>
      </c>
      <c r="AM44" s="223">
        <f>+M44+R44+W44+AB44+AG44-AL44</f>
        <v>0</v>
      </c>
      <c r="AN44" s="25"/>
      <c r="AO44" s="162"/>
      <c r="AP44" s="162"/>
      <c r="AQ44" s="95"/>
    </row>
    <row r="45" spans="1:43" x14ac:dyDescent="0.25">
      <c r="AN45" s="206"/>
    </row>
    <row r="46" spans="1:43" s="173" customFormat="1" ht="15.75" customHeight="1" x14ac:dyDescent="0.2">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172"/>
    </row>
    <row r="47" spans="1:43" s="171" customFormat="1" ht="12.75" x14ac:dyDescent="0.2">
      <c r="A47" s="174"/>
      <c r="B47" s="175"/>
      <c r="C47" s="175"/>
      <c r="D47" s="175"/>
      <c r="E47" s="175"/>
      <c r="F47" s="175"/>
      <c r="G47" s="175"/>
      <c r="H47" s="175"/>
      <c r="I47" s="176"/>
      <c r="J47" s="174"/>
      <c r="K47" s="176"/>
      <c r="L47" s="177"/>
      <c r="M47" s="176"/>
      <c r="N47" s="176"/>
      <c r="O47" s="176"/>
      <c r="P47" s="176"/>
      <c r="Q47" s="176"/>
      <c r="R47" s="176"/>
      <c r="T47" s="178"/>
      <c r="U47" s="178"/>
      <c r="V47" s="178"/>
      <c r="W47" s="178"/>
      <c r="Y47" s="178"/>
      <c r="Z47" s="178"/>
      <c r="AA47" s="178"/>
      <c r="AB47" s="178"/>
      <c r="AD47" s="176"/>
      <c r="AE47" s="176"/>
      <c r="AF47" s="178"/>
      <c r="AG47" s="178"/>
      <c r="AI47" s="179"/>
      <c r="AJ47" s="179"/>
      <c r="AK47" s="179"/>
      <c r="AL47" s="180"/>
      <c r="AM47" s="170"/>
    </row>
    <row r="48" spans="1:43" x14ac:dyDescent="0.25">
      <c r="A48" s="114">
        <v>2</v>
      </c>
      <c r="B48" s="101" t="s">
        <v>94</v>
      </c>
      <c r="C48" s="274" t="s">
        <v>161</v>
      </c>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row>
    <row r="49" spans="1:41" ht="15.75" x14ac:dyDescent="0.25">
      <c r="A49" s="113">
        <v>15</v>
      </c>
      <c r="B49" s="6" t="s">
        <v>156</v>
      </c>
      <c r="C49" s="282" t="s">
        <v>162</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row>
    <row r="50" spans="1:41" x14ac:dyDescent="0.25">
      <c r="A50" s="113">
        <v>29</v>
      </c>
      <c r="B50" s="6" t="s">
        <v>95</v>
      </c>
      <c r="C50" s="274" t="s">
        <v>163</v>
      </c>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row>
    <row r="51" spans="1:41" ht="30" x14ac:dyDescent="0.25">
      <c r="A51" s="113">
        <v>3</v>
      </c>
      <c r="B51" s="102" t="s">
        <v>98</v>
      </c>
      <c r="C51" s="274" t="s">
        <v>114</v>
      </c>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row>
    <row r="53" spans="1:41" s="11" customFormat="1" ht="27" customHeight="1" x14ac:dyDescent="0.25">
      <c r="A53" s="257" t="s">
        <v>2</v>
      </c>
      <c r="B53" s="232" t="s">
        <v>3</v>
      </c>
      <c r="C53" s="272" t="s">
        <v>87</v>
      </c>
      <c r="D53" s="232" t="s">
        <v>67</v>
      </c>
      <c r="E53" s="272" t="s">
        <v>168</v>
      </c>
      <c r="F53" s="254" t="s">
        <v>101</v>
      </c>
      <c r="G53" s="281" t="s">
        <v>90</v>
      </c>
      <c r="H53" s="227" t="s">
        <v>169</v>
      </c>
      <c r="I53" s="10"/>
      <c r="J53" s="227">
        <v>2020</v>
      </c>
      <c r="K53" s="227"/>
      <c r="L53" s="227"/>
      <c r="M53" s="227"/>
      <c r="N53" s="10"/>
      <c r="O53" s="227">
        <v>2021</v>
      </c>
      <c r="P53" s="227"/>
      <c r="Q53" s="227"/>
      <c r="R53" s="227"/>
      <c r="T53" s="227">
        <v>2022</v>
      </c>
      <c r="U53" s="227"/>
      <c r="V53" s="227"/>
      <c r="W53" s="227"/>
      <c r="Y53" s="227">
        <v>2023</v>
      </c>
      <c r="Z53" s="227"/>
      <c r="AA53" s="227"/>
      <c r="AB53" s="227"/>
      <c r="AD53" s="228">
        <v>2024</v>
      </c>
      <c r="AE53" s="229"/>
      <c r="AF53" s="229"/>
      <c r="AG53" s="229"/>
      <c r="AI53" s="275" t="s">
        <v>102</v>
      </c>
      <c r="AJ53" s="275"/>
      <c r="AK53" s="275"/>
      <c r="AL53" s="275"/>
      <c r="AM53" s="95"/>
    </row>
    <row r="54" spans="1:41" s="11" customFormat="1" ht="16.5" customHeight="1" x14ac:dyDescent="0.25">
      <c r="A54" s="258"/>
      <c r="B54" s="233"/>
      <c r="C54" s="255"/>
      <c r="D54" s="233"/>
      <c r="E54" s="255"/>
      <c r="F54" s="255"/>
      <c r="G54" s="281"/>
      <c r="H54" s="227"/>
      <c r="I54" s="10"/>
      <c r="J54" s="227" t="s">
        <v>4</v>
      </c>
      <c r="K54" s="227"/>
      <c r="L54" s="227" t="s">
        <v>61</v>
      </c>
      <c r="M54" s="227"/>
      <c r="N54" s="10"/>
      <c r="O54" s="227" t="s">
        <v>6</v>
      </c>
      <c r="P54" s="227"/>
      <c r="Q54" s="227" t="s">
        <v>8</v>
      </c>
      <c r="R54" s="227"/>
      <c r="S54" s="10"/>
      <c r="T54" s="227" t="s">
        <v>7</v>
      </c>
      <c r="U54" s="227"/>
      <c r="V54" s="227" t="s">
        <v>8</v>
      </c>
      <c r="W54" s="227"/>
      <c r="Y54" s="227" t="s">
        <v>7</v>
      </c>
      <c r="Z54" s="227"/>
      <c r="AA54" s="227" t="s">
        <v>8</v>
      </c>
      <c r="AB54" s="227"/>
      <c r="AD54" s="227" t="s">
        <v>7</v>
      </c>
      <c r="AE54" s="227"/>
      <c r="AF54" s="227" t="s">
        <v>8</v>
      </c>
      <c r="AG54" s="227"/>
      <c r="AI54" s="272" t="s">
        <v>4</v>
      </c>
      <c r="AJ54" s="272" t="s">
        <v>66</v>
      </c>
      <c r="AK54" s="272" t="s">
        <v>8</v>
      </c>
      <c r="AL54" s="272" t="s">
        <v>5</v>
      </c>
      <c r="AM54" s="95"/>
    </row>
    <row r="55" spans="1:41" s="11" customFormat="1" ht="30" x14ac:dyDescent="0.25">
      <c r="A55" s="259"/>
      <c r="B55" s="234"/>
      <c r="C55" s="273"/>
      <c r="D55" s="234"/>
      <c r="E55" s="273"/>
      <c r="F55" s="256"/>
      <c r="G55" s="281"/>
      <c r="H55" s="227"/>
      <c r="I55" s="12"/>
      <c r="J55" s="164" t="s">
        <v>59</v>
      </c>
      <c r="K55" s="164" t="s">
        <v>60</v>
      </c>
      <c r="L55" s="183" t="s">
        <v>64</v>
      </c>
      <c r="M55" s="164" t="s">
        <v>63</v>
      </c>
      <c r="N55" s="12"/>
      <c r="O55" s="184" t="s">
        <v>59</v>
      </c>
      <c r="P55" s="164" t="s">
        <v>60</v>
      </c>
      <c r="Q55" s="184" t="s">
        <v>62</v>
      </c>
      <c r="R55" s="164" t="s">
        <v>63</v>
      </c>
      <c r="S55" s="10"/>
      <c r="T55" s="184" t="s">
        <v>59</v>
      </c>
      <c r="U55" s="164" t="s">
        <v>60</v>
      </c>
      <c r="V55" s="164" t="s">
        <v>62</v>
      </c>
      <c r="W55" s="164" t="s">
        <v>63</v>
      </c>
      <c r="Y55" s="164" t="s">
        <v>59</v>
      </c>
      <c r="Z55" s="164" t="s">
        <v>60</v>
      </c>
      <c r="AA55" s="164" t="s">
        <v>64</v>
      </c>
      <c r="AB55" s="164" t="s">
        <v>63</v>
      </c>
      <c r="AD55" s="164" t="s">
        <v>59</v>
      </c>
      <c r="AE55" s="164" t="s">
        <v>60</v>
      </c>
      <c r="AF55" s="164" t="s">
        <v>64</v>
      </c>
      <c r="AG55" s="164" t="s">
        <v>63</v>
      </c>
      <c r="AI55" s="273"/>
      <c r="AJ55" s="273"/>
      <c r="AK55" s="273"/>
      <c r="AL55" s="273"/>
      <c r="AM55" s="95"/>
    </row>
    <row r="56" spans="1:41" ht="75.75" customHeight="1" x14ac:dyDescent="0.25">
      <c r="A56" s="270" t="s">
        <v>122</v>
      </c>
      <c r="B56" s="235" t="s">
        <v>124</v>
      </c>
      <c r="C56" s="235" t="s">
        <v>123</v>
      </c>
      <c r="D56" s="235" t="s">
        <v>152</v>
      </c>
      <c r="E56" s="235" t="str">
        <f>C49</f>
        <v xml:space="preserve">Intervenir integralmente áreas estratégicas de Bogotá teniendo en cuenta las dinámicas patrimoniales, ambientales, sociales y culturales  
</v>
      </c>
      <c r="F56" s="112" t="s">
        <v>125</v>
      </c>
      <c r="G56" s="112" t="s">
        <v>126</v>
      </c>
      <c r="H56" s="276" t="str">
        <f>C51</f>
        <v>Sistema Distrital de cuidado</v>
      </c>
      <c r="I56" s="14"/>
      <c r="J56" s="105">
        <v>410</v>
      </c>
      <c r="K56" s="105">
        <v>410</v>
      </c>
      <c r="L56" s="122"/>
      <c r="M56" s="106"/>
      <c r="N56" s="107"/>
      <c r="O56" s="117">
        <v>526</v>
      </c>
      <c r="P56" s="116">
        <v>526</v>
      </c>
      <c r="Q56" s="106"/>
      <c r="R56" s="106"/>
      <c r="S56" s="193"/>
      <c r="T56" s="201">
        <v>703</v>
      </c>
      <c r="U56" s="201">
        <v>703</v>
      </c>
      <c r="V56" s="188"/>
      <c r="W56" s="189"/>
      <c r="X56" s="109"/>
      <c r="Y56" s="201">
        <v>503</v>
      </c>
      <c r="Z56" s="201">
        <v>41</v>
      </c>
      <c r="AA56" s="188"/>
      <c r="AB56" s="189"/>
      <c r="AC56" s="109"/>
      <c r="AD56" s="117">
        <v>8</v>
      </c>
      <c r="AE56" s="117">
        <v>0</v>
      </c>
      <c r="AF56" s="188"/>
      <c r="AG56" s="189"/>
      <c r="AH56" s="193"/>
      <c r="AI56" s="117">
        <f>J56+O56+T56+Y56+AD56</f>
        <v>2150</v>
      </c>
      <c r="AJ56" s="117">
        <f>K56+P56+U56+Z56+AE56</f>
        <v>1680</v>
      </c>
      <c r="AK56" s="111">
        <f>L56+Q56+V56+AA56+AF56</f>
        <v>0</v>
      </c>
      <c r="AL56" s="111">
        <f>M56+R56+W56+AB56+AG56</f>
        <v>0</v>
      </c>
      <c r="AM56" s="96"/>
    </row>
    <row r="57" spans="1:41" ht="71.25" customHeight="1" x14ac:dyDescent="0.25">
      <c r="A57" s="271"/>
      <c r="B57" s="242"/>
      <c r="C57" s="242"/>
      <c r="D57" s="242"/>
      <c r="E57" s="242"/>
      <c r="F57" s="13" t="s">
        <v>127</v>
      </c>
      <c r="G57" s="13" t="s">
        <v>128</v>
      </c>
      <c r="H57" s="277"/>
      <c r="I57" s="14"/>
      <c r="J57" s="15">
        <v>54</v>
      </c>
      <c r="K57" s="89">
        <v>55</v>
      </c>
      <c r="L57" s="123">
        <v>5071.6473960000003</v>
      </c>
      <c r="M57" s="29">
        <v>4319.8978859999997</v>
      </c>
      <c r="N57" s="23"/>
      <c r="O57" s="15">
        <v>207</v>
      </c>
      <c r="P57" s="15">
        <v>207</v>
      </c>
      <c r="Q57" s="62">
        <f>10671009470/L1</f>
        <v>10671.009470000001</v>
      </c>
      <c r="R57" s="29">
        <f>10624208143/L1</f>
        <v>10624.208143</v>
      </c>
      <c r="S57" s="185"/>
      <c r="T57" s="200">
        <v>422</v>
      </c>
      <c r="U57" s="210">
        <v>422</v>
      </c>
      <c r="V57" s="62">
        <f>21096250020/L1</f>
        <v>21096.250019999999</v>
      </c>
      <c r="W57" s="62">
        <f>20872326132/L1</f>
        <v>20872.326131999998</v>
      </c>
      <c r="X57" s="97"/>
      <c r="Y57" s="190">
        <v>342</v>
      </c>
      <c r="Z57" s="210">
        <v>45</v>
      </c>
      <c r="AA57" s="62">
        <f>6063300000/L1</f>
        <v>6063.3</v>
      </c>
      <c r="AB57" s="191">
        <f>995751760/L1</f>
        <v>995.75175999999999</v>
      </c>
      <c r="AC57" s="97"/>
      <c r="AD57" s="89">
        <v>198</v>
      </c>
      <c r="AE57" s="89">
        <v>0</v>
      </c>
      <c r="AF57" s="62">
        <v>19329</v>
      </c>
      <c r="AG57" s="191"/>
      <c r="AH57" s="185"/>
      <c r="AI57" s="89">
        <f>J57+O57+T57+Y57+AD57</f>
        <v>1223</v>
      </c>
      <c r="AJ57" s="89">
        <f t="shared" ref="AJ57:AJ62" si="4">K57+P57+U57+Z57+AE57</f>
        <v>729</v>
      </c>
      <c r="AK57" s="61">
        <f t="shared" ref="AK57:AL63" si="5">L57+Q57+V57+AA57+AF57</f>
        <v>62231.206886</v>
      </c>
      <c r="AL57" s="61">
        <f t="shared" si="5"/>
        <v>36812.183920999996</v>
      </c>
      <c r="AM57" s="96"/>
    </row>
    <row r="58" spans="1:41" ht="66.75" customHeight="1" x14ac:dyDescent="0.25">
      <c r="A58" s="271"/>
      <c r="B58" s="242"/>
      <c r="C58" s="242"/>
      <c r="D58" s="242"/>
      <c r="E58" s="242"/>
      <c r="F58" s="13" t="s">
        <v>129</v>
      </c>
      <c r="G58" s="13" t="s">
        <v>130</v>
      </c>
      <c r="H58" s="277"/>
      <c r="I58" s="14"/>
      <c r="J58" s="15">
        <v>28</v>
      </c>
      <c r="K58" s="15">
        <v>27</v>
      </c>
      <c r="L58" s="123">
        <v>2969.3287610000002</v>
      </c>
      <c r="M58" s="29">
        <v>2928.9973829999999</v>
      </c>
      <c r="N58" s="23"/>
      <c r="O58" s="89">
        <v>37</v>
      </c>
      <c r="P58" s="89">
        <v>37</v>
      </c>
      <c r="Q58" s="62">
        <f>2731695509/L1</f>
        <v>2731.6955090000001</v>
      </c>
      <c r="R58" s="29">
        <f>2708768098/L1</f>
        <v>2708.768098</v>
      </c>
      <c r="S58" s="185"/>
      <c r="T58" s="200">
        <v>41</v>
      </c>
      <c r="U58" s="190">
        <v>41</v>
      </c>
      <c r="V58" s="62">
        <f>2062738063/L1</f>
        <v>2062.7380629999998</v>
      </c>
      <c r="W58" s="62">
        <f>2059134205/L1</f>
        <v>2059.1342049999998</v>
      </c>
      <c r="X58" s="97"/>
      <c r="Y58" s="221">
        <v>6</v>
      </c>
      <c r="Z58" s="190">
        <v>2</v>
      </c>
      <c r="AA58" s="62">
        <f>800000000/L1</f>
        <v>800</v>
      </c>
      <c r="AB58" s="192">
        <f>142027570/L1</f>
        <v>142.02757</v>
      </c>
      <c r="AC58" s="97"/>
      <c r="AD58" s="89">
        <v>4</v>
      </c>
      <c r="AE58" s="89">
        <v>0</v>
      </c>
      <c r="AF58" s="62">
        <v>200</v>
      </c>
      <c r="AG58" s="192"/>
      <c r="AH58" s="185"/>
      <c r="AI58" s="89">
        <f>J58+O58+T58+Y58+AD58</f>
        <v>116</v>
      </c>
      <c r="AJ58" s="89">
        <f t="shared" si="4"/>
        <v>107</v>
      </c>
      <c r="AK58" s="61">
        <f t="shared" si="5"/>
        <v>8763.7623329999988</v>
      </c>
      <c r="AL58" s="61">
        <f t="shared" si="5"/>
        <v>7838.9272560000009</v>
      </c>
    </row>
    <row r="59" spans="1:41" ht="58.5" customHeight="1" x14ac:dyDescent="0.25">
      <c r="A59" s="271"/>
      <c r="B59" s="242"/>
      <c r="C59" s="242"/>
      <c r="D59" s="242"/>
      <c r="E59" s="242"/>
      <c r="F59" s="13" t="s">
        <v>188</v>
      </c>
      <c r="G59" s="13" t="s">
        <v>131</v>
      </c>
      <c r="H59" s="277"/>
      <c r="I59" s="14"/>
      <c r="J59" s="15">
        <v>1497</v>
      </c>
      <c r="K59" s="15">
        <v>1484</v>
      </c>
      <c r="L59" s="123">
        <v>3667.6184499999999</v>
      </c>
      <c r="M59" s="29">
        <v>3203.0383700000002</v>
      </c>
      <c r="N59" s="23"/>
      <c r="O59" s="89">
        <v>1598</v>
      </c>
      <c r="P59" s="15">
        <v>1588</v>
      </c>
      <c r="Q59" s="29">
        <f>5904783901/L1</f>
        <v>5904.7839009999998</v>
      </c>
      <c r="R59" s="62">
        <f>5824458558/L1</f>
        <v>5824.4585580000003</v>
      </c>
      <c r="S59" s="185"/>
      <c r="T59" s="15">
        <v>1706</v>
      </c>
      <c r="U59" s="15">
        <v>1706</v>
      </c>
      <c r="V59" s="62">
        <f>3927095865/L1</f>
        <v>3927.0958649999998</v>
      </c>
      <c r="W59" s="62">
        <f>3927095865/L1</f>
        <v>3927.0958649999998</v>
      </c>
      <c r="X59" s="97"/>
      <c r="Y59" s="200">
        <v>0</v>
      </c>
      <c r="Z59" s="190">
        <v>0</v>
      </c>
      <c r="AA59" s="62">
        <v>0</v>
      </c>
      <c r="AB59" s="205">
        <v>0</v>
      </c>
      <c r="AC59" s="97"/>
      <c r="AD59" s="89">
        <v>0</v>
      </c>
      <c r="AE59" s="89">
        <v>0</v>
      </c>
      <c r="AF59" s="62">
        <v>0</v>
      </c>
      <c r="AG59" s="205"/>
      <c r="AH59" s="185"/>
      <c r="AI59" s="89">
        <f>U59</f>
        <v>1706</v>
      </c>
      <c r="AJ59" s="89">
        <f>+U59</f>
        <v>1706</v>
      </c>
      <c r="AK59" s="61">
        <f t="shared" si="5"/>
        <v>13499.498216</v>
      </c>
      <c r="AL59" s="61">
        <f t="shared" si="5"/>
        <v>12954.592793</v>
      </c>
      <c r="AM59" s="96"/>
    </row>
    <row r="60" spans="1:41" ht="43.5" customHeight="1" x14ac:dyDescent="0.25">
      <c r="A60" s="208"/>
      <c r="B60" s="242"/>
      <c r="C60" s="242"/>
      <c r="D60" s="242"/>
      <c r="E60" s="242"/>
      <c r="F60" s="225" t="s">
        <v>184</v>
      </c>
      <c r="G60" s="13" t="s">
        <v>131</v>
      </c>
      <c r="H60" s="168"/>
      <c r="I60" s="14"/>
      <c r="J60" s="15">
        <v>0</v>
      </c>
      <c r="K60" s="15">
        <v>0</v>
      </c>
      <c r="L60" s="123"/>
      <c r="M60" s="29"/>
      <c r="N60" s="23"/>
      <c r="O60" s="89">
        <v>797</v>
      </c>
      <c r="P60" s="89">
        <v>797</v>
      </c>
      <c r="Q60" s="62">
        <f>279171937/L1</f>
        <v>279.17193700000001</v>
      </c>
      <c r="R60" s="29">
        <f>279171937/L1</f>
        <v>279.17193700000001</v>
      </c>
      <c r="S60" s="185"/>
      <c r="T60" s="200">
        <v>437</v>
      </c>
      <c r="U60" s="190">
        <v>437</v>
      </c>
      <c r="V60" s="62">
        <f>477501590/L1</f>
        <v>477.50159000000002</v>
      </c>
      <c r="W60" s="62">
        <f>477501590/L1</f>
        <v>477.50159000000002</v>
      </c>
      <c r="X60" s="97"/>
      <c r="Y60" s="200">
        <v>510</v>
      </c>
      <c r="Z60" s="190">
        <v>8</v>
      </c>
      <c r="AA60" s="62">
        <f>510912000/L1</f>
        <v>510.91199999999998</v>
      </c>
      <c r="AB60" s="205">
        <f>237219230/L1</f>
        <v>237.21923000000001</v>
      </c>
      <c r="AC60" s="97"/>
      <c r="AD60" s="89">
        <v>5</v>
      </c>
      <c r="AE60" s="89">
        <v>0</v>
      </c>
      <c r="AF60" s="62">
        <v>511</v>
      </c>
      <c r="AG60" s="205"/>
      <c r="AH60" s="185"/>
      <c r="AI60" s="89">
        <f>J60+O60+T60+Y60+AD60</f>
        <v>1749</v>
      </c>
      <c r="AJ60" s="89">
        <f t="shared" si="4"/>
        <v>1242</v>
      </c>
      <c r="AK60" s="61">
        <f t="shared" si="5"/>
        <v>1778.585527</v>
      </c>
      <c r="AL60" s="61">
        <f t="shared" si="5"/>
        <v>993.89275700000007</v>
      </c>
      <c r="AM60" s="96"/>
    </row>
    <row r="61" spans="1:41" ht="109.5" customHeight="1" x14ac:dyDescent="0.25">
      <c r="A61" s="208"/>
      <c r="B61" s="242"/>
      <c r="C61" s="242"/>
      <c r="D61" s="242"/>
      <c r="E61" s="242"/>
      <c r="F61" s="13" t="s">
        <v>173</v>
      </c>
      <c r="G61" s="13" t="s">
        <v>131</v>
      </c>
      <c r="H61" s="168"/>
      <c r="I61" s="14"/>
      <c r="J61" s="15">
        <v>0</v>
      </c>
      <c r="K61" s="15">
        <v>0</v>
      </c>
      <c r="L61" s="123"/>
      <c r="M61" s="29"/>
      <c r="N61" s="23"/>
      <c r="O61" s="26">
        <v>1</v>
      </c>
      <c r="P61" s="146">
        <v>1</v>
      </c>
      <c r="Q61" s="62">
        <f>4077434183/L1</f>
        <v>4077.4341829999998</v>
      </c>
      <c r="R61" s="29">
        <f>4077434183/L1</f>
        <v>4077.4341829999998</v>
      </c>
      <c r="S61" s="185"/>
      <c r="T61" s="26">
        <v>1</v>
      </c>
      <c r="U61" s="146">
        <v>1</v>
      </c>
      <c r="V61" s="62">
        <f>5557762193/L1</f>
        <v>5557.7621929999996</v>
      </c>
      <c r="W61" s="62">
        <f>5557762193/L1</f>
        <v>5557.7621929999996</v>
      </c>
      <c r="X61" s="97"/>
      <c r="Y61" s="26">
        <v>1</v>
      </c>
      <c r="Z61" s="26">
        <v>1</v>
      </c>
      <c r="AA61" s="62">
        <f>5588351000/L1</f>
        <v>5588.3509999999997</v>
      </c>
      <c r="AB61" s="205">
        <f>2182064983/L1</f>
        <v>2182.0649830000002</v>
      </c>
      <c r="AC61" s="97"/>
      <c r="AD61" s="26">
        <v>1</v>
      </c>
      <c r="AE61" s="89"/>
      <c r="AF61" s="62">
        <v>8855</v>
      </c>
      <c r="AG61" s="205"/>
      <c r="AH61" s="185"/>
      <c r="AI61" s="99">
        <f>AD61</f>
        <v>1</v>
      </c>
      <c r="AJ61" s="146">
        <f>(P61+U61+Z61+AE61)/3</f>
        <v>1</v>
      </c>
      <c r="AK61" s="61">
        <f t="shared" si="5"/>
        <v>24078.547375999999</v>
      </c>
      <c r="AL61" s="61">
        <f t="shared" si="5"/>
        <v>11817.261359</v>
      </c>
      <c r="AM61" s="96"/>
    </row>
    <row r="62" spans="1:41" ht="75.75" customHeight="1" x14ac:dyDescent="0.25">
      <c r="A62" s="208"/>
      <c r="B62" s="242"/>
      <c r="C62" s="242"/>
      <c r="D62" s="242"/>
      <c r="E62" s="242"/>
      <c r="F62" s="13" t="s">
        <v>183</v>
      </c>
      <c r="G62" s="13" t="s">
        <v>131</v>
      </c>
      <c r="H62" s="168"/>
      <c r="I62" s="14"/>
      <c r="J62" s="15">
        <v>0</v>
      </c>
      <c r="K62" s="15">
        <v>0</v>
      </c>
      <c r="L62" s="123"/>
      <c r="M62" s="29"/>
      <c r="N62" s="23"/>
      <c r="O62" s="15">
        <v>0</v>
      </c>
      <c r="P62" s="15">
        <v>0</v>
      </c>
      <c r="Q62" s="62">
        <v>0</v>
      </c>
      <c r="R62" s="29">
        <v>0</v>
      </c>
      <c r="S62" s="185"/>
      <c r="T62" s="160">
        <v>266</v>
      </c>
      <c r="U62" s="160">
        <v>266</v>
      </c>
      <c r="V62" s="62">
        <f>150000000/L1</f>
        <v>150</v>
      </c>
      <c r="W62" s="62">
        <f>149984130/L1</f>
        <v>149.98412999999999</v>
      </c>
      <c r="X62" s="97"/>
      <c r="Y62" s="160">
        <v>223</v>
      </c>
      <c r="Z62" s="160">
        <v>33</v>
      </c>
      <c r="AA62" s="62">
        <f>72000000/L1</f>
        <v>72</v>
      </c>
      <c r="AB62" s="205">
        <f>29321781/L1</f>
        <v>29.321781000000001</v>
      </c>
      <c r="AC62" s="97"/>
      <c r="AD62" s="160">
        <v>8</v>
      </c>
      <c r="AE62" s="160">
        <v>0</v>
      </c>
      <c r="AF62" s="62">
        <f>31200000/L1</f>
        <v>31.2</v>
      </c>
      <c r="AG62" s="205"/>
      <c r="AH62" s="185"/>
      <c r="AI62" s="89">
        <f>J62+O62+T62+Y62+AD62</f>
        <v>497</v>
      </c>
      <c r="AJ62" s="89">
        <f t="shared" si="4"/>
        <v>299</v>
      </c>
      <c r="AK62" s="61">
        <f t="shared" si="5"/>
        <v>253.2</v>
      </c>
      <c r="AL62" s="61">
        <f t="shared" si="5"/>
        <v>179.30591099999998</v>
      </c>
      <c r="AM62" s="96"/>
    </row>
    <row r="63" spans="1:41" ht="109.5" customHeight="1" x14ac:dyDescent="0.25">
      <c r="A63" s="208"/>
      <c r="B63" s="236"/>
      <c r="C63" s="236"/>
      <c r="D63" s="236"/>
      <c r="E63" s="236"/>
      <c r="F63" s="13" t="s">
        <v>180</v>
      </c>
      <c r="G63" s="13" t="s">
        <v>131</v>
      </c>
      <c r="H63" s="168"/>
      <c r="I63" s="14"/>
      <c r="J63" s="26">
        <v>0</v>
      </c>
      <c r="K63" s="26">
        <v>0</v>
      </c>
      <c r="L63" s="123"/>
      <c r="M63" s="29"/>
      <c r="N63" s="23"/>
      <c r="O63" s="26">
        <v>0</v>
      </c>
      <c r="P63" s="26">
        <v>0</v>
      </c>
      <c r="Q63" s="62">
        <v>0</v>
      </c>
      <c r="R63" s="29">
        <v>0</v>
      </c>
      <c r="S63" s="185"/>
      <c r="T63" s="26">
        <v>1</v>
      </c>
      <c r="U63" s="26">
        <v>1</v>
      </c>
      <c r="V63" s="62">
        <f>992287113/L1</f>
        <v>992.28711299999998</v>
      </c>
      <c r="W63" s="62">
        <f>991221015/L1</f>
        <v>991.22101499999997</v>
      </c>
      <c r="X63" s="97"/>
      <c r="Y63" s="26">
        <v>1</v>
      </c>
      <c r="Z63" s="26">
        <v>1</v>
      </c>
      <c r="AA63" s="62">
        <f>4809600000/L1</f>
        <v>4809.6000000000004</v>
      </c>
      <c r="AB63" s="205">
        <f>460737640/L1</f>
        <v>460.73764</v>
      </c>
      <c r="AC63" s="97"/>
      <c r="AD63" s="26">
        <v>1</v>
      </c>
      <c r="AE63" s="26">
        <v>0</v>
      </c>
      <c r="AF63" s="62">
        <v>2473</v>
      </c>
      <c r="AG63" s="205"/>
      <c r="AH63" s="185"/>
      <c r="AI63" s="99">
        <f>AD63</f>
        <v>1</v>
      </c>
      <c r="AJ63" s="146">
        <f>(P63+U63+Z63+AE63)/2</f>
        <v>1</v>
      </c>
      <c r="AK63" s="61">
        <f t="shared" si="5"/>
        <v>8274.8871130000007</v>
      </c>
      <c r="AL63" s="61">
        <f t="shared" si="5"/>
        <v>1451.9586549999999</v>
      </c>
      <c r="AM63" s="96"/>
    </row>
    <row r="64" spans="1:41" x14ac:dyDescent="0.25">
      <c r="AO64" s="211"/>
    </row>
    <row r="65" spans="1:42" s="6" customFormat="1" ht="15.75" x14ac:dyDescent="0.25">
      <c r="A65" s="197"/>
      <c r="B65" s="166" t="s">
        <v>103</v>
      </c>
      <c r="C65" s="166"/>
      <c r="D65" s="166"/>
      <c r="E65" s="166"/>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17844.163</v>
      </c>
      <c r="AB65" s="124">
        <f>SUM(AB56:AB63)</f>
        <v>4047.1229640000001</v>
      </c>
      <c r="AC65" s="100"/>
      <c r="AD65" s="41"/>
      <c r="AE65" s="42"/>
      <c r="AF65" s="124">
        <f>SUM(AF56:AF63)</f>
        <v>31399.200000000001</v>
      </c>
      <c r="AG65" s="124">
        <f>SUM(AG56:AG63)</f>
        <v>0</v>
      </c>
      <c r="AI65" s="93"/>
      <c r="AJ65" s="93"/>
      <c r="AK65" s="124">
        <f>SUM(AK56:AK63)</f>
        <v>118879.68745100001</v>
      </c>
      <c r="AL65" s="124">
        <f>SUM(AL56:AL63)</f>
        <v>72048.122652000005</v>
      </c>
      <c r="AM65" s="223">
        <f>+M65+R65+W65+AB65+AG65-AL65</f>
        <v>0</v>
      </c>
      <c r="AN65" s="91"/>
      <c r="AO65" s="148"/>
    </row>
    <row r="66" spans="1:42" x14ac:dyDescent="0.25">
      <c r="AO66" s="211"/>
    </row>
    <row r="67" spans="1:42" s="173" customFormat="1" ht="15.75" customHeight="1" x14ac:dyDescent="0.2">
      <c r="A67" s="278"/>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172"/>
    </row>
    <row r="68" spans="1:42" s="171" customFormat="1" ht="12.75" x14ac:dyDescent="0.2">
      <c r="A68" s="174"/>
      <c r="B68" s="175"/>
      <c r="C68" s="175"/>
      <c r="D68" s="175"/>
      <c r="E68" s="175"/>
      <c r="F68" s="175"/>
      <c r="G68" s="175"/>
      <c r="H68" s="175"/>
      <c r="I68" s="176"/>
      <c r="J68" s="174"/>
      <c r="K68" s="176"/>
      <c r="L68" s="177"/>
      <c r="M68" s="176"/>
      <c r="N68" s="176"/>
      <c r="O68" s="176"/>
      <c r="P68" s="176"/>
      <c r="Q68" s="176"/>
      <c r="R68" s="176"/>
      <c r="T68" s="178"/>
      <c r="U68" s="178"/>
      <c r="V68" s="178"/>
      <c r="W68" s="178"/>
      <c r="Y68" s="178"/>
      <c r="Z68" s="178"/>
      <c r="AA68" s="178"/>
      <c r="AB68" s="178"/>
      <c r="AD68" s="176"/>
      <c r="AE68" s="176"/>
      <c r="AF68" s="178"/>
      <c r="AG68" s="178"/>
      <c r="AI68" s="179"/>
      <c r="AJ68" s="179"/>
      <c r="AK68" s="179"/>
      <c r="AL68" s="180"/>
      <c r="AM68" s="170"/>
    </row>
    <row r="69" spans="1:42" x14ac:dyDescent="0.25">
      <c r="A69" s="114">
        <v>1</v>
      </c>
      <c r="B69" s="101" t="s">
        <v>94</v>
      </c>
      <c r="C69" s="274" t="s">
        <v>113</v>
      </c>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row>
    <row r="70" spans="1:42" x14ac:dyDescent="0.25">
      <c r="A70" s="113">
        <v>8</v>
      </c>
      <c r="B70" s="6" t="s">
        <v>156</v>
      </c>
      <c r="C70" s="274" t="s">
        <v>157</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row>
    <row r="71" spans="1:42" x14ac:dyDescent="0.25">
      <c r="A71" s="113">
        <v>19</v>
      </c>
      <c r="B71" s="6" t="s">
        <v>95</v>
      </c>
      <c r="C71" s="274" t="s">
        <v>155</v>
      </c>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row>
    <row r="72" spans="1:42" ht="30" x14ac:dyDescent="0.25">
      <c r="A72" s="113">
        <v>3</v>
      </c>
      <c r="B72" s="102" t="s">
        <v>98</v>
      </c>
      <c r="C72" s="274" t="s">
        <v>114</v>
      </c>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row>
    <row r="74" spans="1:42" s="11" customFormat="1" ht="27" customHeight="1" x14ac:dyDescent="0.25">
      <c r="A74" s="257" t="s">
        <v>2</v>
      </c>
      <c r="B74" s="232" t="s">
        <v>3</v>
      </c>
      <c r="C74" s="272" t="s">
        <v>87</v>
      </c>
      <c r="D74" s="232" t="s">
        <v>67</v>
      </c>
      <c r="E74" s="272" t="s">
        <v>168</v>
      </c>
      <c r="F74" s="254" t="s">
        <v>101</v>
      </c>
      <c r="G74" s="281" t="s">
        <v>90</v>
      </c>
      <c r="H74" s="227" t="s">
        <v>169</v>
      </c>
      <c r="I74" s="10"/>
      <c r="J74" s="227">
        <v>2020</v>
      </c>
      <c r="K74" s="227"/>
      <c r="L74" s="227"/>
      <c r="M74" s="227"/>
      <c r="N74" s="10"/>
      <c r="O74" s="227">
        <v>2021</v>
      </c>
      <c r="P74" s="227"/>
      <c r="Q74" s="227"/>
      <c r="R74" s="227"/>
      <c r="T74" s="227">
        <v>2022</v>
      </c>
      <c r="U74" s="227"/>
      <c r="V74" s="227"/>
      <c r="W74" s="227"/>
      <c r="Y74" s="227">
        <v>2023</v>
      </c>
      <c r="Z74" s="227"/>
      <c r="AA74" s="227"/>
      <c r="AB74" s="227"/>
      <c r="AD74" s="228">
        <v>2024</v>
      </c>
      <c r="AE74" s="229"/>
      <c r="AF74" s="229"/>
      <c r="AG74" s="229"/>
      <c r="AI74" s="275" t="s">
        <v>102</v>
      </c>
      <c r="AJ74" s="275"/>
      <c r="AK74" s="275"/>
      <c r="AL74" s="275"/>
      <c r="AM74" s="95"/>
    </row>
    <row r="75" spans="1:42" s="11" customFormat="1" ht="16.5" customHeight="1" x14ac:dyDescent="0.25">
      <c r="A75" s="258"/>
      <c r="B75" s="233"/>
      <c r="C75" s="255"/>
      <c r="D75" s="233"/>
      <c r="E75" s="255"/>
      <c r="F75" s="255"/>
      <c r="G75" s="281"/>
      <c r="H75" s="227"/>
      <c r="I75" s="10"/>
      <c r="J75" s="227" t="s">
        <v>4</v>
      </c>
      <c r="K75" s="227"/>
      <c r="L75" s="227" t="s">
        <v>61</v>
      </c>
      <c r="M75" s="227"/>
      <c r="N75" s="10"/>
      <c r="O75" s="227" t="s">
        <v>6</v>
      </c>
      <c r="P75" s="227"/>
      <c r="Q75" s="227" t="s">
        <v>8</v>
      </c>
      <c r="R75" s="227"/>
      <c r="S75" s="10"/>
      <c r="T75" s="227" t="s">
        <v>7</v>
      </c>
      <c r="U75" s="227"/>
      <c r="V75" s="227" t="s">
        <v>8</v>
      </c>
      <c r="W75" s="227"/>
      <c r="Y75" s="227" t="s">
        <v>7</v>
      </c>
      <c r="Z75" s="227"/>
      <c r="AA75" s="227" t="s">
        <v>8</v>
      </c>
      <c r="AB75" s="227"/>
      <c r="AD75" s="227" t="s">
        <v>7</v>
      </c>
      <c r="AE75" s="227"/>
      <c r="AF75" s="227" t="s">
        <v>8</v>
      </c>
      <c r="AG75" s="227"/>
      <c r="AI75" s="272" t="s">
        <v>4</v>
      </c>
      <c r="AJ75" s="272" t="s">
        <v>66</v>
      </c>
      <c r="AK75" s="272" t="s">
        <v>8</v>
      </c>
      <c r="AL75" s="272" t="s">
        <v>5</v>
      </c>
      <c r="AM75" s="95"/>
    </row>
    <row r="76" spans="1:42" s="11" customFormat="1" ht="30" x14ac:dyDescent="0.25">
      <c r="A76" s="259"/>
      <c r="B76" s="234"/>
      <c r="C76" s="273"/>
      <c r="D76" s="234"/>
      <c r="E76" s="273"/>
      <c r="F76" s="256"/>
      <c r="G76" s="281"/>
      <c r="H76" s="227"/>
      <c r="I76" s="12"/>
      <c r="J76" s="164" t="s">
        <v>59</v>
      </c>
      <c r="K76" s="164" t="s">
        <v>60</v>
      </c>
      <c r="L76" s="183" t="s">
        <v>64</v>
      </c>
      <c r="M76" s="164" t="s">
        <v>63</v>
      </c>
      <c r="N76" s="12"/>
      <c r="O76" s="184" t="s">
        <v>59</v>
      </c>
      <c r="P76" s="164" t="s">
        <v>60</v>
      </c>
      <c r="Q76" s="184" t="s">
        <v>64</v>
      </c>
      <c r="R76" s="164" t="s">
        <v>63</v>
      </c>
      <c r="S76" s="10"/>
      <c r="T76" s="184" t="s">
        <v>59</v>
      </c>
      <c r="U76" s="164" t="s">
        <v>60</v>
      </c>
      <c r="V76" s="164" t="s">
        <v>64</v>
      </c>
      <c r="W76" s="164" t="s">
        <v>63</v>
      </c>
      <c r="Y76" s="164" t="s">
        <v>59</v>
      </c>
      <c r="Z76" s="164" t="s">
        <v>60</v>
      </c>
      <c r="AA76" s="164" t="s">
        <v>64</v>
      </c>
      <c r="AB76" s="164" t="s">
        <v>63</v>
      </c>
      <c r="AD76" s="164" t="s">
        <v>59</v>
      </c>
      <c r="AE76" s="164" t="s">
        <v>60</v>
      </c>
      <c r="AF76" s="164" t="s">
        <v>64</v>
      </c>
      <c r="AG76" s="164" t="s">
        <v>63</v>
      </c>
      <c r="AI76" s="273"/>
      <c r="AJ76" s="273"/>
      <c r="AK76" s="273"/>
      <c r="AL76" s="273"/>
      <c r="AM76" s="95"/>
    </row>
    <row r="77" spans="1:42" ht="75.75" customHeight="1" x14ac:dyDescent="0.25">
      <c r="A77" s="266" t="s">
        <v>132</v>
      </c>
      <c r="B77" s="235" t="s">
        <v>133</v>
      </c>
      <c r="C77" s="235" t="s">
        <v>88</v>
      </c>
      <c r="D77" s="235" t="s">
        <v>153</v>
      </c>
      <c r="E77" s="268" t="str">
        <f>C70</f>
        <v xml:space="preserve">Aumentar el acceso a vivienda digna, espacio público y equipamientos de la población vulnerable en suelo urbano y rural </v>
      </c>
      <c r="F77" s="112" t="s">
        <v>165</v>
      </c>
      <c r="G77" s="112" t="s">
        <v>172</v>
      </c>
      <c r="H77" s="276" t="str">
        <f>C72</f>
        <v>Sistema Distrital de cuidado</v>
      </c>
      <c r="I77" s="14"/>
      <c r="J77" s="119">
        <v>17305.599999999999</v>
      </c>
      <c r="K77" s="105">
        <v>17000</v>
      </c>
      <c r="L77" s="122"/>
      <c r="M77" s="106"/>
      <c r="N77" s="107"/>
      <c r="O77" s="119">
        <v>14571.12</v>
      </c>
      <c r="P77" s="119">
        <v>14571.12</v>
      </c>
      <c r="Q77" s="106"/>
      <c r="R77" s="106"/>
      <c r="S77" s="193"/>
      <c r="T77" s="116">
        <v>40000</v>
      </c>
      <c r="U77" s="116">
        <v>38899</v>
      </c>
      <c r="V77" s="188"/>
      <c r="W77" s="189"/>
      <c r="X77" s="109"/>
      <c r="Y77" s="116">
        <v>21000</v>
      </c>
      <c r="Z77" s="201">
        <v>0</v>
      </c>
      <c r="AA77" s="188"/>
      <c r="AB77" s="189"/>
      <c r="AC77" s="109"/>
      <c r="AD77" s="149">
        <v>7123</v>
      </c>
      <c r="AE77" s="117">
        <v>0</v>
      </c>
      <c r="AF77" s="188"/>
      <c r="AG77" s="189"/>
      <c r="AH77" s="193"/>
      <c r="AI77" s="117">
        <f t="shared" ref="AI77:AL78" si="6">J77+O77+T77+Y77+AD77</f>
        <v>99999.72</v>
      </c>
      <c r="AJ77" s="117">
        <f t="shared" si="6"/>
        <v>70470.12</v>
      </c>
      <c r="AK77" s="111">
        <f t="shared" si="6"/>
        <v>0</v>
      </c>
      <c r="AL77" s="111">
        <f t="shared" si="6"/>
        <v>0</v>
      </c>
      <c r="AM77" s="96"/>
    </row>
    <row r="78" spans="1:42" ht="43.5" customHeight="1" x14ac:dyDescent="0.25">
      <c r="A78" s="267"/>
      <c r="B78" s="242"/>
      <c r="C78" s="242"/>
      <c r="D78" s="242"/>
      <c r="E78" s="269"/>
      <c r="F78" s="13" t="s">
        <v>179</v>
      </c>
      <c r="G78" s="13" t="s">
        <v>134</v>
      </c>
      <c r="H78" s="277"/>
      <c r="I78" s="14"/>
      <c r="J78" s="118">
        <v>17305.599999999999</v>
      </c>
      <c r="K78" s="98">
        <v>17000</v>
      </c>
      <c r="L78" s="125">
        <f>3602795429/L1</f>
        <v>3602.7954289999998</v>
      </c>
      <c r="M78" s="29">
        <v>3501.5279959999998</v>
      </c>
      <c r="N78" s="23"/>
      <c r="O78" s="98">
        <v>14571.12</v>
      </c>
      <c r="P78" s="98">
        <v>14571.12</v>
      </c>
      <c r="Q78" s="62">
        <v>61555</v>
      </c>
      <c r="R78" s="62">
        <v>56013</v>
      </c>
      <c r="S78" s="185"/>
      <c r="T78" s="89">
        <v>40000</v>
      </c>
      <c r="U78" s="89">
        <v>38899</v>
      </c>
      <c r="V78" s="62">
        <f>18750560550/L1</f>
        <v>18750.560549999998</v>
      </c>
      <c r="W78" s="62">
        <f>18722560550/L1</f>
        <v>18722.560549999998</v>
      </c>
      <c r="X78" s="97"/>
      <c r="Y78" s="89">
        <v>21000</v>
      </c>
      <c r="Z78" s="190">
        <v>0</v>
      </c>
      <c r="AA78" s="62">
        <f>16999799242/L1</f>
        <v>16999.799242000001</v>
      </c>
      <c r="AB78" s="191">
        <f>54901840/L1</f>
        <v>54.90184</v>
      </c>
      <c r="AC78" s="97"/>
      <c r="AD78" s="150">
        <v>7123</v>
      </c>
      <c r="AE78" s="89">
        <v>0</v>
      </c>
      <c r="AF78" s="62">
        <v>2174</v>
      </c>
      <c r="AG78" s="191"/>
      <c r="AH78" s="185"/>
      <c r="AI78" s="89">
        <f t="shared" si="6"/>
        <v>99999.72</v>
      </c>
      <c r="AJ78" s="89">
        <f t="shared" si="6"/>
        <v>70470.12</v>
      </c>
      <c r="AK78" s="61">
        <f t="shared" si="6"/>
        <v>103082.15522099999</v>
      </c>
      <c r="AL78" s="61">
        <f t="shared" si="6"/>
        <v>78291.990386000005</v>
      </c>
      <c r="AM78" s="96"/>
    </row>
    <row r="79" spans="1:42" ht="30" x14ac:dyDescent="0.25">
      <c r="A79" s="267"/>
      <c r="B79" s="242"/>
      <c r="C79" s="242"/>
      <c r="D79" s="242"/>
      <c r="E79" s="269"/>
      <c r="F79" s="13" t="s">
        <v>135</v>
      </c>
      <c r="G79" s="13" t="s">
        <v>134</v>
      </c>
      <c r="H79" s="277"/>
      <c r="I79" s="14"/>
      <c r="J79" s="26">
        <v>1</v>
      </c>
      <c r="K79" s="120">
        <v>0.96689999999999998</v>
      </c>
      <c r="L79" s="123">
        <f>1600000000/L1</f>
        <v>1600</v>
      </c>
      <c r="M79" s="29">
        <v>1435.632384</v>
      </c>
      <c r="N79" s="23"/>
      <c r="O79" s="26">
        <v>1</v>
      </c>
      <c r="P79" s="120">
        <v>0.97250000000000003</v>
      </c>
      <c r="Q79" s="62">
        <v>5840</v>
      </c>
      <c r="R79" s="62">
        <v>5444</v>
      </c>
      <c r="S79" s="185"/>
      <c r="T79" s="212">
        <v>1</v>
      </c>
      <c r="U79" s="137">
        <v>0.94579999999999997</v>
      </c>
      <c r="V79" s="62">
        <f>4799456606/L1</f>
        <v>4799.4566059999997</v>
      </c>
      <c r="W79" s="62">
        <f>4638243827/L1</f>
        <v>4638.2438270000002</v>
      </c>
      <c r="X79" s="97"/>
      <c r="Y79" s="212">
        <v>1</v>
      </c>
      <c r="Z79" s="196">
        <v>0.22239999999999999</v>
      </c>
      <c r="AA79" s="62">
        <f>8344763758/L1</f>
        <v>8344.7637579999991</v>
      </c>
      <c r="AB79" s="191">
        <f>2161603780/L1</f>
        <v>2161.6037799999999</v>
      </c>
      <c r="AC79" s="97"/>
      <c r="AD79" s="99">
        <v>1</v>
      </c>
      <c r="AE79" s="99">
        <v>0</v>
      </c>
      <c r="AF79" s="62">
        <v>1792</v>
      </c>
      <c r="AG79" s="191"/>
      <c r="AH79" s="185"/>
      <c r="AI79" s="99">
        <f>AD79</f>
        <v>1</v>
      </c>
      <c r="AJ79" s="120">
        <f>(K79+P79+U79+Z79+AE79)/4</f>
        <v>0.77690000000000003</v>
      </c>
      <c r="AK79" s="61">
        <f>L79+Q79+V79+AA79+AF79</f>
        <v>22376.220364000001</v>
      </c>
      <c r="AL79" s="61">
        <f>M79+R79+W79+AB79+AG79</f>
        <v>13679.479991</v>
      </c>
      <c r="AM79" s="96"/>
    </row>
    <row r="80" spans="1:42" s="6" customFormat="1" ht="15.75" x14ac:dyDescent="0.25">
      <c r="A80" s="197"/>
      <c r="B80" s="166" t="s">
        <v>103</v>
      </c>
      <c r="C80" s="166"/>
      <c r="D80" s="166"/>
      <c r="E80" s="166"/>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2216.5056199999999</v>
      </c>
      <c r="AC80" s="100"/>
      <c r="AD80" s="41"/>
      <c r="AE80" s="42"/>
      <c r="AF80" s="42">
        <f>SUM(AF77:AF79)</f>
        <v>3966</v>
      </c>
      <c r="AG80" s="42">
        <f>SUM(AG77:AG79)</f>
        <v>0</v>
      </c>
      <c r="AI80" s="93"/>
      <c r="AJ80" s="93"/>
      <c r="AK80" s="63">
        <f>SUM(AK77:AK79)</f>
        <v>125458.375585</v>
      </c>
      <c r="AL80" s="63">
        <f>SUM(AL77:AL79)</f>
        <v>91971.470377000005</v>
      </c>
      <c r="AM80" s="223">
        <f>+M80+R80+W80+AB80+AG80-AL80</f>
        <v>0</v>
      </c>
      <c r="AO80" s="162"/>
      <c r="AP80" s="162"/>
    </row>
    <row r="82" spans="1:39" s="173" customFormat="1" ht="15.75" customHeight="1" x14ac:dyDescent="0.2">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172"/>
    </row>
    <row r="83" spans="1:39" s="171" customFormat="1" ht="12.75" x14ac:dyDescent="0.2">
      <c r="A83" s="174"/>
      <c r="B83" s="175"/>
      <c r="C83" s="175"/>
      <c r="D83" s="175"/>
      <c r="E83" s="175"/>
      <c r="F83" s="175"/>
      <c r="G83" s="175"/>
      <c r="H83" s="175"/>
      <c r="I83" s="176"/>
      <c r="J83" s="174"/>
      <c r="K83" s="176"/>
      <c r="L83" s="177"/>
      <c r="M83" s="176"/>
      <c r="N83" s="176"/>
      <c r="O83" s="176"/>
      <c r="P83" s="176"/>
      <c r="Q83" s="176"/>
      <c r="R83" s="176"/>
      <c r="T83" s="178"/>
      <c r="U83" s="178"/>
      <c r="V83" s="178"/>
      <c r="W83" s="178"/>
      <c r="Y83" s="178"/>
      <c r="Z83" s="178"/>
      <c r="AA83" s="178"/>
      <c r="AB83" s="178"/>
      <c r="AD83" s="176"/>
      <c r="AE83" s="176"/>
      <c r="AF83" s="178"/>
      <c r="AG83" s="178"/>
      <c r="AI83" s="179"/>
      <c r="AJ83" s="179"/>
      <c r="AK83" s="179"/>
      <c r="AL83" s="180"/>
      <c r="AM83" s="170"/>
    </row>
    <row r="84" spans="1:39" x14ac:dyDescent="0.25">
      <c r="A84" s="114">
        <v>5</v>
      </c>
      <c r="B84" s="101" t="s">
        <v>94</v>
      </c>
      <c r="C84" s="274" t="s">
        <v>164</v>
      </c>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c r="AJ84" s="274"/>
      <c r="AK84" s="274"/>
      <c r="AL84" s="274"/>
    </row>
    <row r="85" spans="1:39" x14ac:dyDescent="0.25">
      <c r="A85" s="113">
        <v>30</v>
      </c>
      <c r="B85" s="6" t="s">
        <v>156</v>
      </c>
      <c r="C85" s="274" t="s">
        <v>176</v>
      </c>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row>
    <row r="86" spans="1:39" x14ac:dyDescent="0.25">
      <c r="A86" s="113">
        <v>56</v>
      </c>
      <c r="B86" s="6" t="s">
        <v>95</v>
      </c>
      <c r="C86" s="274" t="s">
        <v>136</v>
      </c>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row>
    <row r="87" spans="1:39" ht="30" x14ac:dyDescent="0.25">
      <c r="A87" s="113"/>
      <c r="B87" s="102" t="s">
        <v>98</v>
      </c>
      <c r="C87" s="274" t="s">
        <v>137</v>
      </c>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row>
    <row r="89" spans="1:39" s="11" customFormat="1" ht="27" customHeight="1" x14ac:dyDescent="0.25">
      <c r="A89" s="257" t="s">
        <v>2</v>
      </c>
      <c r="B89" s="232" t="s">
        <v>3</v>
      </c>
      <c r="C89" s="272" t="s">
        <v>87</v>
      </c>
      <c r="D89" s="232" t="s">
        <v>67</v>
      </c>
      <c r="E89" s="272" t="s">
        <v>168</v>
      </c>
      <c r="F89" s="254" t="s">
        <v>101</v>
      </c>
      <c r="G89" s="281" t="s">
        <v>90</v>
      </c>
      <c r="H89" s="227" t="s">
        <v>169</v>
      </c>
      <c r="I89" s="10"/>
      <c r="J89" s="227">
        <v>2020</v>
      </c>
      <c r="K89" s="227"/>
      <c r="L89" s="227"/>
      <c r="M89" s="227"/>
      <c r="N89" s="10"/>
      <c r="O89" s="227">
        <v>2021</v>
      </c>
      <c r="P89" s="227"/>
      <c r="Q89" s="227"/>
      <c r="R89" s="227"/>
      <c r="T89" s="227">
        <v>2022</v>
      </c>
      <c r="U89" s="227"/>
      <c r="V89" s="227"/>
      <c r="W89" s="227"/>
      <c r="Y89" s="227">
        <v>2023</v>
      </c>
      <c r="Z89" s="227"/>
      <c r="AA89" s="227"/>
      <c r="AB89" s="227"/>
      <c r="AD89" s="228">
        <v>2024</v>
      </c>
      <c r="AE89" s="229"/>
      <c r="AF89" s="229"/>
      <c r="AG89" s="229"/>
      <c r="AI89" s="275" t="s">
        <v>102</v>
      </c>
      <c r="AJ89" s="275"/>
      <c r="AK89" s="275"/>
      <c r="AL89" s="275"/>
      <c r="AM89" s="95"/>
    </row>
    <row r="90" spans="1:39" s="11" customFormat="1" ht="16.5" customHeight="1" x14ac:dyDescent="0.25">
      <c r="A90" s="258"/>
      <c r="B90" s="233"/>
      <c r="C90" s="255"/>
      <c r="D90" s="233"/>
      <c r="E90" s="255"/>
      <c r="F90" s="255"/>
      <c r="G90" s="281"/>
      <c r="H90" s="227"/>
      <c r="I90" s="10"/>
      <c r="J90" s="227" t="s">
        <v>4</v>
      </c>
      <c r="K90" s="227"/>
      <c r="L90" s="227" t="s">
        <v>61</v>
      </c>
      <c r="M90" s="227"/>
      <c r="N90" s="10"/>
      <c r="O90" s="227" t="s">
        <v>6</v>
      </c>
      <c r="P90" s="227"/>
      <c r="Q90" s="227" t="s">
        <v>8</v>
      </c>
      <c r="R90" s="227"/>
      <c r="S90" s="10"/>
      <c r="T90" s="227" t="s">
        <v>7</v>
      </c>
      <c r="U90" s="227"/>
      <c r="V90" s="227" t="s">
        <v>8</v>
      </c>
      <c r="W90" s="227"/>
      <c r="Y90" s="227" t="s">
        <v>7</v>
      </c>
      <c r="Z90" s="227"/>
      <c r="AA90" s="227" t="s">
        <v>8</v>
      </c>
      <c r="AB90" s="227"/>
      <c r="AD90" s="227" t="s">
        <v>7</v>
      </c>
      <c r="AE90" s="227"/>
      <c r="AF90" s="227" t="s">
        <v>8</v>
      </c>
      <c r="AG90" s="227"/>
      <c r="AI90" s="272" t="s">
        <v>4</v>
      </c>
      <c r="AJ90" s="272" t="s">
        <v>66</v>
      </c>
      <c r="AK90" s="279" t="s">
        <v>8</v>
      </c>
      <c r="AL90" s="272" t="s">
        <v>5</v>
      </c>
      <c r="AM90" s="95"/>
    </row>
    <row r="91" spans="1:39" s="11" customFormat="1" ht="30" x14ac:dyDescent="0.25">
      <c r="A91" s="259"/>
      <c r="B91" s="234"/>
      <c r="C91" s="273"/>
      <c r="D91" s="234"/>
      <c r="E91" s="273"/>
      <c r="F91" s="256"/>
      <c r="G91" s="281"/>
      <c r="H91" s="227"/>
      <c r="I91" s="12"/>
      <c r="J91" s="164" t="s">
        <v>59</v>
      </c>
      <c r="K91" s="164" t="s">
        <v>60</v>
      </c>
      <c r="L91" s="183" t="s">
        <v>64</v>
      </c>
      <c r="M91" s="164" t="s">
        <v>63</v>
      </c>
      <c r="N91" s="12"/>
      <c r="O91" s="184" t="s">
        <v>59</v>
      </c>
      <c r="P91" s="164" t="s">
        <v>60</v>
      </c>
      <c r="Q91" s="184" t="s">
        <v>62</v>
      </c>
      <c r="R91" s="164" t="s">
        <v>63</v>
      </c>
      <c r="S91" s="10"/>
      <c r="T91" s="184" t="s">
        <v>59</v>
      </c>
      <c r="U91" s="164" t="s">
        <v>60</v>
      </c>
      <c r="V91" s="164" t="s">
        <v>62</v>
      </c>
      <c r="W91" s="164" t="s">
        <v>63</v>
      </c>
      <c r="Y91" s="164" t="s">
        <v>59</v>
      </c>
      <c r="Z91" s="164" t="s">
        <v>60</v>
      </c>
      <c r="AA91" s="164" t="s">
        <v>64</v>
      </c>
      <c r="AB91" s="164" t="s">
        <v>63</v>
      </c>
      <c r="AD91" s="164" t="s">
        <v>59</v>
      </c>
      <c r="AE91" s="164" t="s">
        <v>60</v>
      </c>
      <c r="AF91" s="164" t="s">
        <v>64</v>
      </c>
      <c r="AG91" s="164" t="s">
        <v>63</v>
      </c>
      <c r="AI91" s="273"/>
      <c r="AJ91" s="273"/>
      <c r="AK91" s="280"/>
      <c r="AL91" s="273"/>
      <c r="AM91" s="95"/>
    </row>
    <row r="92" spans="1:39" ht="45" x14ac:dyDescent="0.25">
      <c r="A92" s="266" t="s">
        <v>138</v>
      </c>
      <c r="B92" s="235" t="s">
        <v>139</v>
      </c>
      <c r="C92" s="235" t="s">
        <v>140</v>
      </c>
      <c r="D92" s="235" t="s">
        <v>154</v>
      </c>
      <c r="E92" s="268" t="str">
        <f>C85</f>
        <v xml:space="preserve"> Incrementar la efectividad de la gestión pública distrital y local. </v>
      </c>
      <c r="F92" s="112" t="s">
        <v>166</v>
      </c>
      <c r="G92" s="112" t="s">
        <v>141</v>
      </c>
      <c r="H92" s="276" t="str">
        <f>C87</f>
        <v>Gestión pública efectiva, abierta y transparente</v>
      </c>
      <c r="I92" s="14"/>
      <c r="J92" s="138">
        <v>0.1</v>
      </c>
      <c r="K92" s="139">
        <v>0.1</v>
      </c>
      <c r="L92" s="126"/>
      <c r="M92" s="106"/>
      <c r="N92" s="107"/>
      <c r="O92" s="138">
        <v>0.25</v>
      </c>
      <c r="P92" s="154">
        <v>0.25</v>
      </c>
      <c r="Q92" s="106"/>
      <c r="R92" s="106"/>
      <c r="S92" s="193"/>
      <c r="T92" s="213">
        <v>0.3</v>
      </c>
      <c r="U92" s="214">
        <v>0.3</v>
      </c>
      <c r="V92" s="188"/>
      <c r="W92" s="189"/>
      <c r="X92" s="109"/>
      <c r="Y92" s="213">
        <v>0.25</v>
      </c>
      <c r="Z92" s="186">
        <v>6.5000000000000002E-2</v>
      </c>
      <c r="AA92" s="188"/>
      <c r="AB92" s="189"/>
      <c r="AC92" s="109"/>
      <c r="AD92" s="141">
        <v>0.1</v>
      </c>
      <c r="AE92" s="213">
        <v>0</v>
      </c>
      <c r="AF92" s="188"/>
      <c r="AG92" s="189"/>
      <c r="AH92" s="193"/>
      <c r="AI92" s="141">
        <f t="shared" ref="AI92:AL97" si="7">J92+O92+T92+Y92+AD92</f>
        <v>0.99999999999999989</v>
      </c>
      <c r="AJ92" s="139">
        <f t="shared" si="7"/>
        <v>0.71499999999999986</v>
      </c>
      <c r="AK92" s="111">
        <f t="shared" si="7"/>
        <v>0</v>
      </c>
      <c r="AL92" s="111">
        <f t="shared" si="7"/>
        <v>0</v>
      </c>
      <c r="AM92" s="96"/>
    </row>
    <row r="93" spans="1:39" ht="45" x14ac:dyDescent="0.25">
      <c r="A93" s="267"/>
      <c r="B93" s="242"/>
      <c r="C93" s="242"/>
      <c r="D93" s="242"/>
      <c r="E93" s="269"/>
      <c r="F93" s="215" t="s">
        <v>142</v>
      </c>
      <c r="G93" s="215" t="s">
        <v>143</v>
      </c>
      <c r="H93" s="277"/>
      <c r="I93" s="14"/>
      <c r="J93" s="140">
        <v>0.1</v>
      </c>
      <c r="K93" s="144">
        <v>0.1</v>
      </c>
      <c r="L93" s="123">
        <v>3048.153773</v>
      </c>
      <c r="M93" s="29">
        <v>2948.422376</v>
      </c>
      <c r="N93" s="23"/>
      <c r="O93" s="140">
        <v>0.25</v>
      </c>
      <c r="P93" s="155">
        <v>0.25</v>
      </c>
      <c r="Q93" s="62">
        <f>3679264491/L1</f>
        <v>3679.2644909999999</v>
      </c>
      <c r="R93" s="29">
        <f>3664659327/L1</f>
        <v>3664.6593269999998</v>
      </c>
      <c r="S93" s="185"/>
      <c r="T93" s="216">
        <v>0.3</v>
      </c>
      <c r="U93" s="217">
        <v>0.3</v>
      </c>
      <c r="V93" s="62">
        <f>4404578840/L1</f>
        <v>4404.5788400000001</v>
      </c>
      <c r="W93" s="62">
        <f>4404578838/L1</f>
        <v>4404.5788380000004</v>
      </c>
      <c r="X93" s="97"/>
      <c r="Y93" s="216">
        <v>0.25</v>
      </c>
      <c r="Z93" s="195">
        <v>6.0600000000000001E-2</v>
      </c>
      <c r="AA93" s="62">
        <f>4908646640/L1</f>
        <v>4908.6466399999999</v>
      </c>
      <c r="AB93" s="191">
        <f>1993337520/L1</f>
        <v>1993.33752</v>
      </c>
      <c r="AC93" s="97"/>
      <c r="AD93" s="142">
        <v>0.1</v>
      </c>
      <c r="AE93" s="218">
        <v>0</v>
      </c>
      <c r="AF93" s="62">
        <f xml:space="preserve"> 5187872534/L1</f>
        <v>5187.8725340000001</v>
      </c>
      <c r="AG93" s="191"/>
      <c r="AH93" s="185"/>
      <c r="AI93" s="142">
        <f t="shared" si="7"/>
        <v>0.99999999999999989</v>
      </c>
      <c r="AJ93" s="144">
        <f t="shared" si="7"/>
        <v>0.7105999999999999</v>
      </c>
      <c r="AK93" s="61">
        <f t="shared" si="7"/>
        <v>21228.516278000003</v>
      </c>
      <c r="AL93" s="61">
        <f t="shared" si="7"/>
        <v>13010.998061000002</v>
      </c>
      <c r="AM93" s="96"/>
    </row>
    <row r="94" spans="1:39" ht="45" x14ac:dyDescent="0.25">
      <c r="A94" s="267"/>
      <c r="B94" s="242"/>
      <c r="C94" s="242"/>
      <c r="D94" s="242"/>
      <c r="E94" s="269"/>
      <c r="F94" s="215" t="s">
        <v>144</v>
      </c>
      <c r="G94" s="215" t="s">
        <v>145</v>
      </c>
      <c r="H94" s="277"/>
      <c r="I94" s="14"/>
      <c r="J94" s="140">
        <v>0.1</v>
      </c>
      <c r="K94" s="137">
        <v>0.1</v>
      </c>
      <c r="L94" s="123">
        <v>1331.746357</v>
      </c>
      <c r="M94" s="29">
        <v>1314.039006</v>
      </c>
      <c r="N94" s="23"/>
      <c r="O94" s="140">
        <v>0.25</v>
      </c>
      <c r="P94" s="155">
        <v>0.25</v>
      </c>
      <c r="Q94" s="62">
        <f>2926616487/L1</f>
        <v>2926.6164869999998</v>
      </c>
      <c r="R94" s="29">
        <f>2923453407/L1</f>
        <v>2923.453407</v>
      </c>
      <c r="S94" s="185"/>
      <c r="T94" s="216">
        <v>0.3</v>
      </c>
      <c r="U94" s="196">
        <v>0.3</v>
      </c>
      <c r="V94" s="62">
        <f>3179641038/L1</f>
        <v>3179.6410380000002</v>
      </c>
      <c r="W94" s="62">
        <f>3179601851/L1</f>
        <v>3179.6018509999999</v>
      </c>
      <c r="X94" s="97"/>
      <c r="Y94" s="216">
        <v>0.25</v>
      </c>
      <c r="Z94" s="195">
        <v>4.4999999999999998E-2</v>
      </c>
      <c r="AA94" s="62">
        <f>3105678000/L1</f>
        <v>3105.6779999999999</v>
      </c>
      <c r="AB94" s="191">
        <f>943850262/L1</f>
        <v>943.85026200000004</v>
      </c>
      <c r="AC94" s="97"/>
      <c r="AD94" s="142">
        <v>0.1</v>
      </c>
      <c r="AE94" s="99">
        <v>0</v>
      </c>
      <c r="AF94" s="62">
        <f>3323079740/L1</f>
        <v>3323.0797400000001</v>
      </c>
      <c r="AG94" s="191"/>
      <c r="AH94" s="185"/>
      <c r="AI94" s="142">
        <f t="shared" si="7"/>
        <v>0.99999999999999989</v>
      </c>
      <c r="AJ94" s="144">
        <f t="shared" si="7"/>
        <v>0.69499999999999995</v>
      </c>
      <c r="AK94" s="61">
        <f t="shared" si="7"/>
        <v>13866.761621999998</v>
      </c>
      <c r="AL94" s="61">
        <f t="shared" si="7"/>
        <v>8360.9445259999993</v>
      </c>
      <c r="AM94" s="96"/>
    </row>
    <row r="95" spans="1:39" ht="75" x14ac:dyDescent="0.25">
      <c r="A95" s="267"/>
      <c r="B95" s="242"/>
      <c r="C95" s="242"/>
      <c r="D95" s="242"/>
      <c r="E95" s="269"/>
      <c r="F95" s="215" t="s">
        <v>146</v>
      </c>
      <c r="G95" s="215" t="s">
        <v>147</v>
      </c>
      <c r="H95" s="277"/>
      <c r="I95" s="14"/>
      <c r="J95" s="128">
        <v>1.5</v>
      </c>
      <c r="K95" s="129">
        <v>1.5</v>
      </c>
      <c r="L95" s="123">
        <v>147.96897799999999</v>
      </c>
      <c r="M95" s="29">
        <v>147.96897799999999</v>
      </c>
      <c r="N95" s="23"/>
      <c r="O95" s="132">
        <v>3.75</v>
      </c>
      <c r="P95" s="132">
        <v>3.75</v>
      </c>
      <c r="Q95" s="62">
        <f>226913453/L1</f>
        <v>226.913453</v>
      </c>
      <c r="R95" s="29">
        <f>226511474/L1</f>
        <v>226.51147399999999</v>
      </c>
      <c r="S95" s="185"/>
      <c r="T95" s="132">
        <v>4.5</v>
      </c>
      <c r="U95" s="132">
        <v>4.5</v>
      </c>
      <c r="V95" s="62">
        <f>329259368/L1</f>
        <v>329.25936799999999</v>
      </c>
      <c r="W95" s="62">
        <f>329259368/L1</f>
        <v>329.25936799999999</v>
      </c>
      <c r="X95" s="97"/>
      <c r="Y95" s="132">
        <v>3.75</v>
      </c>
      <c r="Z95" s="132">
        <v>0.94</v>
      </c>
      <c r="AA95" s="62">
        <f>243037360/L1</f>
        <v>243.03736000000001</v>
      </c>
      <c r="AB95" s="191">
        <f>109917360/L1</f>
        <v>109.91736</v>
      </c>
      <c r="AC95" s="97"/>
      <c r="AD95" s="132">
        <v>1.5</v>
      </c>
      <c r="AE95" s="132">
        <v>0</v>
      </c>
      <c r="AF95" s="62">
        <f>361306900/L1</f>
        <v>361.30689999999998</v>
      </c>
      <c r="AG95" s="191"/>
      <c r="AH95" s="185"/>
      <c r="AI95" s="133">
        <f t="shared" si="7"/>
        <v>15</v>
      </c>
      <c r="AJ95" s="161">
        <f t="shared" si="7"/>
        <v>10.69</v>
      </c>
      <c r="AK95" s="61">
        <f t="shared" si="7"/>
        <v>1308.4860590000001</v>
      </c>
      <c r="AL95" s="61">
        <f t="shared" si="7"/>
        <v>813.65718000000004</v>
      </c>
      <c r="AM95" s="158"/>
    </row>
    <row r="96" spans="1:39" ht="60" x14ac:dyDescent="0.25">
      <c r="A96" s="267"/>
      <c r="B96" s="242"/>
      <c r="C96" s="242"/>
      <c r="D96" s="242"/>
      <c r="E96" s="269"/>
      <c r="F96" s="215" t="s">
        <v>167</v>
      </c>
      <c r="G96" s="215" t="s">
        <v>149</v>
      </c>
      <c r="H96" s="277"/>
      <c r="I96" s="14"/>
      <c r="J96" s="26">
        <v>0</v>
      </c>
      <c r="K96" s="137">
        <v>0</v>
      </c>
      <c r="L96" s="123">
        <v>0</v>
      </c>
      <c r="M96" s="29">
        <v>0</v>
      </c>
      <c r="N96" s="23"/>
      <c r="O96" s="26">
        <v>0.35</v>
      </c>
      <c r="P96" s="143">
        <v>0.35</v>
      </c>
      <c r="Q96" s="136">
        <f>322206012/L1</f>
        <v>322.20601199999999</v>
      </c>
      <c r="R96" s="29">
        <f>322206012/L1</f>
        <v>322.20601199999999</v>
      </c>
      <c r="S96" s="185"/>
      <c r="T96" s="212">
        <v>0.3</v>
      </c>
      <c r="U96" s="219">
        <v>0.3</v>
      </c>
      <c r="V96" s="62">
        <f>1182721850/L1</f>
        <v>1182.7218499999999</v>
      </c>
      <c r="W96" s="62">
        <f>1182721830/L1</f>
        <v>1182.72183</v>
      </c>
      <c r="X96" s="97"/>
      <c r="Y96" s="212">
        <v>0.25</v>
      </c>
      <c r="Z96" s="195">
        <v>0.05</v>
      </c>
      <c r="AA96" s="62">
        <f>738818000/L1</f>
        <v>738.81799999999998</v>
      </c>
      <c r="AB96" s="191">
        <f>421798540/L1</f>
        <v>421.79854</v>
      </c>
      <c r="AC96" s="97"/>
      <c r="AD96" s="99">
        <v>0.1</v>
      </c>
      <c r="AE96" s="99">
        <v>0</v>
      </c>
      <c r="AF96" s="62">
        <f>747519120/L1</f>
        <v>747.51912000000004</v>
      </c>
      <c r="AG96" s="191"/>
      <c r="AH96" s="185"/>
      <c r="AI96" s="99">
        <f t="shared" si="7"/>
        <v>0.99999999999999989</v>
      </c>
      <c r="AJ96" s="120">
        <f t="shared" si="7"/>
        <v>0.7</v>
      </c>
      <c r="AK96" s="61">
        <f t="shared" si="7"/>
        <v>2991.2649819999997</v>
      </c>
      <c r="AL96" s="61">
        <f t="shared" si="7"/>
        <v>1926.7263820000001</v>
      </c>
      <c r="AM96" s="96"/>
    </row>
    <row r="97" spans="1:43" ht="24.75" customHeight="1" x14ac:dyDescent="0.25">
      <c r="A97" s="208"/>
      <c r="B97" s="165"/>
      <c r="C97" s="165"/>
      <c r="D97" s="165"/>
      <c r="E97" s="167"/>
      <c r="F97" s="215" t="s">
        <v>148</v>
      </c>
      <c r="G97" s="215" t="s">
        <v>149</v>
      </c>
      <c r="H97" s="168"/>
      <c r="I97" s="14"/>
      <c r="J97" s="26">
        <v>0.05</v>
      </c>
      <c r="K97" s="137">
        <v>0.05</v>
      </c>
      <c r="L97" s="123">
        <v>2200.3575080000001</v>
      </c>
      <c r="M97" s="29">
        <v>1998.231702</v>
      </c>
      <c r="N97" s="23"/>
      <c r="O97" s="135">
        <v>0.125</v>
      </c>
      <c r="P97" s="147">
        <v>0.125</v>
      </c>
      <c r="Q97" s="136">
        <f>2090691557/L1</f>
        <v>2090.6915570000001</v>
      </c>
      <c r="R97" s="29">
        <f>2083805588/L1</f>
        <v>2083.8055880000002</v>
      </c>
      <c r="S97" s="185"/>
      <c r="T97" s="212">
        <v>0.15</v>
      </c>
      <c r="U97" s="196">
        <v>0.15</v>
      </c>
      <c r="V97" s="62">
        <f xml:space="preserve"> 2903798904/L1</f>
        <v>2903.7989040000002</v>
      </c>
      <c r="W97" s="62">
        <f>2883365115/L1</f>
        <v>2883.3651150000001</v>
      </c>
      <c r="X97" s="97"/>
      <c r="Y97" s="220">
        <v>0.125</v>
      </c>
      <c r="Z97" s="195">
        <v>4.6300000000000001E-2</v>
      </c>
      <c r="AA97" s="62">
        <f>3266976000/L1</f>
        <v>3266.9760000000001</v>
      </c>
      <c r="AB97" s="191">
        <f>67262326/L1</f>
        <v>67.262326000000002</v>
      </c>
      <c r="AC97" s="97"/>
      <c r="AD97" s="99">
        <v>0.05</v>
      </c>
      <c r="AE97" s="99">
        <v>0</v>
      </c>
      <c r="AF97" s="62">
        <f>2781251390/L1</f>
        <v>2781.2513899999999</v>
      </c>
      <c r="AG97" s="191"/>
      <c r="AH97" s="185"/>
      <c r="AI97" s="99">
        <f t="shared" si="7"/>
        <v>0.49999999999999994</v>
      </c>
      <c r="AJ97" s="137">
        <f t="shared" si="7"/>
        <v>0.37129999999999996</v>
      </c>
      <c r="AK97" s="61">
        <f t="shared" si="7"/>
        <v>13243.075359</v>
      </c>
      <c r="AL97" s="61">
        <f t="shared" si="7"/>
        <v>7032.6647310000008</v>
      </c>
      <c r="AM97" s="96"/>
    </row>
    <row r="98" spans="1:43" s="6" customFormat="1" ht="15.75" x14ac:dyDescent="0.25">
      <c r="A98" s="197"/>
      <c r="B98" s="166" t="s">
        <v>103</v>
      </c>
      <c r="C98" s="166"/>
      <c r="D98" s="166"/>
      <c r="E98" s="166"/>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12263.155999999999</v>
      </c>
      <c r="AB98" s="121">
        <f>SUM(AB92:AB97)</f>
        <v>3536.1660080000001</v>
      </c>
      <c r="AC98" s="100"/>
      <c r="AD98" s="41"/>
      <c r="AE98" s="42"/>
      <c r="AF98" s="121">
        <f>SUM(AF92:AF97)</f>
        <v>12401.029683999999</v>
      </c>
      <c r="AG98" s="121">
        <f>SUM(AG92:AG97)</f>
        <v>0</v>
      </c>
      <c r="AI98" s="93"/>
      <c r="AJ98" s="93"/>
      <c r="AK98" s="121">
        <f>SUM(AK92:AK97)</f>
        <v>52638.104300000006</v>
      </c>
      <c r="AL98" s="121">
        <f>SUM(AL92:AL97)</f>
        <v>31144.990880000001</v>
      </c>
      <c r="AM98" s="223">
        <f>+M98+R98+W98+AB98+AG98-AL98</f>
        <v>0</v>
      </c>
      <c r="AN98" s="50"/>
      <c r="AO98" s="162"/>
      <c r="AP98" s="162"/>
      <c r="AQ98" s="95"/>
    </row>
    <row r="104" spans="1:43" x14ac:dyDescent="0.25">
      <c r="L104" s="209">
        <f>+L27+L44+L65+L80+L98</f>
        <v>34805.360567999996</v>
      </c>
      <c r="M104" s="209">
        <f>+M27+M44+M65+M80+M98</f>
        <v>32205.852919000001</v>
      </c>
      <c r="Q104" s="209">
        <f>+Q27+Q44+Q65+Q80+Q98</f>
        <v>118190.417026</v>
      </c>
      <c r="R104" s="209">
        <f>+R27+R44+R65+R80+R98</f>
        <v>111757.48825600001</v>
      </c>
      <c r="V104" s="209">
        <f>+V27+V44+V65+V80+V98</f>
        <v>93563.653000000006</v>
      </c>
      <c r="W104" s="209">
        <f>+W27+W44+W65+W80+W98</f>
        <v>92813.228541000004</v>
      </c>
      <c r="AA104" s="209">
        <f>+AA27+AA44+AA65+AA80+AA98</f>
        <v>80076.742000000013</v>
      </c>
      <c r="AB104" s="209">
        <f>+AB27+AB44+AB65+AB80+AB98</f>
        <v>22341.066694999998</v>
      </c>
      <c r="AF104" s="209">
        <f>+AF27+AF44+AF65+AF80+AF98</f>
        <v>54625.619949</v>
      </c>
      <c r="AG104" s="209">
        <f>+AG27+AG44+AG65+AG80+AG98</f>
        <v>0</v>
      </c>
      <c r="AK104" s="209">
        <f>+AK27+AK44+AK65+AK80+AK98</f>
        <v>381261.79254299996</v>
      </c>
      <c r="AL104" s="209">
        <f>+AL27+AL44+AL65+AL80+AL98</f>
        <v>259117.63641099998</v>
      </c>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_pios_id" r:id="rId2"/>
    <customPr name="EpmWorksheetKeyString_GUID" r:id="rId3"/>
  </customProperties>
  <ignoredErrors>
    <ignoredError sqref="AI22 AI61:AI6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MAR 2023</vt:lpstr>
      <vt:lpstr>'MAR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Adriana Gomez Martinez</cp:lastModifiedBy>
  <cp:lastPrinted>2022-12-27T17:24:25Z</cp:lastPrinted>
  <dcterms:created xsi:type="dcterms:W3CDTF">2009-07-24T20:19:08Z</dcterms:created>
  <dcterms:modified xsi:type="dcterms:W3CDTF">2023-04-28T20:00:01Z</dcterms:modified>
</cp:coreProperties>
</file>