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PLURIANUAL 2021\"/>
    </mc:Choice>
  </mc:AlternateContent>
  <bookViews>
    <workbookView xWindow="0" yWindow="0" windowWidth="28800" windowHeight="11235" tabRatio="553" firstSheet="2" activeTab="2"/>
  </bookViews>
  <sheets>
    <sheet name="DIFERENCIAS" sheetId="52" state="hidden" r:id="rId1"/>
    <sheet name="SOPORTE REPROGRAMACIÓN $ 2017" sheetId="53" state="hidden" r:id="rId2"/>
    <sheet name="Enero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'Enero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F88" i="93" l="1"/>
  <c r="AF87" i="93"/>
  <c r="AF86" i="93"/>
  <c r="AF85" i="93"/>
  <c r="AF84" i="93"/>
  <c r="AA88" i="93"/>
  <c r="AA87" i="93"/>
  <c r="AA86" i="93"/>
  <c r="AA85" i="93"/>
  <c r="AA84" i="93"/>
  <c r="V88" i="93"/>
  <c r="V87" i="93"/>
  <c r="V86" i="93"/>
  <c r="V85" i="93"/>
  <c r="V84" i="93"/>
  <c r="Q88" i="93"/>
  <c r="Q87" i="93"/>
  <c r="Q86" i="93"/>
  <c r="Q85" i="93"/>
  <c r="Q84" i="93"/>
  <c r="AF55" i="93" l="1"/>
  <c r="AA55" i="93"/>
  <c r="V55" i="93"/>
  <c r="AF54" i="93"/>
  <c r="AA54" i="93"/>
  <c r="V54" i="93"/>
  <c r="AF53" i="93"/>
  <c r="AA53" i="93"/>
  <c r="V53" i="93"/>
  <c r="AI87" i="93" l="1"/>
  <c r="AI18" i="93"/>
  <c r="Q69" i="93" l="1"/>
  <c r="Q55" i="93"/>
  <c r="Q54" i="93"/>
  <c r="Q53" i="93"/>
  <c r="Q39" i="93"/>
  <c r="Q38" i="93"/>
  <c r="Q37" i="93"/>
  <c r="L69" i="93" l="1"/>
  <c r="AJ18" i="93" l="1"/>
  <c r="AF70" i="93" l="1"/>
  <c r="AF69" i="93"/>
  <c r="AA70" i="93"/>
  <c r="AA69" i="93"/>
  <c r="V70" i="93"/>
  <c r="V69" i="93"/>
  <c r="Q70" i="93"/>
  <c r="L70" i="93"/>
  <c r="AF37" i="93"/>
  <c r="AA38" i="93"/>
  <c r="AA37" i="93"/>
  <c r="V38" i="93"/>
  <c r="V37" i="93"/>
  <c r="AF23" i="93"/>
  <c r="AF21" i="93"/>
  <c r="AF19" i="93"/>
  <c r="AF18" i="93"/>
  <c r="AA23" i="93"/>
  <c r="AA21" i="93"/>
  <c r="AA19" i="93"/>
  <c r="AA18" i="93"/>
  <c r="V23" i="93"/>
  <c r="V21" i="93"/>
  <c r="V19" i="93"/>
  <c r="V18" i="93"/>
  <c r="Q23" i="93"/>
  <c r="Q21" i="93"/>
  <c r="Q19" i="93"/>
  <c r="Q18" i="93"/>
  <c r="L23" i="93"/>
  <c r="H83" i="93"/>
  <c r="E83" i="93"/>
  <c r="H68" i="93"/>
  <c r="E68" i="93"/>
  <c r="H52" i="93"/>
  <c r="E52" i="93"/>
  <c r="H36" i="93"/>
  <c r="E36" i="93"/>
  <c r="H17" i="93"/>
  <c r="E17" i="93"/>
  <c r="AG89" i="93" l="1"/>
  <c r="AF89" i="93"/>
  <c r="AB89" i="93"/>
  <c r="AA89" i="93"/>
  <c r="W89" i="93"/>
  <c r="V89" i="93"/>
  <c r="R89" i="93"/>
  <c r="Q89" i="93"/>
  <c r="M89" i="93"/>
  <c r="L89" i="93"/>
  <c r="AL88" i="93"/>
  <c r="AK88" i="93"/>
  <c r="AJ88" i="93"/>
  <c r="AI88" i="93"/>
  <c r="AL87" i="93" l="1"/>
  <c r="AK87" i="93"/>
  <c r="AJ87" i="93"/>
  <c r="AL86" i="93"/>
  <c r="AK86" i="93"/>
  <c r="AJ86" i="93"/>
  <c r="AI86" i="93"/>
  <c r="AL85" i="93"/>
  <c r="AK85" i="93"/>
  <c r="AJ85" i="93"/>
  <c r="AI85" i="93"/>
  <c r="AI84" i="93"/>
  <c r="AL84" i="93"/>
  <c r="AK84" i="93"/>
  <c r="AJ84" i="93"/>
  <c r="AI83" i="93"/>
  <c r="AL83" i="93"/>
  <c r="AK83" i="93"/>
  <c r="AJ83" i="93"/>
  <c r="AL70" i="93"/>
  <c r="AK70" i="93"/>
  <c r="AJ70" i="93"/>
  <c r="AI70" i="93"/>
  <c r="AJ69" i="93"/>
  <c r="AI69" i="93"/>
  <c r="AI68" i="93"/>
  <c r="AI55" i="93"/>
  <c r="AJ55" i="93"/>
  <c r="AK55" i="93"/>
  <c r="AL55" i="93"/>
  <c r="AI54" i="93"/>
  <c r="AI53" i="93"/>
  <c r="AI52" i="93"/>
  <c r="AI39" i="93"/>
  <c r="AI38" i="93"/>
  <c r="AL37" i="93"/>
  <c r="AK37" i="93"/>
  <c r="AJ37" i="93"/>
  <c r="AI37" i="93"/>
  <c r="AI36" i="93"/>
  <c r="AL23" i="93"/>
  <c r="AK23" i="93"/>
  <c r="AJ23" i="93"/>
  <c r="AI23" i="93"/>
  <c r="AL22" i="93"/>
  <c r="AK22" i="93"/>
  <c r="AJ22" i="93"/>
  <c r="AI22" i="93"/>
  <c r="AL21" i="93"/>
  <c r="AK21" i="93"/>
  <c r="AJ21" i="93"/>
  <c r="AI21" i="93"/>
  <c r="AL20" i="93"/>
  <c r="AK20" i="93"/>
  <c r="AJ20" i="93"/>
  <c r="AI20" i="93"/>
  <c r="AI19" i="93"/>
  <c r="AI17" i="93"/>
  <c r="AG71" i="93"/>
  <c r="AF71" i="93"/>
  <c r="AB71" i="93"/>
  <c r="AA71" i="93"/>
  <c r="W71" i="93"/>
  <c r="V71" i="93"/>
  <c r="R71" i="93"/>
  <c r="Q71" i="93"/>
  <c r="M71" i="93"/>
  <c r="L71" i="93"/>
  <c r="AL69" i="93"/>
  <c r="AK69" i="93"/>
  <c r="AL68" i="93"/>
  <c r="AK68" i="93"/>
  <c r="AJ68" i="93"/>
  <c r="AG56" i="93"/>
  <c r="AF56" i="93"/>
  <c r="AB56" i="93"/>
  <c r="AA56" i="93"/>
  <c r="W56" i="93"/>
  <c r="V56" i="93"/>
  <c r="R56" i="93"/>
  <c r="Q56" i="93"/>
  <c r="M56" i="93"/>
  <c r="L56" i="93"/>
  <c r="AL54" i="93"/>
  <c r="AK54" i="93"/>
  <c r="AJ54" i="93"/>
  <c r="AL53" i="93"/>
  <c r="AK53" i="93"/>
  <c r="AJ53" i="93"/>
  <c r="AL52" i="93"/>
  <c r="AK52" i="93"/>
  <c r="AJ52" i="93"/>
  <c r="AG40" i="93"/>
  <c r="AF40" i="93"/>
  <c r="AB40" i="93"/>
  <c r="AA40" i="93"/>
  <c r="W40" i="93"/>
  <c r="V40" i="93"/>
  <c r="R40" i="93"/>
  <c r="Q40" i="93"/>
  <c r="M40" i="93"/>
  <c r="L40" i="93"/>
  <c r="AL39" i="93"/>
  <c r="AK39" i="93"/>
  <c r="AJ39" i="93"/>
  <c r="AL38" i="93"/>
  <c r="AK38" i="93"/>
  <c r="AJ38" i="93"/>
  <c r="AL36" i="93"/>
  <c r="AK36" i="93"/>
  <c r="AJ36" i="93"/>
  <c r="M24" i="93"/>
  <c r="L24" i="93"/>
  <c r="R24" i="93"/>
  <c r="Q24" i="93"/>
  <c r="W24" i="93"/>
  <c r="V24" i="93"/>
  <c r="AB24" i="93"/>
  <c r="AA24" i="93"/>
  <c r="AF24" i="93"/>
  <c r="AL89" i="93" l="1"/>
  <c r="AK89" i="93"/>
  <c r="AL56" i="93"/>
  <c r="AK71" i="93"/>
  <c r="AK56" i="93"/>
  <c r="AL71" i="93"/>
  <c r="AK40" i="93"/>
  <c r="AL40" i="93"/>
  <c r="AG24" i="93" l="1"/>
  <c r="AL19" i="93"/>
  <c r="AK19" i="93"/>
  <c r="AJ19" i="93"/>
  <c r="AL17" i="93" l="1"/>
  <c r="AL18" i="93"/>
  <c r="AJ17" i="93"/>
  <c r="AK18" i="93"/>
  <c r="AK17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 s="1"/>
  <c r="L59" i="53" s="1"/>
  <c r="J58" i="53"/>
  <c r="N58" i="53" s="1"/>
  <c r="J49" i="53"/>
  <c r="P49" i="53"/>
  <c r="N49" i="53"/>
  <c r="J48" i="53"/>
  <c r="I50" i="53"/>
  <c r="I40" i="53"/>
  <c r="J38" i="53"/>
  <c r="L38" i="53" s="1"/>
  <c r="P38" i="53"/>
  <c r="J39" i="53"/>
  <c r="L39" i="53" s="1"/>
  <c r="J37" i="53"/>
  <c r="O36" i="53"/>
  <c r="J34" i="53"/>
  <c r="J35" i="53"/>
  <c r="L35" i="53" s="1"/>
  <c r="J33" i="53"/>
  <c r="P33" i="53" s="1"/>
  <c r="R33" i="53" s="1"/>
  <c r="I36" i="53"/>
  <c r="J31" i="53"/>
  <c r="J30" i="53"/>
  <c r="P30" i="53" s="1"/>
  <c r="I32" i="53"/>
  <c r="J17" i="53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2" i="53" s="1"/>
  <c r="Q31" i="53"/>
  <c r="Q33" i="53"/>
  <c r="Q36" i="53" s="1"/>
  <c r="Q34" i="53"/>
  <c r="Q35" i="53"/>
  <c r="Q37" i="53"/>
  <c r="Q40" i="53" s="1"/>
  <c r="Q38" i="53"/>
  <c r="Q39" i="53"/>
  <c r="Q48" i="53"/>
  <c r="Q49" i="53"/>
  <c r="Q57" i="53"/>
  <c r="Q59" i="53" s="1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R49" i="53" s="1"/>
  <c r="P57" i="53"/>
  <c r="P20" i="53"/>
  <c r="L33" i="53"/>
  <c r="L36" i="53" s="1"/>
  <c r="N33" i="53"/>
  <c r="N38" i="53"/>
  <c r="P37" i="53"/>
  <c r="N37" i="53"/>
  <c r="L37" i="53"/>
  <c r="R37" i="53" s="1"/>
  <c r="L30" i="53"/>
  <c r="N30" i="53"/>
  <c r="J36" i="53"/>
  <c r="L34" i="53"/>
  <c r="P34" i="53"/>
  <c r="P17" i="53"/>
  <c r="L17" i="53"/>
  <c r="P31" i="53"/>
  <c r="J32" i="53"/>
  <c r="L31" i="53"/>
  <c r="N31" i="53"/>
  <c r="N32" i="53" s="1"/>
  <c r="N34" i="53"/>
  <c r="N17" i="53"/>
  <c r="N19" i="53"/>
  <c r="L19" i="53"/>
  <c r="Q50" i="53"/>
  <c r="N48" i="53"/>
  <c r="N50" i="53"/>
  <c r="L48" i="53"/>
  <c r="P48" i="53"/>
  <c r="P58" i="53"/>
  <c r="P59" i="53" s="1"/>
  <c r="J50" i="53"/>
  <c r="L20" i="53"/>
  <c r="J59" i="53"/>
  <c r="L66" i="53"/>
  <c r="L67" i="53" s="1"/>
  <c r="J67" i="53"/>
  <c r="P16" i="53"/>
  <c r="L58" i="53"/>
  <c r="P66" i="53"/>
  <c r="P67" i="53" s="1"/>
  <c r="N16" i="53"/>
  <c r="L32" i="53"/>
  <c r="L50" i="53"/>
  <c r="R48" i="53"/>
  <c r="R66" i="53" l="1"/>
  <c r="R67" i="53" s="1"/>
  <c r="T67" i="53" s="1"/>
  <c r="J21" i="53"/>
  <c r="R57" i="53"/>
  <c r="Q21" i="53"/>
  <c r="Q69" i="53" s="1"/>
  <c r="R31" i="53"/>
  <c r="R50" i="53"/>
  <c r="T50" i="53" s="1"/>
  <c r="P50" i="53"/>
  <c r="P35" i="53"/>
  <c r="P18" i="53"/>
  <c r="P21" i="53" s="1"/>
  <c r="R17" i="53"/>
  <c r="F69" i="53"/>
  <c r="N35" i="53"/>
  <c r="N36" i="53" s="1"/>
  <c r="R20" i="53"/>
  <c r="R19" i="53"/>
  <c r="N18" i="53"/>
  <c r="R18" i="53" s="1"/>
  <c r="R34" i="53"/>
  <c r="R30" i="53"/>
  <c r="R32" i="53" s="1"/>
  <c r="T32" i="53" s="1"/>
  <c r="P32" i="53"/>
  <c r="R58" i="53"/>
  <c r="R59" i="53" s="1"/>
  <c r="T59" i="53" s="1"/>
  <c r="N59" i="53"/>
  <c r="L21" i="53"/>
  <c r="R16" i="53"/>
  <c r="L40" i="53"/>
  <c r="R38" i="53"/>
  <c r="P36" i="53"/>
  <c r="P39" i="53"/>
  <c r="P40" i="53" s="1"/>
  <c r="J40" i="53"/>
  <c r="N39" i="53"/>
  <c r="N40" i="53" s="1"/>
  <c r="AK24" i="93"/>
  <c r="AL24" i="93"/>
  <c r="R35" i="53" l="1"/>
  <c r="R36" i="53" s="1"/>
  <c r="T36" i="53" s="1"/>
  <c r="R21" i="53"/>
  <c r="N21" i="53"/>
  <c r="T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<sst xmlns="http://schemas.openxmlformats.org/spreadsheetml/2006/main" count="490" uniqueCount="177">
  <si>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</si>
  <si>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</si>
  <si>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</si>
  <si>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</si>
  <si>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</si>
  <si>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</si>
  <si>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</si>
  <si>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</si>
  <si>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</si>
  <si>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</si>
  <si>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</si>
  <si>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</si>
  <si>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</si>
  <si>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</si>
  <si>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</si>
  <si>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</si>
  <si>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</si>
  <si>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</si>
  <si>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</si>
  <si>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</si>
  <si>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</si>
  <si>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</si>
  <si>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</si>
  <si>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</si>
  <si>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</si>
  <si>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</si>
  <si>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</si>
  <si>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</si>
  <si>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</si>
  <si>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</si>
  <si>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</si>
  <si>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</si>
  <si>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</si>
  <si>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</si>
  <si>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</si>
  <si>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</si>
  <si>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</si>
  <si>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</si>
  <si>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</si>
  <si>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</si>
  <si>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</si>
  <si>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</si>
  <si>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</si>
  <si>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</si>
  <si>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</si>
  <si>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</si>
  <si>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</si>
  <si>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</si>
  <si>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</si>
  <si>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</si>
  <si>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</si>
  <si>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</si>
  <si>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</si>
  <si>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</si>
  <si>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</si>
  <si>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</si>
  <si>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</si>
  <si>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</si>
  <si>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</si>
  <si>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</si>
  <si>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</si>
  <si>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</si>
  <si>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</si>
  <si>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</si>
  <si>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</si>
  <si>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</si>
  <si>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</si>
  <si>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</si>
  <si>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</si>
  <si>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</si>
  <si>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</si>
  <si>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</si>
  <si>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</si>
  <si>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</si>
  <si>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</si>
  <si>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</si>
  <si>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</si>
  <si>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</si>
  <si>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</si>
  <si>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</si>
  <si>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</si>
  <si>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</si>
  <si>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</si>
  <si>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</si>
  <si>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</si>
  <si>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</si>
  <si>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</si>
  <si>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</si>
  <si>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</si>
  <si>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</si>
  <si>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</si>
  <si>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</si>
  <si>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</si>
  <si>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</si>
  <si>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</si>
  <si>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</si>
  <si>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</si>
  <si>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</si>
  <si>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</si>
  <si>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</si>
  <si>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</si>
  <si>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</si>
  <si>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</si>
  <si>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</si>
  <si>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</si>
  <si>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</si>
  <si>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</si>
  <si>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</si>
  <si>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</si>
  <si>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</si>
  <si>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</si>
  <si>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</si>
  <si>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</si>
  <si>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</si>
  <si>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</si>
  <si>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</si>
  <si>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</si>
  <si>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</si>
  <si>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</si>
  <si>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</si>
  <si>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</si>
  <si>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</si>
  <si>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</si>
  <si>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</si>
  <si>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</si>
  <si>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</si>
  <si>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</si>
  <si>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</si>
  <si>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</si>
  <si>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</si>
  <si>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</si>
  <si>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</si>
  <si>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</si>
  <si>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</si>
  <si>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</si>
  <si>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</si>
  <si>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</si>
  <si>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Construir 90.000 m2 de en espacio público en los territorios priorizados para realizar el mejoramiento de barrios en las Upz tipo1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</si>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</sst>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32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190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0" fontId="10" fillId="5" borderId="3" xfId="149" applyNumberFormat="1" applyFont="1" applyFill="1" applyBorder="1" applyAlignment="1">
      <alignment horizontal="center" vertical="center" wrapText="1"/>
    </xf>
    <xf numFmtId="170" fontId="27" fillId="16" borderId="3" xfId="149" applyNumberFormat="1" applyFont="1" applyFill="1" applyBorder="1" applyAlignment="1">
      <alignment horizontal="center" vertical="center"/>
    </xf>
    <xf numFmtId="170" fontId="27" fillId="0" borderId="3" xfId="149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189" fontId="35" fillId="0" borderId="3" xfId="80" applyNumberFormat="1" applyFont="1" applyFill="1" applyBorder="1" applyAlignment="1">
      <alignment horizontal="center" vertical="center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202" t="s">
        <v>0</v>
      </c>
      <c r="B3" s="203"/>
      <c r="C3" s="203"/>
      <c r="D3" s="204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202" t="s">
        <v>14</v>
      </c>
      <c r="B4" s="203"/>
      <c r="C4" s="203"/>
      <c r="D4" s="204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202" t="s">
        <v>0</v>
      </c>
      <c r="B5" s="203"/>
      <c r="C5" s="203"/>
      <c r="D5" s="204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202" t="s">
        <v>15</v>
      </c>
      <c r="B6" s="203"/>
      <c r="C6" s="203"/>
      <c r="D6" s="204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11" t="s">
        <v>85</v>
      </c>
      <c r="B8" s="212"/>
      <c r="C8" s="212"/>
      <c r="D8" s="212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13" t="s">
        <v>16</v>
      </c>
      <c r="C10" s="213"/>
      <c r="D10" s="213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8" t="s">
        <v>2</v>
      </c>
      <c r="B13" s="183" t="s">
        <v>3</v>
      </c>
      <c r="C13" s="183" t="s">
        <v>67</v>
      </c>
      <c r="D13" s="205" t="s">
        <v>19</v>
      </c>
      <c r="E13" s="10"/>
      <c r="F13" s="67">
        <v>2016</v>
      </c>
      <c r="G13" s="10"/>
      <c r="H13" s="179">
        <v>2017</v>
      </c>
      <c r="I13" s="180"/>
      <c r="J13" s="216"/>
      <c r="K13" s="179">
        <v>2018</v>
      </c>
      <c r="L13" s="216"/>
      <c r="M13" s="179">
        <v>2019</v>
      </c>
      <c r="N13" s="216"/>
      <c r="O13" s="179">
        <v>2020</v>
      </c>
      <c r="P13" s="180"/>
      <c r="Q13" s="180" t="s">
        <v>78</v>
      </c>
      <c r="R13" s="180"/>
    </row>
    <row r="14" spans="1:18" s="11" customFormat="1" ht="15" customHeight="1" x14ac:dyDescent="0.25">
      <c r="A14" s="209"/>
      <c r="B14" s="184"/>
      <c r="C14" s="184"/>
      <c r="D14" s="206"/>
      <c r="E14" s="10"/>
      <c r="F14" s="177" t="s">
        <v>8</v>
      </c>
      <c r="G14" s="10"/>
      <c r="H14" s="177" t="s">
        <v>8</v>
      </c>
      <c r="I14" s="177" t="s">
        <v>84</v>
      </c>
      <c r="J14" s="177" t="s">
        <v>80</v>
      </c>
      <c r="K14" s="177" t="s">
        <v>8</v>
      </c>
      <c r="L14" s="177" t="s">
        <v>79</v>
      </c>
      <c r="M14" s="177" t="s">
        <v>8</v>
      </c>
      <c r="N14" s="177" t="s">
        <v>79</v>
      </c>
      <c r="O14" s="181" t="s">
        <v>8</v>
      </c>
      <c r="P14" s="177" t="s">
        <v>79</v>
      </c>
      <c r="Q14" s="181" t="s">
        <v>8</v>
      </c>
      <c r="R14" s="177" t="s">
        <v>79</v>
      </c>
    </row>
    <row r="15" spans="1:18" s="11" customFormat="1" ht="47.25" customHeight="1" x14ac:dyDescent="0.25">
      <c r="A15" s="210"/>
      <c r="B15" s="185"/>
      <c r="C15" s="185"/>
      <c r="D15" s="207"/>
      <c r="E15" s="12"/>
      <c r="F15" s="177"/>
      <c r="G15" s="12"/>
      <c r="H15" s="177"/>
      <c r="I15" s="177"/>
      <c r="J15" s="177"/>
      <c r="K15" s="177"/>
      <c r="L15" s="177"/>
      <c r="M15" s="177"/>
      <c r="N15" s="177"/>
      <c r="O15" s="182"/>
      <c r="P15" s="177"/>
      <c r="Q15" s="182"/>
      <c r="R15" s="177"/>
    </row>
    <row r="16" spans="1:18" ht="60" customHeight="1" x14ac:dyDescent="0.25">
      <c r="A16" s="214" t="s">
        <v>11</v>
      </c>
      <c r="B16" s="186" t="s">
        <v>12</v>
      </c>
      <c r="C16" s="186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15"/>
      <c r="B17" s="193"/>
      <c r="C17" s="193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15"/>
      <c r="B18" s="193"/>
      <c r="C18" s="193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15"/>
      <c r="B19" s="193"/>
      <c r="C19" s="193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15"/>
      <c r="B20" s="187"/>
      <c r="C20" s="187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8" t="s">
        <v>2</v>
      </c>
      <c r="B26" s="178" t="s">
        <v>3</v>
      </c>
      <c r="C26" s="183" t="s">
        <v>67</v>
      </c>
      <c r="D26" s="178" t="s">
        <v>19</v>
      </c>
      <c r="E26" s="10"/>
      <c r="F26" s="71">
        <v>2016</v>
      </c>
      <c r="G26" s="79"/>
      <c r="H26" s="178">
        <v>2017</v>
      </c>
      <c r="I26" s="178"/>
      <c r="J26" s="178"/>
      <c r="K26" s="178">
        <v>2018</v>
      </c>
      <c r="L26" s="178"/>
      <c r="M26" s="178">
        <v>2019</v>
      </c>
      <c r="N26" s="178"/>
      <c r="O26" s="178">
        <v>2020</v>
      </c>
      <c r="P26" s="178"/>
      <c r="Q26" s="178" t="s">
        <v>78</v>
      </c>
      <c r="R26" s="178"/>
    </row>
    <row r="27" spans="1:20" s="11" customFormat="1" ht="15" customHeight="1" x14ac:dyDescent="0.25">
      <c r="A27" s="178"/>
      <c r="B27" s="178"/>
      <c r="C27" s="184"/>
      <c r="D27" s="178"/>
      <c r="E27" s="10"/>
      <c r="F27" s="177" t="s">
        <v>8</v>
      </c>
      <c r="G27" s="79"/>
      <c r="H27" s="177" t="s">
        <v>8</v>
      </c>
      <c r="I27" s="177" t="s">
        <v>84</v>
      </c>
      <c r="J27" s="177" t="s">
        <v>80</v>
      </c>
      <c r="K27" s="177" t="s">
        <v>8</v>
      </c>
      <c r="L27" s="177" t="s">
        <v>79</v>
      </c>
      <c r="M27" s="177" t="s">
        <v>8</v>
      </c>
      <c r="N27" s="177" t="s">
        <v>79</v>
      </c>
      <c r="O27" s="177" t="s">
        <v>8</v>
      </c>
      <c r="P27" s="177" t="s">
        <v>79</v>
      </c>
      <c r="Q27" s="177" t="s">
        <v>8</v>
      </c>
      <c r="R27" s="177" t="s">
        <v>79</v>
      </c>
    </row>
    <row r="28" spans="1:20" s="11" customFormat="1" ht="47.25" customHeight="1" x14ac:dyDescent="0.25">
      <c r="A28" s="178"/>
      <c r="B28" s="178"/>
      <c r="C28" s="185"/>
      <c r="D28" s="178"/>
      <c r="E28" s="12"/>
      <c r="F28" s="177"/>
      <c r="G28" s="80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</row>
    <row r="29" spans="1:20" ht="51" hidden="1" customHeight="1" x14ac:dyDescent="0.25">
      <c r="A29" s="200" t="s">
        <v>24</v>
      </c>
      <c r="B29" s="201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00"/>
      <c r="B30" s="201"/>
      <c r="C30" s="201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00"/>
      <c r="B31" s="201"/>
      <c r="C31" s="201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94" t="s">
        <v>10</v>
      </c>
      <c r="B33" s="197" t="s">
        <v>26</v>
      </c>
      <c r="C33" s="197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95"/>
      <c r="B34" s="198"/>
      <c r="C34" s="198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6"/>
      <c r="B35" s="199"/>
      <c r="C35" s="199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90" t="s">
        <v>27</v>
      </c>
      <c r="B37" s="186" t="s">
        <v>28</v>
      </c>
      <c r="C37" s="186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91"/>
      <c r="B38" s="193"/>
      <c r="C38" s="193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92"/>
      <c r="B39" s="187"/>
      <c r="C39" s="187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8" t="s">
        <v>2</v>
      </c>
      <c r="B45" s="178" t="s">
        <v>3</v>
      </c>
      <c r="C45" s="183" t="s">
        <v>67</v>
      </c>
      <c r="D45" s="178" t="s">
        <v>19</v>
      </c>
      <c r="E45" s="10"/>
      <c r="F45" s="71">
        <v>2016</v>
      </c>
      <c r="G45" s="79"/>
      <c r="H45" s="178">
        <v>2017</v>
      </c>
      <c r="I45" s="178"/>
      <c r="J45" s="178"/>
      <c r="K45" s="178">
        <v>2018</v>
      </c>
      <c r="L45" s="178"/>
      <c r="M45" s="178">
        <v>2019</v>
      </c>
      <c r="N45" s="178"/>
      <c r="O45" s="178">
        <v>2020</v>
      </c>
      <c r="P45" s="178"/>
      <c r="Q45" s="178" t="s">
        <v>78</v>
      </c>
      <c r="R45" s="178"/>
    </row>
    <row r="46" spans="1:20" s="11" customFormat="1" ht="15" customHeight="1" x14ac:dyDescent="0.25">
      <c r="A46" s="178"/>
      <c r="B46" s="178"/>
      <c r="C46" s="184"/>
      <c r="D46" s="178"/>
      <c r="E46" s="10"/>
      <c r="F46" s="181" t="s">
        <v>8</v>
      </c>
      <c r="G46" s="79"/>
      <c r="H46" s="181" t="s">
        <v>8</v>
      </c>
      <c r="I46" s="177" t="s">
        <v>84</v>
      </c>
      <c r="J46" s="177" t="s">
        <v>80</v>
      </c>
      <c r="K46" s="181" t="s">
        <v>8</v>
      </c>
      <c r="L46" s="177" t="s">
        <v>79</v>
      </c>
      <c r="M46" s="181" t="s">
        <v>8</v>
      </c>
      <c r="N46" s="177" t="s">
        <v>79</v>
      </c>
      <c r="O46" s="177" t="s">
        <v>8</v>
      </c>
      <c r="P46" s="177" t="s">
        <v>79</v>
      </c>
      <c r="Q46" s="181" t="s">
        <v>8</v>
      </c>
      <c r="R46" s="177" t="s">
        <v>79</v>
      </c>
    </row>
    <row r="47" spans="1:20" s="11" customFormat="1" ht="47.25" customHeight="1" x14ac:dyDescent="0.25">
      <c r="A47" s="178"/>
      <c r="B47" s="178"/>
      <c r="C47" s="185"/>
      <c r="D47" s="178"/>
      <c r="E47" s="12"/>
      <c r="F47" s="182"/>
      <c r="G47" s="80"/>
      <c r="H47" s="182"/>
      <c r="I47" s="177"/>
      <c r="J47" s="177"/>
      <c r="K47" s="182"/>
      <c r="L47" s="177"/>
      <c r="M47" s="182"/>
      <c r="N47" s="177"/>
      <c r="O47" s="177"/>
      <c r="P47" s="177"/>
      <c r="Q47" s="182"/>
      <c r="R47" s="177"/>
    </row>
    <row r="48" spans="1:20" ht="60" customHeight="1" x14ac:dyDescent="0.25">
      <c r="A48" s="188" t="s">
        <v>35</v>
      </c>
      <c r="B48" s="186" t="s">
        <v>36</v>
      </c>
      <c r="C48" s="186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89"/>
      <c r="B49" s="187"/>
      <c r="C49" s="187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8" t="s">
        <v>2</v>
      </c>
      <c r="B54" s="178" t="s">
        <v>3</v>
      </c>
      <c r="C54" s="183" t="s">
        <v>67</v>
      </c>
      <c r="D54" s="178" t="s">
        <v>19</v>
      </c>
      <c r="E54" s="10"/>
      <c r="F54" s="71">
        <v>2016</v>
      </c>
      <c r="G54" s="79"/>
      <c r="H54" s="178">
        <v>2017</v>
      </c>
      <c r="I54" s="178"/>
      <c r="J54" s="178"/>
      <c r="K54" s="178">
        <v>2018</v>
      </c>
      <c r="L54" s="178"/>
      <c r="M54" s="178">
        <v>2019</v>
      </c>
      <c r="N54" s="178"/>
      <c r="O54" s="178">
        <v>2020</v>
      </c>
      <c r="P54" s="178"/>
      <c r="Q54" s="178" t="s">
        <v>78</v>
      </c>
      <c r="R54" s="178"/>
    </row>
    <row r="55" spans="1:20" s="11" customFormat="1" ht="15" customHeight="1" x14ac:dyDescent="0.25">
      <c r="A55" s="178"/>
      <c r="B55" s="178"/>
      <c r="C55" s="184"/>
      <c r="D55" s="178"/>
      <c r="E55" s="10"/>
      <c r="F55" s="177" t="s">
        <v>8</v>
      </c>
      <c r="G55" s="79"/>
      <c r="H55" s="177" t="s">
        <v>8</v>
      </c>
      <c r="I55" s="177" t="s">
        <v>84</v>
      </c>
      <c r="J55" s="177" t="s">
        <v>80</v>
      </c>
      <c r="K55" s="177" t="s">
        <v>8</v>
      </c>
      <c r="L55" s="177" t="s">
        <v>79</v>
      </c>
      <c r="M55" s="177" t="s">
        <v>8</v>
      </c>
      <c r="N55" s="177" t="s">
        <v>79</v>
      </c>
      <c r="O55" s="177" t="s">
        <v>8</v>
      </c>
      <c r="P55" s="177" t="s">
        <v>79</v>
      </c>
      <c r="Q55" s="177" t="s">
        <v>8</v>
      </c>
      <c r="R55" s="177" t="s">
        <v>79</v>
      </c>
    </row>
    <row r="56" spans="1:20" s="11" customFormat="1" ht="47.25" customHeight="1" x14ac:dyDescent="0.25">
      <c r="A56" s="178"/>
      <c r="B56" s="178"/>
      <c r="C56" s="185"/>
      <c r="D56" s="178"/>
      <c r="E56" s="12"/>
      <c r="F56" s="177"/>
      <c r="G56" s="80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</row>
    <row r="57" spans="1:20" ht="88.5" customHeight="1" x14ac:dyDescent="0.25">
      <c r="A57" s="188" t="s">
        <v>39</v>
      </c>
      <c r="B57" s="186" t="s">
        <v>13</v>
      </c>
      <c r="C57" s="186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89"/>
      <c r="B58" s="187"/>
      <c r="C58" s="187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8" t="s">
        <v>2</v>
      </c>
      <c r="B63" s="178" t="s">
        <v>3</v>
      </c>
      <c r="C63" s="183" t="s">
        <v>67</v>
      </c>
      <c r="D63" s="178" t="s">
        <v>19</v>
      </c>
      <c r="E63" s="10"/>
      <c r="F63" s="71">
        <v>2016</v>
      </c>
      <c r="G63" s="79"/>
      <c r="H63" s="178">
        <v>2017</v>
      </c>
      <c r="I63" s="178"/>
      <c r="J63" s="178"/>
      <c r="K63" s="178">
        <v>2018</v>
      </c>
      <c r="L63" s="178"/>
      <c r="M63" s="178">
        <v>2019</v>
      </c>
      <c r="N63" s="178"/>
      <c r="O63" s="178">
        <v>2020</v>
      </c>
      <c r="P63" s="178"/>
      <c r="Q63" s="178" t="s">
        <v>78</v>
      </c>
      <c r="R63" s="178"/>
    </row>
    <row r="64" spans="1:20" s="11" customFormat="1" ht="15" customHeight="1" x14ac:dyDescent="0.25">
      <c r="A64" s="178"/>
      <c r="B64" s="178"/>
      <c r="C64" s="184"/>
      <c r="D64" s="178"/>
      <c r="E64" s="10"/>
      <c r="F64" s="177" t="s">
        <v>8</v>
      </c>
      <c r="G64" s="79"/>
      <c r="H64" s="177" t="s">
        <v>8</v>
      </c>
      <c r="I64" s="177" t="s">
        <v>84</v>
      </c>
      <c r="J64" s="177" t="s">
        <v>80</v>
      </c>
      <c r="K64" s="177" t="s">
        <v>8</v>
      </c>
      <c r="L64" s="177" t="s">
        <v>79</v>
      </c>
      <c r="M64" s="177" t="s">
        <v>8</v>
      </c>
      <c r="N64" s="177" t="s">
        <v>79</v>
      </c>
      <c r="O64" s="177" t="s">
        <v>8</v>
      </c>
      <c r="P64" s="177" t="s">
        <v>79</v>
      </c>
      <c r="Q64" s="177" t="s">
        <v>8</v>
      </c>
      <c r="R64" s="177" t="s">
        <v>79</v>
      </c>
    </row>
    <row r="65" spans="1:20" s="11" customFormat="1" ht="47.25" customHeight="1" x14ac:dyDescent="0.25">
      <c r="A65" s="178"/>
      <c r="B65" s="178"/>
      <c r="C65" s="185"/>
      <c r="D65" s="178"/>
      <c r="E65" s="12"/>
      <c r="F65" s="177"/>
      <c r="G65" s="80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abSelected="1" topLeftCell="AA74" zoomScale="70" zoomScaleNormal="70" workbookViewId="0">
      <selection activeCell="AF95" sqref="AF95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A1" s="8"/>
      <c r="L1" s="165">
        <v>1000000</v>
      </c>
    </row>
    <row r="2" spans="1:39" s="3" customFormat="1" x14ac:dyDescent="0.25">
      <c r="A2" s="228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0"/>
      <c r="AM2" s="94"/>
    </row>
    <row r="3" spans="1:39" s="3" customFormat="1" x14ac:dyDescent="0.25">
      <c r="A3" s="228" t="s">
        <v>92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30"/>
      <c r="AM3" s="94"/>
    </row>
    <row r="4" spans="1:39" s="3" customFormat="1" x14ac:dyDescent="0.25">
      <c r="A4" s="228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30"/>
      <c r="AM4" s="94"/>
    </row>
    <row r="5" spans="1:39" s="3" customFormat="1" x14ac:dyDescent="0.25">
      <c r="A5" s="228" t="s">
        <v>93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30"/>
      <c r="AM5" s="94"/>
    </row>
    <row r="6" spans="1:39" s="3" customFormat="1" x14ac:dyDescent="0.2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30"/>
      <c r="AM6" s="94"/>
    </row>
    <row r="7" spans="1:39" s="5" customFormat="1" ht="15.75" customHeight="1" x14ac:dyDescent="0.2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x14ac:dyDescent="0.25">
      <c r="A9" s="143">
        <v>1</v>
      </c>
      <c r="B9" s="123" t="s">
        <v>94</v>
      </c>
      <c r="C9" s="222" t="s">
        <v>97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</row>
    <row r="10" spans="1:39" x14ac:dyDescent="0.25">
      <c r="A10" s="142">
        <v>8</v>
      </c>
      <c r="B10" s="6" t="s">
        <v>160</v>
      </c>
      <c r="C10" s="222" t="s">
        <v>161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</row>
    <row r="11" spans="1:39" x14ac:dyDescent="0.25">
      <c r="A11" s="142">
        <v>19</v>
      </c>
      <c r="B11" s="6" t="s">
        <v>95</v>
      </c>
      <c r="C11" s="222" t="s">
        <v>159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</row>
    <row r="12" spans="1:39" ht="30" x14ac:dyDescent="0.25">
      <c r="A12" s="142">
        <v>3</v>
      </c>
      <c r="B12" s="124" t="s">
        <v>98</v>
      </c>
      <c r="C12" s="222" t="s">
        <v>96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</row>
    <row r="13" spans="1:39" ht="14.25" customHeight="1" x14ac:dyDescent="0.25">
      <c r="F13" s="7"/>
      <c r="G13" s="7"/>
      <c r="H13" s="7"/>
      <c r="I13" s="8"/>
      <c r="J13" s="166"/>
      <c r="K13" s="7"/>
      <c r="L13" s="158"/>
      <c r="M13" s="7"/>
      <c r="N13" s="8"/>
      <c r="O13" s="7"/>
      <c r="P13" s="7"/>
      <c r="Q13" s="7"/>
      <c r="R13" s="92">
        <v>1000000</v>
      </c>
      <c r="T13" s="92"/>
      <c r="U13" s="92"/>
      <c r="V13" s="92">
        <v>1000000</v>
      </c>
      <c r="W13" s="92">
        <v>1000000</v>
      </c>
      <c r="Y13" s="92"/>
      <c r="Z13" s="92"/>
      <c r="AA13" s="92"/>
      <c r="AB13" s="92">
        <v>1000000</v>
      </c>
      <c r="AD13" s="7"/>
      <c r="AE13" s="7"/>
      <c r="AF13" s="92"/>
      <c r="AG13" s="92">
        <v>1000000</v>
      </c>
      <c r="AI13" s="96"/>
      <c r="AJ13" s="96"/>
      <c r="AK13" s="96"/>
    </row>
    <row r="14" spans="1:39" s="11" customFormat="1" ht="27" customHeight="1" x14ac:dyDescent="0.25">
      <c r="A14" s="208" t="s">
        <v>2</v>
      </c>
      <c r="B14" s="183" t="s">
        <v>3</v>
      </c>
      <c r="C14" s="224" t="s">
        <v>87</v>
      </c>
      <c r="D14" s="183" t="s">
        <v>67</v>
      </c>
      <c r="E14" s="224" t="s">
        <v>174</v>
      </c>
      <c r="F14" s="205" t="s">
        <v>101</v>
      </c>
      <c r="G14" s="226" t="s">
        <v>90</v>
      </c>
      <c r="H14" s="178" t="s">
        <v>175</v>
      </c>
      <c r="I14" s="10"/>
      <c r="J14" s="178">
        <v>2020</v>
      </c>
      <c r="K14" s="178"/>
      <c r="L14" s="178"/>
      <c r="M14" s="178"/>
      <c r="N14" s="10"/>
      <c r="O14" s="178">
        <v>2021</v>
      </c>
      <c r="P14" s="178"/>
      <c r="Q14" s="178"/>
      <c r="R14" s="178"/>
      <c r="T14" s="178">
        <v>2022</v>
      </c>
      <c r="U14" s="178"/>
      <c r="V14" s="178"/>
      <c r="W14" s="178"/>
      <c r="Y14" s="178">
        <v>2023</v>
      </c>
      <c r="Z14" s="178"/>
      <c r="AA14" s="178"/>
      <c r="AB14" s="178"/>
      <c r="AD14" s="179">
        <v>2024</v>
      </c>
      <c r="AE14" s="180"/>
      <c r="AF14" s="180"/>
      <c r="AG14" s="180"/>
      <c r="AI14" s="223" t="s">
        <v>102</v>
      </c>
      <c r="AJ14" s="223"/>
      <c r="AK14" s="223"/>
      <c r="AL14" s="223"/>
      <c r="AM14" s="99"/>
    </row>
    <row r="15" spans="1:39" s="11" customFormat="1" ht="16.5" customHeight="1" x14ac:dyDescent="0.25">
      <c r="A15" s="209"/>
      <c r="B15" s="184"/>
      <c r="C15" s="206"/>
      <c r="D15" s="184"/>
      <c r="E15" s="206"/>
      <c r="F15" s="206"/>
      <c r="G15" s="226"/>
      <c r="H15" s="178"/>
      <c r="I15" s="10"/>
      <c r="J15" s="177" t="s">
        <v>4</v>
      </c>
      <c r="K15" s="177"/>
      <c r="L15" s="177" t="s">
        <v>61</v>
      </c>
      <c r="M15" s="177"/>
      <c r="N15" s="10"/>
      <c r="O15" s="177" t="s">
        <v>6</v>
      </c>
      <c r="P15" s="177"/>
      <c r="Q15" s="177" t="s">
        <v>8</v>
      </c>
      <c r="R15" s="177"/>
      <c r="S15" s="10"/>
      <c r="T15" s="177" t="s">
        <v>7</v>
      </c>
      <c r="U15" s="177"/>
      <c r="V15" s="177" t="s">
        <v>8</v>
      </c>
      <c r="W15" s="177"/>
      <c r="Y15" s="177" t="s">
        <v>7</v>
      </c>
      <c r="Z15" s="177"/>
      <c r="AA15" s="177" t="s">
        <v>8</v>
      </c>
      <c r="AB15" s="177"/>
      <c r="AD15" s="177" t="s">
        <v>7</v>
      </c>
      <c r="AE15" s="177"/>
      <c r="AF15" s="177" t="s">
        <v>8</v>
      </c>
      <c r="AG15" s="177"/>
      <c r="AI15" s="181" t="s">
        <v>4</v>
      </c>
      <c r="AJ15" s="181" t="s">
        <v>66</v>
      </c>
      <c r="AK15" s="181" t="s">
        <v>8</v>
      </c>
      <c r="AL15" s="181" t="s">
        <v>5</v>
      </c>
      <c r="AM15" s="99"/>
    </row>
    <row r="16" spans="1:39" s="11" customFormat="1" ht="33" x14ac:dyDescent="0.25">
      <c r="A16" s="210"/>
      <c r="B16" s="185"/>
      <c r="C16" s="225"/>
      <c r="D16" s="185"/>
      <c r="E16" s="225"/>
      <c r="F16" s="207"/>
      <c r="G16" s="226"/>
      <c r="H16" s="178"/>
      <c r="I16" s="12"/>
      <c r="J16" s="155" t="s">
        <v>59</v>
      </c>
      <c r="K16" s="115" t="s">
        <v>60</v>
      </c>
      <c r="L16" s="159" t="s">
        <v>64</v>
      </c>
      <c r="M16" s="115" t="s">
        <v>63</v>
      </c>
      <c r="N16" s="12"/>
      <c r="O16" s="61" t="s">
        <v>59</v>
      </c>
      <c r="P16" s="115" t="s">
        <v>60</v>
      </c>
      <c r="Q16" s="159" t="s">
        <v>64</v>
      </c>
      <c r="R16" s="115" t="s">
        <v>63</v>
      </c>
      <c r="S16" s="10"/>
      <c r="T16" s="61" t="s">
        <v>59</v>
      </c>
      <c r="U16" s="115" t="s">
        <v>60</v>
      </c>
      <c r="V16" s="159" t="s">
        <v>64</v>
      </c>
      <c r="W16" s="115" t="s">
        <v>63</v>
      </c>
      <c r="Y16" s="115" t="s">
        <v>59</v>
      </c>
      <c r="Z16" s="115" t="s">
        <v>60</v>
      </c>
      <c r="AA16" s="115" t="s">
        <v>64</v>
      </c>
      <c r="AB16" s="115" t="s">
        <v>63</v>
      </c>
      <c r="AD16" s="115" t="s">
        <v>59</v>
      </c>
      <c r="AE16" s="115" t="s">
        <v>60</v>
      </c>
      <c r="AF16" s="115" t="s">
        <v>64</v>
      </c>
      <c r="AG16" s="115" t="s">
        <v>63</v>
      </c>
      <c r="AI16" s="182"/>
      <c r="AJ16" s="182"/>
      <c r="AK16" s="182"/>
      <c r="AL16" s="182"/>
      <c r="AM16" s="99"/>
    </row>
    <row r="17" spans="1:39" s="101" customFormat="1" ht="75.75" customHeight="1" x14ac:dyDescent="0.25">
      <c r="A17" s="214" t="s">
        <v>99</v>
      </c>
      <c r="B17" s="186" t="s">
        <v>100</v>
      </c>
      <c r="C17" s="186" t="s">
        <v>89</v>
      </c>
      <c r="D17" s="186" t="s">
        <v>154</v>
      </c>
      <c r="E17" s="217" t="str">
        <f>C10</f>
        <v xml:space="preserve">Aumentar el acceso a vivienda digna, espacio público y equipamientos de la población vulnerable en suelo urbano y rural </v>
      </c>
      <c r="F17" s="139" t="s">
        <v>163</v>
      </c>
      <c r="G17" s="139" t="s">
        <v>104</v>
      </c>
      <c r="H17" s="219" t="str">
        <f>C12</f>
        <v>Sistema Distrital de Cuidado</v>
      </c>
      <c r="I17" s="14"/>
      <c r="J17" s="127">
        <v>0.05</v>
      </c>
      <c r="K17" s="127">
        <v>0.05</v>
      </c>
      <c r="L17" s="160"/>
      <c r="M17" s="129"/>
      <c r="N17" s="130"/>
      <c r="O17" s="131">
        <v>0.3</v>
      </c>
      <c r="P17" s="131">
        <v>0</v>
      </c>
      <c r="Q17" s="129"/>
      <c r="R17" s="129"/>
      <c r="S17" s="132"/>
      <c r="T17" s="133">
        <v>0.65</v>
      </c>
      <c r="U17" s="133">
        <v>0</v>
      </c>
      <c r="V17" s="134"/>
      <c r="W17" s="135"/>
      <c r="X17" s="136"/>
      <c r="Y17" s="133">
        <v>0.95</v>
      </c>
      <c r="Z17" s="133">
        <v>0</v>
      </c>
      <c r="AA17" s="134"/>
      <c r="AB17" s="135"/>
      <c r="AC17" s="136"/>
      <c r="AD17" s="137">
        <v>1</v>
      </c>
      <c r="AE17" s="137">
        <v>0</v>
      </c>
      <c r="AF17" s="134"/>
      <c r="AG17" s="135"/>
      <c r="AH17" s="132"/>
      <c r="AI17" s="137">
        <f>AD17</f>
        <v>1</v>
      </c>
      <c r="AJ17" s="137">
        <f>K17+P17+U17+Z17+AE17</f>
        <v>0.05</v>
      </c>
      <c r="AK17" s="138">
        <f>L17+Q17+V17+AA17+AF17</f>
        <v>0</v>
      </c>
      <c r="AL17" s="138">
        <f>M17+R17+W17+AB17+AG17</f>
        <v>0</v>
      </c>
      <c r="AM17" s="126"/>
    </row>
    <row r="18" spans="1:39" ht="90" x14ac:dyDescent="0.25">
      <c r="A18" s="215"/>
      <c r="B18" s="193"/>
      <c r="C18" s="193"/>
      <c r="D18" s="193"/>
      <c r="E18" s="218"/>
      <c r="F18" s="13" t="s">
        <v>105</v>
      </c>
      <c r="G18" s="13" t="s">
        <v>176</v>
      </c>
      <c r="H18" s="220"/>
      <c r="I18" s="14"/>
      <c r="J18" s="15">
        <v>20</v>
      </c>
      <c r="K18" s="15">
        <v>20</v>
      </c>
      <c r="L18" s="161">
        <v>1562.1521029999999</v>
      </c>
      <c r="M18" s="29">
        <v>1072.7394810000001</v>
      </c>
      <c r="N18" s="23"/>
      <c r="O18" s="15">
        <v>380</v>
      </c>
      <c r="P18" s="15">
        <v>10</v>
      </c>
      <c r="Q18" s="29">
        <f>4208000000/L1</f>
        <v>4208</v>
      </c>
      <c r="R18" s="29">
        <v>8.3760999999999992</v>
      </c>
      <c r="S18" s="101"/>
      <c r="T18" s="104">
        <v>400</v>
      </c>
      <c r="U18" s="104">
        <v>0</v>
      </c>
      <c r="V18" s="105">
        <f>4316000000/L1</f>
        <v>4316</v>
      </c>
      <c r="W18" s="106"/>
      <c r="X18" s="102"/>
      <c r="Y18" s="104">
        <v>400</v>
      </c>
      <c r="Z18" s="104">
        <v>0</v>
      </c>
      <c r="AA18" s="105">
        <f>3937000000/L1</f>
        <v>3937</v>
      </c>
      <c r="AB18" s="106"/>
      <c r="AC18" s="102"/>
      <c r="AD18" s="91">
        <v>50</v>
      </c>
      <c r="AE18" s="91">
        <v>0</v>
      </c>
      <c r="AF18" s="105">
        <f>324000000/L1</f>
        <v>324</v>
      </c>
      <c r="AG18" s="106"/>
      <c r="AH18" s="101"/>
      <c r="AI18" s="91">
        <f>J18+O18+T18+Y18+AD18</f>
        <v>1250</v>
      </c>
      <c r="AJ18" s="91">
        <f t="shared" ref="AJ18" si="0">K18+P18+U18+Z18+AE18</f>
        <v>30</v>
      </c>
      <c r="AK18" s="62">
        <f t="shared" ref="AK18" si="1">L18+Q18+V18+AA18+AF18</f>
        <v>14347.152103</v>
      </c>
      <c r="AL18" s="62">
        <f t="shared" ref="AL18" si="2">M18+R18+W18+AB18+AG18</f>
        <v>1081.115581</v>
      </c>
      <c r="AM18" s="100"/>
    </row>
    <row r="19" spans="1:39" ht="75" x14ac:dyDescent="0.25">
      <c r="A19" s="215"/>
      <c r="B19" s="193"/>
      <c r="C19" s="193"/>
      <c r="D19" s="193"/>
      <c r="E19" s="218"/>
      <c r="F19" s="13" t="s">
        <v>106</v>
      </c>
      <c r="G19" s="13" t="s">
        <v>107</v>
      </c>
      <c r="H19" s="220"/>
      <c r="I19" s="14"/>
      <c r="J19" s="15">
        <v>0</v>
      </c>
      <c r="K19" s="15">
        <v>0</v>
      </c>
      <c r="L19" s="161">
        <v>0</v>
      </c>
      <c r="M19" s="29"/>
      <c r="N19" s="23"/>
      <c r="O19" s="15">
        <v>400</v>
      </c>
      <c r="P19" s="15">
        <v>0</v>
      </c>
      <c r="Q19" s="29">
        <f>1500000000/L1</f>
        <v>1500</v>
      </c>
      <c r="R19" s="29">
        <v>0</v>
      </c>
      <c r="S19" s="101"/>
      <c r="T19" s="104">
        <v>400</v>
      </c>
      <c r="U19" s="104">
        <v>0</v>
      </c>
      <c r="V19" s="105">
        <f>1550000000/L1</f>
        <v>1550</v>
      </c>
      <c r="W19" s="107"/>
      <c r="X19" s="102"/>
      <c r="Y19" s="104">
        <v>400</v>
      </c>
      <c r="Z19" s="104">
        <v>0</v>
      </c>
      <c r="AA19" s="105">
        <f>1550000000/L1</f>
        <v>1550</v>
      </c>
      <c r="AB19" s="107"/>
      <c r="AC19" s="102"/>
      <c r="AD19" s="91">
        <v>50</v>
      </c>
      <c r="AE19" s="91">
        <v>0</v>
      </c>
      <c r="AF19" s="105">
        <f>400000000/L1</f>
        <v>400</v>
      </c>
      <c r="AG19" s="107"/>
      <c r="AH19" s="101"/>
      <c r="AI19" s="91">
        <f>J19+O19+T19+Y19+AD19</f>
        <v>1250</v>
      </c>
      <c r="AJ19" s="91">
        <f t="shared" ref="AJ19" si="3">K19+P19+U19+Z19+AE19</f>
        <v>0</v>
      </c>
      <c r="AK19" s="62">
        <f t="shared" ref="AK19" si="4">L19+Q19+V19+AA19+AF19</f>
        <v>5000</v>
      </c>
      <c r="AL19" s="62">
        <f t="shared" ref="AL19" si="5">M19+R19+W19+AB19+AG19</f>
        <v>0</v>
      </c>
    </row>
    <row r="20" spans="1:39" s="101" customFormat="1" ht="75.75" customHeight="1" x14ac:dyDescent="0.25">
      <c r="A20" s="215"/>
      <c r="B20" s="193"/>
      <c r="C20" s="193"/>
      <c r="D20" s="193"/>
      <c r="E20" s="218"/>
      <c r="F20" s="139" t="s">
        <v>162</v>
      </c>
      <c r="G20" s="139" t="s">
        <v>108</v>
      </c>
      <c r="H20" s="220"/>
      <c r="I20" s="14"/>
      <c r="J20" s="127">
        <v>0.3</v>
      </c>
      <c r="K20" s="127">
        <v>0.3</v>
      </c>
      <c r="L20" s="160"/>
      <c r="M20" s="129"/>
      <c r="N20" s="130"/>
      <c r="O20" s="131">
        <v>0.7</v>
      </c>
      <c r="P20" s="131">
        <v>0</v>
      </c>
      <c r="Q20" s="129"/>
      <c r="R20" s="129"/>
      <c r="S20" s="132"/>
      <c r="T20" s="133">
        <v>0.9</v>
      </c>
      <c r="U20" s="133">
        <v>0</v>
      </c>
      <c r="V20" s="134"/>
      <c r="W20" s="135"/>
      <c r="X20" s="136"/>
      <c r="Y20" s="133">
        <v>1</v>
      </c>
      <c r="Z20" s="133">
        <v>0</v>
      </c>
      <c r="AA20" s="134"/>
      <c r="AB20" s="135"/>
      <c r="AC20" s="136"/>
      <c r="AD20" s="137">
        <v>1</v>
      </c>
      <c r="AE20" s="137">
        <v>0</v>
      </c>
      <c r="AF20" s="134"/>
      <c r="AG20" s="135"/>
      <c r="AH20" s="132"/>
      <c r="AI20" s="137">
        <f>AD20</f>
        <v>1</v>
      </c>
      <c r="AJ20" s="137">
        <f>K20+P20+U20+Z20+AE20</f>
        <v>0.3</v>
      </c>
      <c r="AK20" s="138">
        <f>L20+Q20+V20+AA20+AF20</f>
        <v>0</v>
      </c>
      <c r="AL20" s="138">
        <f>M20+R20+W20+AB20+AG20</f>
        <v>0</v>
      </c>
      <c r="AM20" s="126"/>
    </row>
    <row r="21" spans="1:39" ht="60" x14ac:dyDescent="0.25">
      <c r="A21" s="215"/>
      <c r="B21" s="193"/>
      <c r="C21" s="193"/>
      <c r="D21" s="193"/>
      <c r="E21" s="218"/>
      <c r="F21" s="13" t="s">
        <v>109</v>
      </c>
      <c r="G21" s="13" t="s">
        <v>110</v>
      </c>
      <c r="H21" s="220"/>
      <c r="I21" s="14"/>
      <c r="J21" s="15">
        <v>50</v>
      </c>
      <c r="K21" s="15">
        <v>50</v>
      </c>
      <c r="L21" s="161">
        <v>3103.2696059999998</v>
      </c>
      <c r="M21" s="29">
        <v>2913.9473720000001</v>
      </c>
      <c r="N21" s="23"/>
      <c r="O21" s="15">
        <v>500</v>
      </c>
      <c r="P21" s="15">
        <v>0</v>
      </c>
      <c r="Q21" s="29">
        <f>5500000000/L1</f>
        <v>5500</v>
      </c>
      <c r="R21" s="29">
        <v>0</v>
      </c>
      <c r="S21" s="101"/>
      <c r="T21" s="104">
        <v>500</v>
      </c>
      <c r="U21" s="104">
        <v>0</v>
      </c>
      <c r="V21" s="105">
        <f>5500000000/L1</f>
        <v>5500</v>
      </c>
      <c r="W21" s="107"/>
      <c r="X21" s="102"/>
      <c r="Y21" s="104">
        <v>400</v>
      </c>
      <c r="Z21" s="104">
        <v>0</v>
      </c>
      <c r="AA21" s="105">
        <f>4000000000/L1</f>
        <v>4000</v>
      </c>
      <c r="AB21" s="107"/>
      <c r="AC21" s="102"/>
      <c r="AD21" s="91">
        <v>50</v>
      </c>
      <c r="AE21" s="91">
        <v>0</v>
      </c>
      <c r="AF21" s="105">
        <f>500000000/L1</f>
        <v>500</v>
      </c>
      <c r="AG21" s="107"/>
      <c r="AH21" s="101"/>
      <c r="AI21" s="91">
        <f>J21+O21+T21+Y21+AD21</f>
        <v>1500</v>
      </c>
      <c r="AJ21" s="91">
        <f t="shared" ref="AJ21" si="6">K21+P21+U21+Z21+AE21</f>
        <v>50</v>
      </c>
      <c r="AK21" s="62">
        <f t="shared" ref="AK21" si="7">L21+Q21+V21+AA21+AF21</f>
        <v>18603.269606000002</v>
      </c>
      <c r="AL21" s="62">
        <f t="shared" ref="AL21" si="8">M21+R21+W21+AB21+AG21</f>
        <v>2913.9473720000001</v>
      </c>
    </row>
    <row r="22" spans="1:39" s="101" customFormat="1" ht="75.75" customHeight="1" x14ac:dyDescent="0.25">
      <c r="A22" s="215"/>
      <c r="B22" s="193"/>
      <c r="C22" s="193"/>
      <c r="D22" s="193"/>
      <c r="E22" s="218"/>
      <c r="F22" s="139" t="s">
        <v>164</v>
      </c>
      <c r="G22" s="139" t="s">
        <v>111</v>
      </c>
      <c r="H22" s="220"/>
      <c r="I22" s="14"/>
      <c r="J22" s="127">
        <v>0.2</v>
      </c>
      <c r="K22" s="127">
        <v>0.2</v>
      </c>
      <c r="L22" s="160"/>
      <c r="M22" s="129"/>
      <c r="N22" s="130"/>
      <c r="O22" s="131">
        <v>0.6</v>
      </c>
      <c r="P22" s="131">
        <v>0</v>
      </c>
      <c r="Q22" s="129"/>
      <c r="R22" s="129"/>
      <c r="S22" s="132"/>
      <c r="T22" s="133">
        <v>0.8</v>
      </c>
      <c r="U22" s="133">
        <v>0</v>
      </c>
      <c r="V22" s="134"/>
      <c r="W22" s="135"/>
      <c r="X22" s="136"/>
      <c r="Y22" s="133">
        <v>1</v>
      </c>
      <c r="Z22" s="133">
        <v>0</v>
      </c>
      <c r="AA22" s="134"/>
      <c r="AB22" s="135"/>
      <c r="AC22" s="136"/>
      <c r="AD22" s="137">
        <v>1</v>
      </c>
      <c r="AE22" s="137">
        <v>0</v>
      </c>
      <c r="AF22" s="134"/>
      <c r="AG22" s="135"/>
      <c r="AH22" s="132"/>
      <c r="AI22" s="137">
        <f>AD22</f>
        <v>1</v>
      </c>
      <c r="AJ22" s="137">
        <f>K22+P22+U22+Z22+AE22</f>
        <v>0.2</v>
      </c>
      <c r="AK22" s="138">
        <f>L22+Q22+V22+AA22+AF22</f>
        <v>0</v>
      </c>
      <c r="AL22" s="138">
        <f>M22+R22+W22+AB22+AG22</f>
        <v>0</v>
      </c>
      <c r="AM22" s="126"/>
    </row>
    <row r="23" spans="1:39" ht="75" x14ac:dyDescent="0.25">
      <c r="A23" s="215"/>
      <c r="B23" s="187"/>
      <c r="C23" s="187"/>
      <c r="D23" s="187"/>
      <c r="E23" s="227"/>
      <c r="F23" s="13" t="s">
        <v>112</v>
      </c>
      <c r="G23" s="13" t="s">
        <v>111</v>
      </c>
      <c r="H23" s="220"/>
      <c r="I23" s="14"/>
      <c r="J23" s="26">
        <v>0.2</v>
      </c>
      <c r="K23" s="112">
        <v>0.2</v>
      </c>
      <c r="L23" s="161">
        <f>80000000/L1</f>
        <v>80</v>
      </c>
      <c r="M23" s="29">
        <v>37.799999999999997</v>
      </c>
      <c r="N23" s="23"/>
      <c r="O23" s="26">
        <v>0.6</v>
      </c>
      <c r="P23" s="26">
        <v>0</v>
      </c>
      <c r="Q23" s="29">
        <f>4650000000/L1</f>
        <v>4650</v>
      </c>
      <c r="R23" s="29">
        <v>0</v>
      </c>
      <c r="S23" s="101"/>
      <c r="T23" s="140">
        <v>0.8</v>
      </c>
      <c r="U23" s="125">
        <v>0</v>
      </c>
      <c r="V23" s="105">
        <f>4650000000/L1</f>
        <v>4650</v>
      </c>
      <c r="W23" s="106"/>
      <c r="X23" s="102"/>
      <c r="Y23" s="140">
        <v>1</v>
      </c>
      <c r="Z23" s="125">
        <v>0</v>
      </c>
      <c r="AA23" s="105">
        <f>5550000000/L1</f>
        <v>5550</v>
      </c>
      <c r="AB23" s="106"/>
      <c r="AC23" s="102"/>
      <c r="AD23" s="112">
        <v>1</v>
      </c>
      <c r="AE23" s="112">
        <v>0</v>
      </c>
      <c r="AF23" s="105">
        <f>70000000/L1</f>
        <v>70</v>
      </c>
      <c r="AG23" s="106"/>
      <c r="AH23" s="101"/>
      <c r="AI23" s="112">
        <f>AD23</f>
        <v>1</v>
      </c>
      <c r="AJ23" s="112">
        <f t="shared" ref="AJ23" si="9">K23+P23+U23+Z23+AE23</f>
        <v>0.2</v>
      </c>
      <c r="AK23" s="62">
        <f t="shared" ref="AK23" si="10">L23+Q23+V23+AA23+AF23</f>
        <v>15000</v>
      </c>
      <c r="AL23" s="62">
        <f t="shared" ref="AL23" si="11">M23+R23+W23+AB23+AG23</f>
        <v>37.799999999999997</v>
      </c>
      <c r="AM23" s="100"/>
    </row>
    <row r="24" spans="1:39" s="6" customFormat="1" ht="15.75" x14ac:dyDescent="0.25">
      <c r="A24" s="17"/>
      <c r="B24" s="116" t="s">
        <v>103</v>
      </c>
      <c r="C24" s="116"/>
      <c r="D24" s="116"/>
      <c r="E24" s="116"/>
      <c r="F24" s="39"/>
      <c r="G24" s="39"/>
      <c r="H24" s="39"/>
      <c r="I24" s="40"/>
      <c r="J24" s="41"/>
      <c r="K24" s="41"/>
      <c r="L24" s="162">
        <f>SUM(L17:L23)</f>
        <v>4745.4217090000002</v>
      </c>
      <c r="M24" s="42">
        <f>SUM(M17:M23)</f>
        <v>4024.4868530000003</v>
      </c>
      <c r="N24" s="51"/>
      <c r="O24" s="41"/>
      <c r="P24" s="41"/>
      <c r="Q24" s="42">
        <f>SUM(Q17:Q23)</f>
        <v>15858</v>
      </c>
      <c r="R24" s="42">
        <f>SUM(R17:R23)</f>
        <v>8.3760999999999992</v>
      </c>
      <c r="T24" s="41"/>
      <c r="U24" s="41"/>
      <c r="V24" s="42">
        <f>SUM(V17:V23)</f>
        <v>16016</v>
      </c>
      <c r="W24" s="42">
        <f>SUM(W17:W23)</f>
        <v>0</v>
      </c>
      <c r="Y24" s="41"/>
      <c r="Z24" s="41"/>
      <c r="AA24" s="42">
        <f>SUM(AA17:AA23)</f>
        <v>15037</v>
      </c>
      <c r="AB24" s="42">
        <f>SUM(AB17:AB23)</f>
        <v>0</v>
      </c>
      <c r="AC24" s="113"/>
      <c r="AD24" s="41"/>
      <c r="AE24" s="42"/>
      <c r="AF24" s="42">
        <f>SUM(AF17:AF23)</f>
        <v>1294</v>
      </c>
      <c r="AG24" s="42">
        <f>SUM(AG17:AG23)</f>
        <v>0</v>
      </c>
      <c r="AI24" s="97"/>
      <c r="AJ24" s="97"/>
      <c r="AK24" s="64">
        <f>SUM(AK17:AK23)</f>
        <v>52950.421709000002</v>
      </c>
      <c r="AL24" s="64">
        <f>SUM(AL17:AL23)</f>
        <v>4032.8629530000003</v>
      </c>
      <c r="AM24" s="99"/>
    </row>
    <row r="25" spans="1:39" s="3" customFormat="1" ht="12.75" x14ac:dyDescent="0.2">
      <c r="A25" s="141"/>
      <c r="B25" s="4"/>
      <c r="C25" s="4"/>
      <c r="D25" s="4"/>
      <c r="E25" s="4"/>
      <c r="F25" s="4"/>
      <c r="G25" s="4"/>
      <c r="H25" s="4"/>
      <c r="I25" s="2"/>
      <c r="J25" s="141"/>
      <c r="K25" s="2"/>
      <c r="L25" s="157"/>
      <c r="M25" s="2"/>
      <c r="N25" s="2"/>
      <c r="O25" s="2"/>
      <c r="P25" s="2"/>
      <c r="Q25" s="2"/>
      <c r="R25" s="2"/>
      <c r="T25" s="103"/>
      <c r="U25" s="103"/>
      <c r="V25" s="103"/>
      <c r="W25" s="103"/>
      <c r="Y25" s="103"/>
      <c r="Z25" s="103"/>
      <c r="AA25" s="103"/>
      <c r="AB25" s="103"/>
      <c r="AD25" s="2"/>
      <c r="AE25" s="2"/>
      <c r="AF25" s="103"/>
      <c r="AG25" s="103"/>
      <c r="AI25" s="110"/>
      <c r="AJ25" s="110"/>
      <c r="AK25" s="110"/>
      <c r="AL25" s="111"/>
      <c r="AM25" s="94"/>
    </row>
    <row r="26" spans="1:39" s="5" customFormat="1" ht="15.75" customHeight="1" x14ac:dyDescent="0.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95"/>
    </row>
    <row r="27" spans="1:39" s="3" customFormat="1" ht="12.75" x14ac:dyDescent="0.2">
      <c r="A27" s="141"/>
      <c r="B27" s="4"/>
      <c r="C27" s="4"/>
      <c r="D27" s="4"/>
      <c r="E27" s="4"/>
      <c r="F27" s="4"/>
      <c r="G27" s="4"/>
      <c r="H27" s="4"/>
      <c r="I27" s="2"/>
      <c r="J27" s="141"/>
      <c r="K27" s="2"/>
      <c r="L27" s="157"/>
      <c r="M27" s="2"/>
      <c r="N27" s="2"/>
      <c r="O27" s="2"/>
      <c r="P27" s="2"/>
      <c r="Q27" s="2"/>
      <c r="R27" s="2"/>
      <c r="T27" s="103"/>
      <c r="U27" s="103"/>
      <c r="V27" s="103"/>
      <c r="W27" s="103"/>
      <c r="Y27" s="103"/>
      <c r="Z27" s="103"/>
      <c r="AA27" s="103"/>
      <c r="AB27" s="103"/>
      <c r="AD27" s="2"/>
      <c r="AE27" s="2"/>
      <c r="AF27" s="103"/>
      <c r="AG27" s="103"/>
      <c r="AI27" s="110"/>
      <c r="AJ27" s="110"/>
      <c r="AK27" s="110"/>
      <c r="AL27" s="111"/>
      <c r="AM27" s="94"/>
    </row>
    <row r="28" spans="1:39" x14ac:dyDescent="0.25">
      <c r="A28" s="143">
        <v>1</v>
      </c>
      <c r="B28" s="123" t="s">
        <v>94</v>
      </c>
      <c r="C28" s="222" t="s">
        <v>113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</row>
    <row r="29" spans="1:39" x14ac:dyDescent="0.25">
      <c r="A29" s="142">
        <v>8</v>
      </c>
      <c r="B29" s="6" t="s">
        <v>160</v>
      </c>
      <c r="C29" s="222" t="s">
        <v>161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</row>
    <row r="30" spans="1:39" x14ac:dyDescent="0.25">
      <c r="A30" s="142">
        <v>19</v>
      </c>
      <c r="B30" s="6" t="s">
        <v>95</v>
      </c>
      <c r="C30" s="222" t="s">
        <v>159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9" ht="30" x14ac:dyDescent="0.25">
      <c r="A31" s="142">
        <v>3</v>
      </c>
      <c r="B31" s="124" t="s">
        <v>98</v>
      </c>
      <c r="C31" s="222" t="s">
        <v>114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9" x14ac:dyDescent="0.25">
      <c r="A32" s="144"/>
      <c r="F32" s="7"/>
      <c r="G32" s="7"/>
      <c r="H32" s="7"/>
      <c r="I32" s="8"/>
      <c r="J32" s="166"/>
      <c r="K32" s="7"/>
      <c r="L32" s="158"/>
      <c r="M32" s="7"/>
      <c r="N32" s="8"/>
      <c r="O32" s="7"/>
      <c r="P32" s="7"/>
      <c r="Q32" s="7"/>
      <c r="R32" s="7"/>
      <c r="T32" s="7"/>
      <c r="U32" s="7"/>
      <c r="V32" s="72"/>
      <c r="W32" s="72"/>
      <c r="Y32" s="7"/>
      <c r="Z32" s="7"/>
      <c r="AA32" s="72"/>
      <c r="AB32" s="72"/>
      <c r="AC32" s="101"/>
      <c r="AD32" s="109"/>
      <c r="AE32" s="109"/>
      <c r="AF32" s="72"/>
      <c r="AG32" s="72"/>
      <c r="AI32" s="96"/>
      <c r="AJ32" s="96"/>
      <c r="AK32" s="98"/>
    </row>
    <row r="33" spans="1:39" s="11" customFormat="1" ht="27" customHeight="1" x14ac:dyDescent="0.25">
      <c r="A33" s="208" t="s">
        <v>2</v>
      </c>
      <c r="B33" s="183" t="s">
        <v>3</v>
      </c>
      <c r="C33" s="224" t="s">
        <v>87</v>
      </c>
      <c r="D33" s="183" t="s">
        <v>67</v>
      </c>
      <c r="E33" s="224" t="s">
        <v>174</v>
      </c>
      <c r="F33" s="205" t="s">
        <v>101</v>
      </c>
      <c r="G33" s="226" t="s">
        <v>90</v>
      </c>
      <c r="H33" s="178" t="s">
        <v>175</v>
      </c>
      <c r="I33" s="10"/>
      <c r="J33" s="178">
        <v>2020</v>
      </c>
      <c r="K33" s="178"/>
      <c r="L33" s="178"/>
      <c r="M33" s="178"/>
      <c r="N33" s="10"/>
      <c r="O33" s="178">
        <v>2021</v>
      </c>
      <c r="P33" s="178"/>
      <c r="Q33" s="178"/>
      <c r="R33" s="178"/>
      <c r="T33" s="178">
        <v>2022</v>
      </c>
      <c r="U33" s="178"/>
      <c r="V33" s="178"/>
      <c r="W33" s="178"/>
      <c r="Y33" s="178">
        <v>2023</v>
      </c>
      <c r="Z33" s="178"/>
      <c r="AA33" s="178"/>
      <c r="AB33" s="178"/>
      <c r="AD33" s="179">
        <v>2024</v>
      </c>
      <c r="AE33" s="180"/>
      <c r="AF33" s="180"/>
      <c r="AG33" s="180"/>
      <c r="AI33" s="223" t="s">
        <v>102</v>
      </c>
      <c r="AJ33" s="223"/>
      <c r="AK33" s="223"/>
      <c r="AL33" s="223"/>
      <c r="AM33" s="99"/>
    </row>
    <row r="34" spans="1:39" s="11" customFormat="1" ht="16.5" customHeight="1" x14ac:dyDescent="0.25">
      <c r="A34" s="209"/>
      <c r="B34" s="184"/>
      <c r="C34" s="206"/>
      <c r="D34" s="184"/>
      <c r="E34" s="206"/>
      <c r="F34" s="206"/>
      <c r="G34" s="226"/>
      <c r="H34" s="178"/>
      <c r="I34" s="10"/>
      <c r="J34" s="177" t="s">
        <v>4</v>
      </c>
      <c r="K34" s="177"/>
      <c r="L34" s="177" t="s">
        <v>61</v>
      </c>
      <c r="M34" s="177"/>
      <c r="N34" s="10"/>
      <c r="O34" s="177" t="s">
        <v>6</v>
      </c>
      <c r="P34" s="177"/>
      <c r="Q34" s="177" t="s">
        <v>8</v>
      </c>
      <c r="R34" s="177"/>
      <c r="S34" s="10"/>
      <c r="T34" s="177" t="s">
        <v>7</v>
      </c>
      <c r="U34" s="177"/>
      <c r="V34" s="177" t="s">
        <v>8</v>
      </c>
      <c r="W34" s="177"/>
      <c r="Y34" s="177" t="s">
        <v>7</v>
      </c>
      <c r="Z34" s="177"/>
      <c r="AA34" s="177" t="s">
        <v>8</v>
      </c>
      <c r="AB34" s="177"/>
      <c r="AD34" s="177" t="s">
        <v>7</v>
      </c>
      <c r="AE34" s="177"/>
      <c r="AF34" s="177" t="s">
        <v>8</v>
      </c>
      <c r="AG34" s="177"/>
      <c r="AI34" s="181" t="s">
        <v>4</v>
      </c>
      <c r="AJ34" s="181" t="s">
        <v>66</v>
      </c>
      <c r="AK34" s="181" t="s">
        <v>8</v>
      </c>
      <c r="AL34" s="181" t="s">
        <v>5</v>
      </c>
      <c r="AM34" s="99"/>
    </row>
    <row r="35" spans="1:39" s="11" customFormat="1" ht="33" x14ac:dyDescent="0.25">
      <c r="A35" s="210"/>
      <c r="B35" s="185"/>
      <c r="C35" s="225"/>
      <c r="D35" s="185"/>
      <c r="E35" s="225"/>
      <c r="F35" s="207"/>
      <c r="G35" s="226"/>
      <c r="H35" s="178"/>
      <c r="I35" s="12"/>
      <c r="J35" s="155" t="s">
        <v>59</v>
      </c>
      <c r="K35" s="117" t="s">
        <v>60</v>
      </c>
      <c r="L35" s="159" t="s">
        <v>64</v>
      </c>
      <c r="M35" s="117" t="s">
        <v>63</v>
      </c>
      <c r="N35" s="12"/>
      <c r="O35" s="61" t="s">
        <v>59</v>
      </c>
      <c r="P35" s="117" t="s">
        <v>60</v>
      </c>
      <c r="Q35" s="61" t="s">
        <v>62</v>
      </c>
      <c r="R35" s="117" t="s">
        <v>63</v>
      </c>
      <c r="S35" s="10"/>
      <c r="T35" s="61" t="s">
        <v>59</v>
      </c>
      <c r="U35" s="117" t="s">
        <v>60</v>
      </c>
      <c r="V35" s="117" t="s">
        <v>62</v>
      </c>
      <c r="W35" s="117" t="s">
        <v>63</v>
      </c>
      <c r="Y35" s="117" t="s">
        <v>59</v>
      </c>
      <c r="Z35" s="117" t="s">
        <v>60</v>
      </c>
      <c r="AA35" s="117" t="s">
        <v>64</v>
      </c>
      <c r="AB35" s="117" t="s">
        <v>63</v>
      </c>
      <c r="AD35" s="117" t="s">
        <v>59</v>
      </c>
      <c r="AE35" s="117" t="s">
        <v>60</v>
      </c>
      <c r="AF35" s="117" t="s">
        <v>64</v>
      </c>
      <c r="AG35" s="117" t="s">
        <v>63</v>
      </c>
      <c r="AI35" s="182"/>
      <c r="AJ35" s="182"/>
      <c r="AK35" s="182"/>
      <c r="AL35" s="182"/>
      <c r="AM35" s="99"/>
    </row>
    <row r="36" spans="1:39" ht="75.75" customHeight="1" x14ac:dyDescent="0.25">
      <c r="A36" s="214" t="s">
        <v>115</v>
      </c>
      <c r="B36" s="186" t="s">
        <v>116</v>
      </c>
      <c r="C36" s="186" t="s">
        <v>117</v>
      </c>
      <c r="D36" s="186" t="s">
        <v>155</v>
      </c>
      <c r="E36" s="217" t="str">
        <f>C29</f>
        <v xml:space="preserve">Aumentar el acceso a vivienda digna, espacio público y equipamientos de la población vulnerable en suelo urbano y rural </v>
      </c>
      <c r="F36" s="139" t="s">
        <v>165</v>
      </c>
      <c r="G36" s="139" t="s">
        <v>91</v>
      </c>
      <c r="H36" s="219" t="str">
        <f>C31</f>
        <v>Sistema Distrital de cuidado</v>
      </c>
      <c r="I36" s="14"/>
      <c r="J36" s="128">
        <v>300</v>
      </c>
      <c r="K36" s="128">
        <v>433</v>
      </c>
      <c r="L36" s="160"/>
      <c r="M36" s="129"/>
      <c r="N36" s="130"/>
      <c r="O36" s="145">
        <v>600</v>
      </c>
      <c r="P36" s="145">
        <v>0</v>
      </c>
      <c r="Q36" s="129"/>
      <c r="R36" s="129"/>
      <c r="S36" s="132"/>
      <c r="T36" s="146">
        <v>600</v>
      </c>
      <c r="U36" s="146">
        <v>0</v>
      </c>
      <c r="V36" s="134"/>
      <c r="W36" s="135"/>
      <c r="X36" s="136"/>
      <c r="Y36" s="146">
        <v>600</v>
      </c>
      <c r="Z36" s="146">
        <v>0</v>
      </c>
      <c r="AA36" s="134"/>
      <c r="AB36" s="135"/>
      <c r="AC36" s="136"/>
      <c r="AD36" s="147">
        <v>300</v>
      </c>
      <c r="AE36" s="147">
        <v>0</v>
      </c>
      <c r="AF36" s="134"/>
      <c r="AG36" s="135"/>
      <c r="AH36" s="132"/>
      <c r="AI36" s="147">
        <f t="shared" ref="AI36:AL37" si="12">J36+O36+T36+Y36+AD36</f>
        <v>2400</v>
      </c>
      <c r="AJ36" s="147">
        <f t="shared" si="12"/>
        <v>433</v>
      </c>
      <c r="AK36" s="138">
        <f t="shared" si="12"/>
        <v>0</v>
      </c>
      <c r="AL36" s="138">
        <f t="shared" si="12"/>
        <v>0</v>
      </c>
      <c r="AM36" s="100"/>
    </row>
    <row r="37" spans="1:39" ht="75.75" customHeight="1" x14ac:dyDescent="0.25">
      <c r="A37" s="215"/>
      <c r="B37" s="193"/>
      <c r="C37" s="193"/>
      <c r="D37" s="193"/>
      <c r="E37" s="218"/>
      <c r="F37" s="13" t="s">
        <v>118</v>
      </c>
      <c r="G37" s="13" t="s">
        <v>91</v>
      </c>
      <c r="H37" s="220"/>
      <c r="I37" s="14"/>
      <c r="J37" s="108">
        <v>300</v>
      </c>
      <c r="K37" s="108">
        <v>433</v>
      </c>
      <c r="L37" s="163">
        <v>2485.9104860000002</v>
      </c>
      <c r="M37" s="29">
        <v>2462.6375039999998</v>
      </c>
      <c r="N37" s="23"/>
      <c r="O37" s="15">
        <v>600</v>
      </c>
      <c r="P37" s="15">
        <v>22</v>
      </c>
      <c r="Q37" s="29">
        <f>3775257000/L1</f>
        <v>3775.2570000000001</v>
      </c>
      <c r="R37" s="29">
        <v>0</v>
      </c>
      <c r="S37" s="101"/>
      <c r="T37" s="104">
        <v>600</v>
      </c>
      <c r="U37" s="104">
        <v>0</v>
      </c>
      <c r="V37" s="29">
        <f>3775257731/L1</f>
        <v>3775.2577310000001</v>
      </c>
      <c r="W37" s="106"/>
      <c r="X37" s="102"/>
      <c r="Y37" s="104">
        <v>600</v>
      </c>
      <c r="Z37" s="104">
        <v>0</v>
      </c>
      <c r="AA37" s="29">
        <f>3775257731/L1</f>
        <v>3775.2577310000001</v>
      </c>
      <c r="AB37" s="106"/>
      <c r="AC37" s="102"/>
      <c r="AD37" s="91">
        <v>300</v>
      </c>
      <c r="AE37" s="91">
        <v>0</v>
      </c>
      <c r="AF37" s="105">
        <f>1887628865/L1</f>
        <v>1887.6288649999999</v>
      </c>
      <c r="AG37" s="106"/>
      <c r="AH37" s="101"/>
      <c r="AI37" s="91">
        <f t="shared" si="12"/>
        <v>2400</v>
      </c>
      <c r="AJ37" s="91">
        <f t="shared" si="12"/>
        <v>455</v>
      </c>
      <c r="AK37" s="62">
        <f t="shared" si="12"/>
        <v>15699.311813</v>
      </c>
      <c r="AL37" s="62">
        <f t="shared" si="12"/>
        <v>2462.6375039999998</v>
      </c>
      <c r="AM37" s="100"/>
    </row>
    <row r="38" spans="1:39" ht="39.75" customHeight="1" x14ac:dyDescent="0.25">
      <c r="A38" s="215"/>
      <c r="B38" s="193"/>
      <c r="C38" s="193"/>
      <c r="D38" s="193"/>
      <c r="E38" s="218"/>
      <c r="F38" s="13" t="s">
        <v>119</v>
      </c>
      <c r="G38" s="13" t="s">
        <v>120</v>
      </c>
      <c r="H38" s="220"/>
      <c r="I38" s="14"/>
      <c r="J38" s="15">
        <v>1</v>
      </c>
      <c r="K38" s="15">
        <v>1</v>
      </c>
      <c r="L38" s="170">
        <v>1.1481950000000001</v>
      </c>
      <c r="M38" s="171">
        <v>1.1481950000000001</v>
      </c>
      <c r="N38" s="23"/>
      <c r="O38" s="15">
        <v>1</v>
      </c>
      <c r="P38" s="15">
        <v>0</v>
      </c>
      <c r="Q38" s="29">
        <f>711330000/L1</f>
        <v>711.33</v>
      </c>
      <c r="R38" s="29">
        <v>0</v>
      </c>
      <c r="S38" s="101"/>
      <c r="T38" s="104">
        <v>1</v>
      </c>
      <c r="U38" s="104">
        <v>0</v>
      </c>
      <c r="V38" s="29">
        <f>711330074/L1</f>
        <v>711.33007399999997</v>
      </c>
      <c r="W38" s="107"/>
      <c r="X38" s="102"/>
      <c r="Y38" s="104">
        <v>1</v>
      </c>
      <c r="Z38" s="104">
        <v>0</v>
      </c>
      <c r="AA38" s="105">
        <f>1066995111/L1</f>
        <v>1066.995111</v>
      </c>
      <c r="AB38" s="107"/>
      <c r="AC38" s="102"/>
      <c r="AD38" s="91">
        <v>0</v>
      </c>
      <c r="AE38" s="91">
        <v>0</v>
      </c>
      <c r="AF38" s="105">
        <v>0</v>
      </c>
      <c r="AG38" s="107"/>
      <c r="AH38" s="101"/>
      <c r="AI38" s="91">
        <f>J38+O38+T38+Y38+AD38</f>
        <v>4</v>
      </c>
      <c r="AJ38" s="91">
        <f t="shared" ref="AJ38:AJ39" si="13">K38+P38+U38+Z38+AE38</f>
        <v>1</v>
      </c>
      <c r="AK38" s="62">
        <f t="shared" ref="AK38:AK39" si="14">L38+Q38+V38+AA38+AF38</f>
        <v>2490.8033800000003</v>
      </c>
      <c r="AL38" s="62">
        <f t="shared" ref="AL38:AL39" si="15">M38+R38+W38+AB38+AG38</f>
        <v>1.1481950000000001</v>
      </c>
    </row>
    <row r="39" spans="1:39" ht="43.5" customHeight="1" x14ac:dyDescent="0.25">
      <c r="A39" s="215"/>
      <c r="B39" s="193"/>
      <c r="C39" s="193"/>
      <c r="D39" s="193"/>
      <c r="E39" s="218"/>
      <c r="F39" s="13" t="s">
        <v>121</v>
      </c>
      <c r="G39" s="13" t="s">
        <v>122</v>
      </c>
      <c r="H39" s="220"/>
      <c r="I39" s="14"/>
      <c r="J39" s="15">
        <v>1</v>
      </c>
      <c r="K39" s="15">
        <v>1</v>
      </c>
      <c r="L39" s="161">
        <v>3933.2635260000002</v>
      </c>
      <c r="M39" s="29">
        <v>3919.824286</v>
      </c>
      <c r="N39" s="23"/>
      <c r="O39" s="15">
        <v>1</v>
      </c>
      <c r="P39" s="15">
        <v>0</v>
      </c>
      <c r="Q39" s="29">
        <f>834198000/L1</f>
        <v>834.19799999999998</v>
      </c>
      <c r="R39" s="29">
        <v>0.74729999999999996</v>
      </c>
      <c r="S39" s="101"/>
      <c r="T39" s="104">
        <v>0</v>
      </c>
      <c r="U39" s="104">
        <v>0</v>
      </c>
      <c r="V39" s="105">
        <v>0</v>
      </c>
      <c r="W39" s="105"/>
      <c r="X39" s="102"/>
      <c r="Y39" s="104">
        <v>0</v>
      </c>
      <c r="Z39" s="104">
        <v>0</v>
      </c>
      <c r="AA39" s="105">
        <v>0</v>
      </c>
      <c r="AB39" s="105"/>
      <c r="AC39" s="102"/>
      <c r="AD39" s="91">
        <v>0</v>
      </c>
      <c r="AE39" s="91">
        <v>0</v>
      </c>
      <c r="AF39" s="105">
        <v>0</v>
      </c>
      <c r="AG39" s="105"/>
      <c r="AH39" s="101"/>
      <c r="AI39" s="91">
        <f>J39+O39+T39+Y39+AD39</f>
        <v>2</v>
      </c>
      <c r="AJ39" s="91">
        <f t="shared" si="13"/>
        <v>1</v>
      </c>
      <c r="AK39" s="62">
        <f t="shared" si="14"/>
        <v>4767.461526</v>
      </c>
      <c r="AL39" s="62">
        <f t="shared" si="15"/>
        <v>3920.571586</v>
      </c>
      <c r="AM39" s="100"/>
    </row>
    <row r="40" spans="1:39" s="6" customFormat="1" ht="15.75" x14ac:dyDescent="0.25">
      <c r="A40" s="17"/>
      <c r="B40" s="119" t="s">
        <v>103</v>
      </c>
      <c r="C40" s="119"/>
      <c r="D40" s="119"/>
      <c r="E40" s="119"/>
      <c r="F40" s="39"/>
      <c r="G40" s="39"/>
      <c r="H40" s="39"/>
      <c r="I40" s="40"/>
      <c r="J40" s="41"/>
      <c r="K40" s="41"/>
      <c r="L40" s="162">
        <f>SUM(L36:L39)</f>
        <v>6420.3222070000011</v>
      </c>
      <c r="M40" s="42">
        <f>SUM(M36:M39)</f>
        <v>6383.6099850000001</v>
      </c>
      <c r="N40" s="51"/>
      <c r="O40" s="41"/>
      <c r="P40" s="41"/>
      <c r="Q40" s="42">
        <f>SUM(Q36:Q39)</f>
        <v>5320.7850000000008</v>
      </c>
      <c r="R40" s="42">
        <f>SUM(R36:R39)</f>
        <v>0.74729999999999996</v>
      </c>
      <c r="T40" s="41"/>
      <c r="U40" s="41"/>
      <c r="V40" s="42">
        <f>SUM(V36:V39)</f>
        <v>4486.5878050000001</v>
      </c>
      <c r="W40" s="42">
        <f>SUM(W36:W39)</f>
        <v>0</v>
      </c>
      <c r="Y40" s="41"/>
      <c r="Z40" s="41"/>
      <c r="AA40" s="42">
        <f>SUM(AA36:AA39)</f>
        <v>4842.2528419999999</v>
      </c>
      <c r="AB40" s="42">
        <f>SUM(AB36:AB39)</f>
        <v>0</v>
      </c>
      <c r="AC40" s="113"/>
      <c r="AD40" s="41"/>
      <c r="AE40" s="42"/>
      <c r="AF40" s="42">
        <f>SUM(AF36:AF39)</f>
        <v>1887.6288649999999</v>
      </c>
      <c r="AG40" s="42">
        <f>SUM(AG36:AG39)</f>
        <v>0</v>
      </c>
      <c r="AI40" s="97"/>
      <c r="AJ40" s="97"/>
      <c r="AK40" s="64">
        <f>SUM(AK36:AK39)</f>
        <v>22957.576719000001</v>
      </c>
      <c r="AL40" s="64">
        <f>SUM(AL36:AL39)</f>
        <v>6384.357285</v>
      </c>
      <c r="AM40" s="99"/>
    </row>
    <row r="42" spans="1:39" s="5" customFormat="1" ht="15.75" customHeight="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95"/>
    </row>
    <row r="43" spans="1:39" s="3" customFormat="1" ht="12.75" x14ac:dyDescent="0.2">
      <c r="A43" s="141"/>
      <c r="B43" s="4"/>
      <c r="C43" s="4"/>
      <c r="D43" s="4"/>
      <c r="E43" s="4"/>
      <c r="F43" s="4"/>
      <c r="G43" s="4"/>
      <c r="H43" s="4"/>
      <c r="I43" s="2"/>
      <c r="J43" s="141"/>
      <c r="K43" s="2"/>
      <c r="L43" s="157"/>
      <c r="M43" s="2"/>
      <c r="N43" s="2"/>
      <c r="O43" s="2"/>
      <c r="P43" s="2"/>
      <c r="Q43" s="2"/>
      <c r="R43" s="2"/>
      <c r="T43" s="103"/>
      <c r="U43" s="103"/>
      <c r="V43" s="103"/>
      <c r="W43" s="103"/>
      <c r="Y43" s="103"/>
      <c r="Z43" s="103"/>
      <c r="AA43" s="103"/>
      <c r="AB43" s="103"/>
      <c r="AD43" s="2"/>
      <c r="AE43" s="2"/>
      <c r="AF43" s="103"/>
      <c r="AG43" s="103"/>
      <c r="AI43" s="110"/>
      <c r="AJ43" s="110"/>
      <c r="AK43" s="110"/>
      <c r="AL43" s="111"/>
      <c r="AM43" s="94"/>
    </row>
    <row r="44" spans="1:39" x14ac:dyDescent="0.25">
      <c r="A44" s="143">
        <v>2</v>
      </c>
      <c r="B44" s="123" t="s">
        <v>94</v>
      </c>
      <c r="C44" s="222" t="s">
        <v>166</v>
      </c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</row>
    <row r="45" spans="1:39" x14ac:dyDescent="0.25">
      <c r="A45" s="142">
        <v>15</v>
      </c>
      <c r="B45" s="6" t="s">
        <v>160</v>
      </c>
      <c r="C45" s="222" t="s">
        <v>167</v>
      </c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</row>
    <row r="46" spans="1:39" x14ac:dyDescent="0.25">
      <c r="A46" s="142">
        <v>29</v>
      </c>
      <c r="B46" s="6" t="s">
        <v>95</v>
      </c>
      <c r="C46" s="222" t="s">
        <v>168</v>
      </c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</row>
    <row r="47" spans="1:39" ht="30" x14ac:dyDescent="0.25">
      <c r="A47" s="142">
        <v>3</v>
      </c>
      <c r="B47" s="124" t="s">
        <v>98</v>
      </c>
      <c r="C47" s="222" t="s">
        <v>114</v>
      </c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</row>
    <row r="49" spans="1:39" s="11" customFormat="1" ht="27" customHeight="1" x14ac:dyDescent="0.25">
      <c r="A49" s="208" t="s">
        <v>2</v>
      </c>
      <c r="B49" s="183" t="s">
        <v>3</v>
      </c>
      <c r="C49" s="224" t="s">
        <v>87</v>
      </c>
      <c r="D49" s="183" t="s">
        <v>67</v>
      </c>
      <c r="E49" s="224" t="s">
        <v>174</v>
      </c>
      <c r="F49" s="205" t="s">
        <v>101</v>
      </c>
      <c r="G49" s="226" t="s">
        <v>90</v>
      </c>
      <c r="H49" s="178" t="s">
        <v>175</v>
      </c>
      <c r="I49" s="10"/>
      <c r="J49" s="178">
        <v>2020</v>
      </c>
      <c r="K49" s="178"/>
      <c r="L49" s="178"/>
      <c r="M49" s="178"/>
      <c r="N49" s="10"/>
      <c r="O49" s="178">
        <v>2021</v>
      </c>
      <c r="P49" s="178"/>
      <c r="Q49" s="178"/>
      <c r="R49" s="178"/>
      <c r="T49" s="178">
        <v>2022</v>
      </c>
      <c r="U49" s="178"/>
      <c r="V49" s="178"/>
      <c r="W49" s="178"/>
      <c r="Y49" s="178">
        <v>2023</v>
      </c>
      <c r="Z49" s="178"/>
      <c r="AA49" s="178"/>
      <c r="AB49" s="178"/>
      <c r="AD49" s="179">
        <v>2024</v>
      </c>
      <c r="AE49" s="180"/>
      <c r="AF49" s="180"/>
      <c r="AG49" s="180"/>
      <c r="AI49" s="223" t="s">
        <v>102</v>
      </c>
      <c r="AJ49" s="223"/>
      <c r="AK49" s="223"/>
      <c r="AL49" s="223"/>
      <c r="AM49" s="99"/>
    </row>
    <row r="50" spans="1:39" s="11" customFormat="1" ht="16.5" customHeight="1" x14ac:dyDescent="0.25">
      <c r="A50" s="209"/>
      <c r="B50" s="184"/>
      <c r="C50" s="206"/>
      <c r="D50" s="184"/>
      <c r="E50" s="206"/>
      <c r="F50" s="206"/>
      <c r="G50" s="226"/>
      <c r="H50" s="178"/>
      <c r="I50" s="10"/>
      <c r="J50" s="177" t="s">
        <v>4</v>
      </c>
      <c r="K50" s="177"/>
      <c r="L50" s="177" t="s">
        <v>61</v>
      </c>
      <c r="M50" s="177"/>
      <c r="N50" s="10"/>
      <c r="O50" s="177" t="s">
        <v>6</v>
      </c>
      <c r="P50" s="177"/>
      <c r="Q50" s="177" t="s">
        <v>8</v>
      </c>
      <c r="R50" s="177"/>
      <c r="S50" s="10"/>
      <c r="T50" s="177" t="s">
        <v>7</v>
      </c>
      <c r="U50" s="177"/>
      <c r="V50" s="177" t="s">
        <v>8</v>
      </c>
      <c r="W50" s="177"/>
      <c r="Y50" s="177" t="s">
        <v>7</v>
      </c>
      <c r="Z50" s="177"/>
      <c r="AA50" s="177" t="s">
        <v>8</v>
      </c>
      <c r="AB50" s="177"/>
      <c r="AD50" s="177" t="s">
        <v>7</v>
      </c>
      <c r="AE50" s="177"/>
      <c r="AF50" s="177" t="s">
        <v>8</v>
      </c>
      <c r="AG50" s="177"/>
      <c r="AI50" s="181" t="s">
        <v>4</v>
      </c>
      <c r="AJ50" s="181" t="s">
        <v>66</v>
      </c>
      <c r="AK50" s="181" t="s">
        <v>8</v>
      </c>
      <c r="AL50" s="181" t="s">
        <v>5</v>
      </c>
      <c r="AM50" s="99"/>
    </row>
    <row r="51" spans="1:39" s="11" customFormat="1" ht="33" x14ac:dyDescent="0.25">
      <c r="A51" s="210"/>
      <c r="B51" s="185"/>
      <c r="C51" s="225"/>
      <c r="D51" s="185"/>
      <c r="E51" s="225"/>
      <c r="F51" s="207"/>
      <c r="G51" s="226"/>
      <c r="H51" s="178"/>
      <c r="I51" s="12"/>
      <c r="J51" s="155" t="s">
        <v>59</v>
      </c>
      <c r="K51" s="117" t="s">
        <v>60</v>
      </c>
      <c r="L51" s="159" t="s">
        <v>64</v>
      </c>
      <c r="M51" s="117" t="s">
        <v>63</v>
      </c>
      <c r="N51" s="12"/>
      <c r="O51" s="61" t="s">
        <v>59</v>
      </c>
      <c r="P51" s="117" t="s">
        <v>60</v>
      </c>
      <c r="Q51" s="61" t="s">
        <v>62</v>
      </c>
      <c r="R51" s="117" t="s">
        <v>63</v>
      </c>
      <c r="S51" s="10"/>
      <c r="T51" s="61" t="s">
        <v>59</v>
      </c>
      <c r="U51" s="117" t="s">
        <v>60</v>
      </c>
      <c r="V51" s="117" t="s">
        <v>62</v>
      </c>
      <c r="W51" s="117" t="s">
        <v>63</v>
      </c>
      <c r="Y51" s="117" t="s">
        <v>59</v>
      </c>
      <c r="Z51" s="117" t="s">
        <v>60</v>
      </c>
      <c r="AA51" s="117" t="s">
        <v>64</v>
      </c>
      <c r="AB51" s="117" t="s">
        <v>63</v>
      </c>
      <c r="AD51" s="117" t="s">
        <v>59</v>
      </c>
      <c r="AE51" s="117" t="s">
        <v>60</v>
      </c>
      <c r="AF51" s="117" t="s">
        <v>64</v>
      </c>
      <c r="AG51" s="117" t="s">
        <v>63</v>
      </c>
      <c r="AI51" s="182"/>
      <c r="AJ51" s="182"/>
      <c r="AK51" s="182"/>
      <c r="AL51" s="182"/>
      <c r="AM51" s="99"/>
    </row>
    <row r="52" spans="1:39" ht="75.75" customHeight="1" x14ac:dyDescent="0.25">
      <c r="A52" s="214" t="s">
        <v>123</v>
      </c>
      <c r="B52" s="186" t="s">
        <v>125</v>
      </c>
      <c r="C52" s="186" t="s">
        <v>124</v>
      </c>
      <c r="D52" s="186" t="s">
        <v>156</v>
      </c>
      <c r="E52" s="217" t="str">
        <f>C45</f>
        <v xml:space="preserve">Intervenir integralmente áreas estratégicas de Bogotá teniendo en cuenta las dinámicas patrimoniales, ambientales, sociales y culturales  
</v>
      </c>
      <c r="F52" s="139" t="s">
        <v>126</v>
      </c>
      <c r="G52" s="139" t="s">
        <v>127</v>
      </c>
      <c r="H52" s="219" t="str">
        <f>C47</f>
        <v>Sistema Distrital de cuidado</v>
      </c>
      <c r="I52" s="14"/>
      <c r="J52" s="128">
        <v>174</v>
      </c>
      <c r="K52" s="128">
        <v>410</v>
      </c>
      <c r="L52" s="160"/>
      <c r="M52" s="129"/>
      <c r="N52" s="130"/>
      <c r="O52" s="145">
        <v>431</v>
      </c>
      <c r="P52" s="145">
        <v>0</v>
      </c>
      <c r="Q52" s="129"/>
      <c r="R52" s="129"/>
      <c r="S52" s="132"/>
      <c r="T52" s="146">
        <v>764</v>
      </c>
      <c r="U52" s="146">
        <v>0</v>
      </c>
      <c r="V52" s="134"/>
      <c r="W52" s="135"/>
      <c r="X52" s="136"/>
      <c r="Y52" s="146">
        <v>446</v>
      </c>
      <c r="Z52" s="146">
        <v>0</v>
      </c>
      <c r="AA52" s="134"/>
      <c r="AB52" s="135"/>
      <c r="AC52" s="136"/>
      <c r="AD52" s="147">
        <v>335</v>
      </c>
      <c r="AE52" s="147">
        <v>0</v>
      </c>
      <c r="AF52" s="134"/>
      <c r="AG52" s="135"/>
      <c r="AH52" s="132"/>
      <c r="AI52" s="147">
        <f>J52+O52+T52+Y52+AD52</f>
        <v>2150</v>
      </c>
      <c r="AJ52" s="147">
        <f>K52+P52+U52+Z52+AE52</f>
        <v>410</v>
      </c>
      <c r="AK52" s="138">
        <f>L52+Q52+V52+AA52+AF52</f>
        <v>0</v>
      </c>
      <c r="AL52" s="138">
        <f>M52+R52+W52+AB52+AG52</f>
        <v>0</v>
      </c>
      <c r="AM52" s="100"/>
    </row>
    <row r="53" spans="1:39" ht="71.25" customHeight="1" x14ac:dyDescent="0.25">
      <c r="A53" s="215"/>
      <c r="B53" s="193"/>
      <c r="C53" s="193"/>
      <c r="D53" s="193"/>
      <c r="E53" s="218"/>
      <c r="F53" s="13" t="s">
        <v>128</v>
      </c>
      <c r="G53" s="13" t="s">
        <v>129</v>
      </c>
      <c r="H53" s="220"/>
      <c r="I53" s="14"/>
      <c r="J53" s="15">
        <v>54</v>
      </c>
      <c r="K53" s="91">
        <v>55</v>
      </c>
      <c r="L53" s="161">
        <v>5071.6473960000003</v>
      </c>
      <c r="M53" s="29">
        <v>4319.8978859999997</v>
      </c>
      <c r="N53" s="23"/>
      <c r="O53" s="15">
        <v>230</v>
      </c>
      <c r="P53" s="15">
        <v>0</v>
      </c>
      <c r="Q53" s="29">
        <f>17106842000/L1</f>
        <v>17106.842000000001</v>
      </c>
      <c r="R53" s="29">
        <v>0</v>
      </c>
      <c r="S53" s="101"/>
      <c r="T53" s="104">
        <v>640</v>
      </c>
      <c r="U53" s="114">
        <v>0</v>
      </c>
      <c r="V53" s="105">
        <f>37408345788/L1</f>
        <v>37408.345787999999</v>
      </c>
      <c r="W53" s="106"/>
      <c r="X53" s="102"/>
      <c r="Y53" s="104">
        <v>212</v>
      </c>
      <c r="Z53" s="114">
        <v>0</v>
      </c>
      <c r="AA53" s="105">
        <f>18819067508/L1</f>
        <v>18819.067508</v>
      </c>
      <c r="AB53" s="106"/>
      <c r="AC53" s="102"/>
      <c r="AD53" s="91">
        <v>87</v>
      </c>
      <c r="AE53" s="91">
        <v>0</v>
      </c>
      <c r="AF53" s="105">
        <f>10668172992/L1</f>
        <v>10668.172992</v>
      </c>
      <c r="AG53" s="106"/>
      <c r="AH53" s="101"/>
      <c r="AI53" s="91">
        <f>J53+O53+T53+Y53+AD53</f>
        <v>1223</v>
      </c>
      <c r="AJ53" s="91">
        <f t="shared" ref="AJ53:AJ55" si="16">K53+P53+U53+Z53+AE53</f>
        <v>55</v>
      </c>
      <c r="AK53" s="62">
        <f t="shared" ref="AK53:AK55" si="17">L53+Q53+V53+AA53+AF53</f>
        <v>89074.07568400001</v>
      </c>
      <c r="AL53" s="62">
        <f t="shared" ref="AL53:AL55" si="18">M53+R53+W53+AB53+AG53</f>
        <v>4319.8978859999997</v>
      </c>
      <c r="AM53" s="100"/>
    </row>
    <row r="54" spans="1:39" ht="66.75" customHeight="1" x14ac:dyDescent="0.25">
      <c r="A54" s="215"/>
      <c r="B54" s="193"/>
      <c r="C54" s="193"/>
      <c r="D54" s="193"/>
      <c r="E54" s="218"/>
      <c r="F54" s="13" t="s">
        <v>130</v>
      </c>
      <c r="G54" s="13" t="s">
        <v>131</v>
      </c>
      <c r="H54" s="220"/>
      <c r="I54" s="14"/>
      <c r="J54" s="15">
        <v>28</v>
      </c>
      <c r="K54" s="15">
        <v>27</v>
      </c>
      <c r="L54" s="161">
        <v>2969.3287610000002</v>
      </c>
      <c r="M54" s="29">
        <v>2928.9973829999999</v>
      </c>
      <c r="N54" s="23"/>
      <c r="O54" s="15">
        <v>30</v>
      </c>
      <c r="P54" s="15">
        <v>0</v>
      </c>
      <c r="Q54" s="29">
        <f>2054850000/L1</f>
        <v>2054.85</v>
      </c>
      <c r="R54" s="29">
        <v>0</v>
      </c>
      <c r="S54" s="101"/>
      <c r="T54" s="104">
        <v>15</v>
      </c>
      <c r="U54" s="104">
        <v>0</v>
      </c>
      <c r="V54" s="105">
        <f>1060112179/L1</f>
        <v>1060.112179</v>
      </c>
      <c r="W54" s="107"/>
      <c r="X54" s="102"/>
      <c r="Y54" s="104">
        <v>30</v>
      </c>
      <c r="Z54" s="104">
        <v>0</v>
      </c>
      <c r="AA54" s="105">
        <f>2011560186/L1</f>
        <v>2011.5601859999999</v>
      </c>
      <c r="AB54" s="107"/>
      <c r="AC54" s="102"/>
      <c r="AD54" s="91">
        <v>13</v>
      </c>
      <c r="AE54" s="91">
        <v>0</v>
      </c>
      <c r="AF54" s="105">
        <f>1040287130/L1</f>
        <v>1040.2871299999999</v>
      </c>
      <c r="AG54" s="107"/>
      <c r="AH54" s="101"/>
      <c r="AI54" s="91">
        <f>J54+O54+T54+Y54+AD54</f>
        <v>116</v>
      </c>
      <c r="AJ54" s="91">
        <f t="shared" si="16"/>
        <v>27</v>
      </c>
      <c r="AK54" s="62">
        <f t="shared" si="17"/>
        <v>9136.1382560000002</v>
      </c>
      <c r="AL54" s="62">
        <f t="shared" si="18"/>
        <v>2928.9973829999999</v>
      </c>
    </row>
    <row r="55" spans="1:39" ht="43.5" customHeight="1" x14ac:dyDescent="0.25">
      <c r="A55" s="215"/>
      <c r="B55" s="193"/>
      <c r="C55" s="193"/>
      <c r="D55" s="193"/>
      <c r="E55" s="218"/>
      <c r="F55" s="13" t="s">
        <v>132</v>
      </c>
      <c r="G55" s="13" t="s">
        <v>133</v>
      </c>
      <c r="H55" s="220"/>
      <c r="I55" s="14"/>
      <c r="J55" s="15">
        <v>1497</v>
      </c>
      <c r="K55" s="15">
        <v>1484</v>
      </c>
      <c r="L55" s="161">
        <v>3667.6184499999999</v>
      </c>
      <c r="M55" s="29">
        <v>3203.0383700000002</v>
      </c>
      <c r="N55" s="23"/>
      <c r="O55" s="15">
        <v>1704</v>
      </c>
      <c r="P55" s="15">
        <v>1508</v>
      </c>
      <c r="Q55" s="29">
        <f>5602403000/L1</f>
        <v>5602.4030000000002</v>
      </c>
      <c r="R55" s="29">
        <v>578.18871000000001</v>
      </c>
      <c r="S55" s="101"/>
      <c r="T55" s="104">
        <v>2280</v>
      </c>
      <c r="U55" s="104">
        <v>0</v>
      </c>
      <c r="V55" s="105">
        <f>5905722464/L1</f>
        <v>5905.7224640000004</v>
      </c>
      <c r="W55" s="105"/>
      <c r="X55" s="102"/>
      <c r="Y55" s="104">
        <v>2471</v>
      </c>
      <c r="Z55" s="104">
        <v>0</v>
      </c>
      <c r="AA55" s="105">
        <f>3676932663/L1</f>
        <v>3676.932663</v>
      </c>
      <c r="AB55" s="105"/>
      <c r="AC55" s="102"/>
      <c r="AD55" s="91">
        <v>2550</v>
      </c>
      <c r="AE55" s="91">
        <v>0</v>
      </c>
      <c r="AF55" s="105">
        <f>822109483/L1</f>
        <v>822.10948299999995</v>
      </c>
      <c r="AG55" s="105"/>
      <c r="AH55" s="101"/>
      <c r="AI55" s="91">
        <f>AD55</f>
        <v>2550</v>
      </c>
      <c r="AJ55" s="91">
        <f t="shared" si="16"/>
        <v>2992</v>
      </c>
      <c r="AK55" s="62">
        <f t="shared" si="17"/>
        <v>19674.786060000002</v>
      </c>
      <c r="AL55" s="62">
        <f t="shared" si="18"/>
        <v>3781.2270800000001</v>
      </c>
      <c r="AM55" s="100"/>
    </row>
    <row r="56" spans="1:39" s="6" customFormat="1" ht="15.75" x14ac:dyDescent="0.25">
      <c r="A56" s="17"/>
      <c r="B56" s="119" t="s">
        <v>103</v>
      </c>
      <c r="C56" s="119"/>
      <c r="D56" s="119"/>
      <c r="E56" s="119"/>
      <c r="F56" s="39"/>
      <c r="G56" s="39"/>
      <c r="H56" s="39"/>
      <c r="I56" s="40"/>
      <c r="J56" s="41"/>
      <c r="K56" s="41"/>
      <c r="L56" s="162">
        <f>SUM(L52:L55)</f>
        <v>11708.594607000001</v>
      </c>
      <c r="M56" s="42">
        <f>SUM(M52:M55)</f>
        <v>10451.933638999999</v>
      </c>
      <c r="N56" s="51"/>
      <c r="O56" s="41"/>
      <c r="P56" s="41"/>
      <c r="Q56" s="42">
        <f>SUM(Q52:Q55)</f>
        <v>24764.095000000001</v>
      </c>
      <c r="R56" s="42">
        <f>SUM(R52:R55)</f>
        <v>578.18871000000001</v>
      </c>
      <c r="T56" s="41"/>
      <c r="U56" s="41"/>
      <c r="V56" s="42">
        <f>SUM(V52:V55)</f>
        <v>44374.180431000001</v>
      </c>
      <c r="W56" s="42">
        <f>SUM(W52:W55)</f>
        <v>0</v>
      </c>
      <c r="Y56" s="41"/>
      <c r="Z56" s="41"/>
      <c r="AA56" s="42">
        <f>SUM(AA52:AA55)</f>
        <v>24507.560356999998</v>
      </c>
      <c r="AB56" s="42">
        <f>SUM(AB52:AB55)</f>
        <v>0</v>
      </c>
      <c r="AC56" s="113"/>
      <c r="AD56" s="41"/>
      <c r="AE56" s="42"/>
      <c r="AF56" s="42">
        <f>SUM(AF52:AF55)</f>
        <v>12530.569605000001</v>
      </c>
      <c r="AG56" s="42">
        <f>SUM(AG52:AG55)</f>
        <v>0</v>
      </c>
      <c r="AI56" s="97"/>
      <c r="AJ56" s="97"/>
      <c r="AK56" s="64">
        <f>SUM(AK52:AK55)</f>
        <v>117885.00000000001</v>
      </c>
      <c r="AL56" s="64">
        <f>SUM(AL52:AL55)</f>
        <v>11030.122348999999</v>
      </c>
      <c r="AM56" s="99"/>
    </row>
    <row r="58" spans="1:39" s="5" customFormat="1" ht="15.75" customHeight="1" x14ac:dyDescent="0.2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95"/>
    </row>
    <row r="59" spans="1:39" s="3" customFormat="1" ht="12.75" x14ac:dyDescent="0.2">
      <c r="A59" s="141"/>
      <c r="B59" s="4"/>
      <c r="C59" s="4"/>
      <c r="D59" s="4"/>
      <c r="E59" s="4"/>
      <c r="F59" s="4"/>
      <c r="G59" s="4"/>
      <c r="H59" s="4"/>
      <c r="I59" s="2"/>
      <c r="J59" s="141"/>
      <c r="K59" s="2"/>
      <c r="L59" s="157"/>
      <c r="M59" s="2"/>
      <c r="N59" s="2"/>
      <c r="O59" s="2"/>
      <c r="P59" s="2"/>
      <c r="Q59" s="2"/>
      <c r="R59" s="2"/>
      <c r="T59" s="103"/>
      <c r="U59" s="103"/>
      <c r="V59" s="103"/>
      <c r="W59" s="103"/>
      <c r="Y59" s="103"/>
      <c r="Z59" s="103"/>
      <c r="AA59" s="103"/>
      <c r="AB59" s="103"/>
      <c r="AD59" s="2"/>
      <c r="AE59" s="2"/>
      <c r="AF59" s="103"/>
      <c r="AG59" s="103"/>
      <c r="AI59" s="110"/>
      <c r="AJ59" s="110"/>
      <c r="AK59" s="110"/>
      <c r="AL59" s="111"/>
      <c r="AM59" s="94"/>
    </row>
    <row r="60" spans="1:39" x14ac:dyDescent="0.25">
      <c r="A60" s="143">
        <v>1</v>
      </c>
      <c r="B60" s="123" t="s">
        <v>94</v>
      </c>
      <c r="C60" s="222" t="s">
        <v>113</v>
      </c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</row>
    <row r="61" spans="1:39" x14ac:dyDescent="0.25">
      <c r="A61" s="142">
        <v>8</v>
      </c>
      <c r="B61" s="6" t="s">
        <v>160</v>
      </c>
      <c r="C61" s="222" t="s">
        <v>161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</row>
    <row r="62" spans="1:39" x14ac:dyDescent="0.25">
      <c r="A62" s="142">
        <v>19</v>
      </c>
      <c r="B62" s="6" t="s">
        <v>95</v>
      </c>
      <c r="C62" s="222" t="s">
        <v>159</v>
      </c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</row>
    <row r="63" spans="1:39" ht="30" x14ac:dyDescent="0.25">
      <c r="A63" s="142">
        <v>3</v>
      </c>
      <c r="B63" s="124" t="s">
        <v>98</v>
      </c>
      <c r="C63" s="222" t="s">
        <v>114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</row>
    <row r="65" spans="1:39" s="11" customFormat="1" ht="27" customHeight="1" x14ac:dyDescent="0.25">
      <c r="A65" s="208" t="s">
        <v>2</v>
      </c>
      <c r="B65" s="183" t="s">
        <v>3</v>
      </c>
      <c r="C65" s="224" t="s">
        <v>87</v>
      </c>
      <c r="D65" s="183" t="s">
        <v>67</v>
      </c>
      <c r="E65" s="224" t="s">
        <v>174</v>
      </c>
      <c r="F65" s="205" t="s">
        <v>101</v>
      </c>
      <c r="G65" s="226" t="s">
        <v>90</v>
      </c>
      <c r="H65" s="178" t="s">
        <v>175</v>
      </c>
      <c r="I65" s="10"/>
      <c r="J65" s="178">
        <v>2020</v>
      </c>
      <c r="K65" s="178"/>
      <c r="L65" s="178"/>
      <c r="M65" s="178"/>
      <c r="N65" s="10"/>
      <c r="O65" s="178">
        <v>2021</v>
      </c>
      <c r="P65" s="178"/>
      <c r="Q65" s="178"/>
      <c r="R65" s="178"/>
      <c r="T65" s="178">
        <v>2022</v>
      </c>
      <c r="U65" s="178"/>
      <c r="V65" s="178"/>
      <c r="W65" s="178"/>
      <c r="Y65" s="178">
        <v>2023</v>
      </c>
      <c r="Z65" s="178"/>
      <c r="AA65" s="178"/>
      <c r="AB65" s="178"/>
      <c r="AD65" s="179">
        <v>2024</v>
      </c>
      <c r="AE65" s="180"/>
      <c r="AF65" s="180"/>
      <c r="AG65" s="180"/>
      <c r="AI65" s="223" t="s">
        <v>102</v>
      </c>
      <c r="AJ65" s="223"/>
      <c r="AK65" s="223"/>
      <c r="AL65" s="223"/>
      <c r="AM65" s="99"/>
    </row>
    <row r="66" spans="1:39" s="11" customFormat="1" ht="16.5" customHeight="1" x14ac:dyDescent="0.25">
      <c r="A66" s="209"/>
      <c r="B66" s="184"/>
      <c r="C66" s="206"/>
      <c r="D66" s="184"/>
      <c r="E66" s="206"/>
      <c r="F66" s="206"/>
      <c r="G66" s="226"/>
      <c r="H66" s="178"/>
      <c r="I66" s="10"/>
      <c r="J66" s="177" t="s">
        <v>4</v>
      </c>
      <c r="K66" s="177"/>
      <c r="L66" s="177" t="s">
        <v>61</v>
      </c>
      <c r="M66" s="177"/>
      <c r="N66" s="10"/>
      <c r="O66" s="177" t="s">
        <v>6</v>
      </c>
      <c r="P66" s="177"/>
      <c r="Q66" s="177" t="s">
        <v>8</v>
      </c>
      <c r="R66" s="177"/>
      <c r="S66" s="10"/>
      <c r="T66" s="177" t="s">
        <v>7</v>
      </c>
      <c r="U66" s="177"/>
      <c r="V66" s="177" t="s">
        <v>8</v>
      </c>
      <c r="W66" s="177"/>
      <c r="Y66" s="177" t="s">
        <v>7</v>
      </c>
      <c r="Z66" s="177"/>
      <c r="AA66" s="177" t="s">
        <v>8</v>
      </c>
      <c r="AB66" s="177"/>
      <c r="AD66" s="177" t="s">
        <v>7</v>
      </c>
      <c r="AE66" s="177"/>
      <c r="AF66" s="177" t="s">
        <v>8</v>
      </c>
      <c r="AG66" s="177"/>
      <c r="AI66" s="181" t="s">
        <v>4</v>
      </c>
      <c r="AJ66" s="181" t="s">
        <v>66</v>
      </c>
      <c r="AK66" s="181" t="s">
        <v>8</v>
      </c>
      <c r="AL66" s="181" t="s">
        <v>5</v>
      </c>
      <c r="AM66" s="99"/>
    </row>
    <row r="67" spans="1:39" s="11" customFormat="1" ht="33" x14ac:dyDescent="0.25">
      <c r="A67" s="210"/>
      <c r="B67" s="185"/>
      <c r="C67" s="225"/>
      <c r="D67" s="185"/>
      <c r="E67" s="225"/>
      <c r="F67" s="207"/>
      <c r="G67" s="226"/>
      <c r="H67" s="178"/>
      <c r="I67" s="12"/>
      <c r="J67" s="155" t="s">
        <v>59</v>
      </c>
      <c r="K67" s="117" t="s">
        <v>60</v>
      </c>
      <c r="L67" s="159" t="s">
        <v>64</v>
      </c>
      <c r="M67" s="117" t="s">
        <v>63</v>
      </c>
      <c r="N67" s="12"/>
      <c r="O67" s="61" t="s">
        <v>59</v>
      </c>
      <c r="P67" s="117" t="s">
        <v>60</v>
      </c>
      <c r="Q67" s="61" t="s">
        <v>62</v>
      </c>
      <c r="R67" s="117" t="s">
        <v>63</v>
      </c>
      <c r="S67" s="10"/>
      <c r="T67" s="61" t="s">
        <v>59</v>
      </c>
      <c r="U67" s="117" t="s">
        <v>60</v>
      </c>
      <c r="V67" s="117" t="s">
        <v>62</v>
      </c>
      <c r="W67" s="117" t="s">
        <v>63</v>
      </c>
      <c r="Y67" s="117" t="s">
        <v>59</v>
      </c>
      <c r="Z67" s="117" t="s">
        <v>60</v>
      </c>
      <c r="AA67" s="117" t="s">
        <v>64</v>
      </c>
      <c r="AB67" s="117" t="s">
        <v>63</v>
      </c>
      <c r="AD67" s="117" t="s">
        <v>59</v>
      </c>
      <c r="AE67" s="117" t="s">
        <v>60</v>
      </c>
      <c r="AF67" s="117" t="s">
        <v>64</v>
      </c>
      <c r="AG67" s="117" t="s">
        <v>63</v>
      </c>
      <c r="AI67" s="182"/>
      <c r="AJ67" s="182"/>
      <c r="AK67" s="182"/>
      <c r="AL67" s="182"/>
      <c r="AM67" s="99"/>
    </row>
    <row r="68" spans="1:39" ht="75.75" customHeight="1" x14ac:dyDescent="0.25">
      <c r="A68" s="214" t="s">
        <v>134</v>
      </c>
      <c r="B68" s="186" t="s">
        <v>135</v>
      </c>
      <c r="C68" s="186" t="s">
        <v>88</v>
      </c>
      <c r="D68" s="186" t="s">
        <v>157</v>
      </c>
      <c r="E68" s="217" t="str">
        <f>C61</f>
        <v xml:space="preserve">Aumentar el acceso a vivienda digna, espacio público y equipamientos de la población vulnerable en suelo urbano y rural </v>
      </c>
      <c r="F68" s="139" t="s">
        <v>171</v>
      </c>
      <c r="G68" s="139" t="s">
        <v>136</v>
      </c>
      <c r="H68" s="219" t="str">
        <f>C63</f>
        <v>Sistema Distrital de cuidado</v>
      </c>
      <c r="I68" s="14"/>
      <c r="J68" s="149">
        <v>17305.599999999999</v>
      </c>
      <c r="K68" s="128">
        <v>0</v>
      </c>
      <c r="L68" s="160"/>
      <c r="M68" s="129"/>
      <c r="N68" s="130"/>
      <c r="O68" s="145">
        <v>19694.400000000001</v>
      </c>
      <c r="P68" s="145">
        <v>0</v>
      </c>
      <c r="Q68" s="129"/>
      <c r="R68" s="129"/>
      <c r="S68" s="132"/>
      <c r="T68" s="145">
        <v>22500</v>
      </c>
      <c r="U68" s="146">
        <v>0</v>
      </c>
      <c r="V68" s="134"/>
      <c r="W68" s="135"/>
      <c r="X68" s="136"/>
      <c r="Y68" s="146">
        <v>23750</v>
      </c>
      <c r="Z68" s="146">
        <v>0</v>
      </c>
      <c r="AA68" s="134"/>
      <c r="AB68" s="135"/>
      <c r="AC68" s="136"/>
      <c r="AD68" s="147">
        <v>23750</v>
      </c>
      <c r="AE68" s="147">
        <v>0</v>
      </c>
      <c r="AF68" s="134"/>
      <c r="AG68" s="135"/>
      <c r="AH68" s="132"/>
      <c r="AI68" s="147">
        <f>J68+O68+T68+Y68+AD68</f>
        <v>107000</v>
      </c>
      <c r="AJ68" s="147">
        <f>K68+P68+U68+Z68+AE68</f>
        <v>0</v>
      </c>
      <c r="AK68" s="138">
        <f>L68+Q68+V68+AA68+AF68</f>
        <v>0</v>
      </c>
      <c r="AL68" s="138">
        <f>M68+R68+W68+AB68+AG68</f>
        <v>0</v>
      </c>
      <c r="AM68" s="100"/>
    </row>
    <row r="69" spans="1:39" ht="43.5" customHeight="1" x14ac:dyDescent="0.25">
      <c r="A69" s="215"/>
      <c r="B69" s="193"/>
      <c r="C69" s="193"/>
      <c r="D69" s="193"/>
      <c r="E69" s="218"/>
      <c r="F69" s="13" t="s">
        <v>137</v>
      </c>
      <c r="G69" s="13" t="s">
        <v>138</v>
      </c>
      <c r="H69" s="220"/>
      <c r="I69" s="14"/>
      <c r="J69" s="148">
        <v>17305.599999999999</v>
      </c>
      <c r="K69" s="108">
        <v>17000</v>
      </c>
      <c r="L69" s="163">
        <f>3602795429/L1</f>
        <v>3602.7954289999998</v>
      </c>
      <c r="M69" s="29">
        <v>3501.5279959999998</v>
      </c>
      <c r="N69" s="23"/>
      <c r="O69" s="169">
        <v>19694.400000000001</v>
      </c>
      <c r="P69" s="15">
        <v>0</v>
      </c>
      <c r="Q69" s="29">
        <f>61366309000/L1</f>
        <v>61366.309000000001</v>
      </c>
      <c r="R69" s="29">
        <v>0</v>
      </c>
      <c r="S69" s="101"/>
      <c r="T69" s="15">
        <v>22500</v>
      </c>
      <c r="U69" s="104">
        <v>0</v>
      </c>
      <c r="V69" s="105">
        <f>18764039550/L1</f>
        <v>18764.039550000001</v>
      </c>
      <c r="W69" s="106"/>
      <c r="X69" s="102"/>
      <c r="Y69" s="104">
        <v>23750</v>
      </c>
      <c r="Z69" s="104">
        <v>0</v>
      </c>
      <c r="AA69" s="105">
        <f>11175354970/L1</f>
        <v>11175.35497</v>
      </c>
      <c r="AB69" s="106"/>
      <c r="AC69" s="102"/>
      <c r="AD69" s="91">
        <v>23750</v>
      </c>
      <c r="AE69" s="91">
        <v>0</v>
      </c>
      <c r="AF69" s="105">
        <f>2304686059/L1</f>
        <v>2304.6860590000001</v>
      </c>
      <c r="AG69" s="106"/>
      <c r="AH69" s="101"/>
      <c r="AI69" s="91">
        <f>J69+O69+T69+Y69+AD69</f>
        <v>107000</v>
      </c>
      <c r="AJ69" s="91">
        <f>K69+P69+U69+Z69+AE69</f>
        <v>17000</v>
      </c>
      <c r="AK69" s="62">
        <f t="shared" ref="AK69:AK70" si="19">L69+Q69+V69+AA69+AF69</f>
        <v>97213.185008</v>
      </c>
      <c r="AL69" s="62">
        <f t="shared" ref="AL69:AL70" si="20">M69+R69+W69+AB69+AG69</f>
        <v>3501.5279959999998</v>
      </c>
      <c r="AM69" s="100"/>
    </row>
    <row r="70" spans="1:39" ht="30" x14ac:dyDescent="0.25">
      <c r="A70" s="215"/>
      <c r="B70" s="193"/>
      <c r="C70" s="193"/>
      <c r="D70" s="193"/>
      <c r="E70" s="218"/>
      <c r="F70" s="13" t="s">
        <v>139</v>
      </c>
      <c r="G70" s="13" t="s">
        <v>138</v>
      </c>
      <c r="H70" s="220"/>
      <c r="I70" s="14"/>
      <c r="J70" s="26">
        <v>1</v>
      </c>
      <c r="K70" s="150">
        <v>0.96699999999999997</v>
      </c>
      <c r="L70" s="161">
        <f>1600000000/L1</f>
        <v>1600</v>
      </c>
      <c r="M70" s="29">
        <v>1435.632384</v>
      </c>
      <c r="N70" s="23"/>
      <c r="O70" s="26">
        <v>1</v>
      </c>
      <c r="P70" s="26">
        <v>0</v>
      </c>
      <c r="Q70" s="29">
        <f>4000000000/L1</f>
        <v>4000</v>
      </c>
      <c r="R70" s="29">
        <v>0</v>
      </c>
      <c r="S70" s="101"/>
      <c r="T70" s="140">
        <v>1</v>
      </c>
      <c r="U70" s="125">
        <v>0</v>
      </c>
      <c r="V70" s="105">
        <f>4000000000/L1</f>
        <v>4000</v>
      </c>
      <c r="W70" s="106"/>
      <c r="X70" s="102"/>
      <c r="Y70" s="140">
        <v>1</v>
      </c>
      <c r="Z70" s="125">
        <v>0</v>
      </c>
      <c r="AA70" s="105">
        <f>3000000000/L1</f>
        <v>3000</v>
      </c>
      <c r="AB70" s="106"/>
      <c r="AC70" s="102"/>
      <c r="AD70" s="112">
        <v>1</v>
      </c>
      <c r="AE70" s="112">
        <v>0</v>
      </c>
      <c r="AF70" s="105">
        <f>1500000000/L1</f>
        <v>1500</v>
      </c>
      <c r="AG70" s="106"/>
      <c r="AH70" s="101"/>
      <c r="AI70" s="112">
        <f>AD70</f>
        <v>1</v>
      </c>
      <c r="AJ70" s="150">
        <f t="shared" ref="AJ70" si="21">K70+P70+U70+Z70+AE70</f>
        <v>0.96699999999999997</v>
      </c>
      <c r="AK70" s="62">
        <f t="shared" si="19"/>
        <v>14100</v>
      </c>
      <c r="AL70" s="62">
        <f t="shared" si="20"/>
        <v>1435.632384</v>
      </c>
      <c r="AM70" s="100"/>
    </row>
    <row r="71" spans="1:39" s="6" customFormat="1" ht="15.75" x14ac:dyDescent="0.25">
      <c r="A71" s="17"/>
      <c r="B71" s="119" t="s">
        <v>103</v>
      </c>
      <c r="C71" s="119"/>
      <c r="D71" s="119"/>
      <c r="E71" s="119"/>
      <c r="F71" s="39"/>
      <c r="G71" s="39"/>
      <c r="H71" s="39"/>
      <c r="I71" s="40"/>
      <c r="J71" s="41"/>
      <c r="K71" s="41"/>
      <c r="L71" s="162">
        <f>SUM(L68:L70)</f>
        <v>5202.7954289999998</v>
      </c>
      <c r="M71" s="42">
        <f>SUM(M68:M70)</f>
        <v>4937.1603799999993</v>
      </c>
      <c r="N71" s="51"/>
      <c r="O71" s="41"/>
      <c r="P71" s="41"/>
      <c r="Q71" s="42">
        <f>SUM(Q68:Q70)</f>
        <v>65366.309000000001</v>
      </c>
      <c r="R71" s="42">
        <f>SUM(R68:R70)</f>
        <v>0</v>
      </c>
      <c r="T71" s="41"/>
      <c r="U71" s="41"/>
      <c r="V71" s="42">
        <f>SUM(V68:V70)</f>
        <v>22764.039550000001</v>
      </c>
      <c r="W71" s="42">
        <f>SUM(W68:W70)</f>
        <v>0</v>
      </c>
      <c r="Y71" s="41"/>
      <c r="Z71" s="41"/>
      <c r="AA71" s="42">
        <f>SUM(AA68:AA70)</f>
        <v>14175.35497</v>
      </c>
      <c r="AB71" s="42">
        <f>SUM(AB68:AB70)</f>
        <v>0</v>
      </c>
      <c r="AC71" s="113"/>
      <c r="AD71" s="41"/>
      <c r="AE71" s="42"/>
      <c r="AF71" s="42">
        <f>SUM(AF68:AF70)</f>
        <v>3804.6860590000001</v>
      </c>
      <c r="AG71" s="42">
        <f>SUM(AG68:AG70)</f>
        <v>0</v>
      </c>
      <c r="AI71" s="97"/>
      <c r="AJ71" s="97"/>
      <c r="AK71" s="64">
        <f>SUM(AK68:AK70)</f>
        <v>111313.185008</v>
      </c>
      <c r="AL71" s="64">
        <f>SUM(AL68:AL70)</f>
        <v>4937.1603799999993</v>
      </c>
      <c r="AM71" s="99"/>
    </row>
    <row r="73" spans="1:39" s="5" customFormat="1" ht="15.75" customHeight="1" x14ac:dyDescent="0.2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95"/>
    </row>
    <row r="74" spans="1:39" s="3" customFormat="1" ht="12.75" x14ac:dyDescent="0.2">
      <c r="A74" s="141"/>
      <c r="B74" s="4"/>
      <c r="C74" s="4"/>
      <c r="D74" s="4"/>
      <c r="E74" s="4"/>
      <c r="F74" s="4"/>
      <c r="G74" s="4"/>
      <c r="H74" s="4"/>
      <c r="I74" s="2"/>
      <c r="J74" s="141"/>
      <c r="K74" s="2"/>
      <c r="L74" s="157"/>
      <c r="M74" s="2"/>
      <c r="N74" s="2"/>
      <c r="O74" s="2"/>
      <c r="P74" s="2"/>
      <c r="Q74" s="2"/>
      <c r="R74" s="2"/>
      <c r="T74" s="103"/>
      <c r="U74" s="103"/>
      <c r="V74" s="103"/>
      <c r="W74" s="103"/>
      <c r="Y74" s="103"/>
      <c r="Z74" s="103"/>
      <c r="AA74" s="103"/>
      <c r="AB74" s="103"/>
      <c r="AD74" s="2"/>
      <c r="AE74" s="2"/>
      <c r="AF74" s="103"/>
      <c r="AG74" s="103"/>
      <c r="AI74" s="110"/>
      <c r="AJ74" s="110"/>
      <c r="AK74" s="110"/>
      <c r="AL74" s="111"/>
      <c r="AM74" s="94"/>
    </row>
    <row r="75" spans="1:39" x14ac:dyDescent="0.25">
      <c r="A75" s="143">
        <v>5</v>
      </c>
      <c r="B75" s="123" t="s">
        <v>94</v>
      </c>
      <c r="C75" s="222" t="s">
        <v>169</v>
      </c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</row>
    <row r="76" spans="1:39" x14ac:dyDescent="0.25">
      <c r="A76" s="142">
        <v>30</v>
      </c>
      <c r="B76" s="6" t="s">
        <v>160</v>
      </c>
      <c r="C76" s="222" t="s">
        <v>170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</row>
    <row r="77" spans="1:39" x14ac:dyDescent="0.25">
      <c r="A77" s="142">
        <v>56</v>
      </c>
      <c r="B77" s="6" t="s">
        <v>95</v>
      </c>
      <c r="C77" s="222" t="s">
        <v>140</v>
      </c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</row>
    <row r="78" spans="1:39" ht="30" x14ac:dyDescent="0.25">
      <c r="A78" s="142"/>
      <c r="B78" s="124" t="s">
        <v>98</v>
      </c>
      <c r="C78" s="222" t="s">
        <v>141</v>
      </c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</row>
    <row r="80" spans="1:39" s="11" customFormat="1" ht="27" customHeight="1" x14ac:dyDescent="0.25">
      <c r="A80" s="208" t="s">
        <v>2</v>
      </c>
      <c r="B80" s="183" t="s">
        <v>3</v>
      </c>
      <c r="C80" s="224" t="s">
        <v>87</v>
      </c>
      <c r="D80" s="183" t="s">
        <v>67</v>
      </c>
      <c r="E80" s="224" t="s">
        <v>174</v>
      </c>
      <c r="F80" s="205" t="s">
        <v>101</v>
      </c>
      <c r="G80" s="226" t="s">
        <v>90</v>
      </c>
      <c r="H80" s="178" t="s">
        <v>175</v>
      </c>
      <c r="I80" s="10"/>
      <c r="J80" s="178">
        <v>2020</v>
      </c>
      <c r="K80" s="178"/>
      <c r="L80" s="178"/>
      <c r="M80" s="178"/>
      <c r="N80" s="10"/>
      <c r="O80" s="178">
        <v>2021</v>
      </c>
      <c r="P80" s="178"/>
      <c r="Q80" s="178"/>
      <c r="R80" s="178"/>
      <c r="T80" s="178">
        <v>2022</v>
      </c>
      <c r="U80" s="178"/>
      <c r="V80" s="178"/>
      <c r="W80" s="178"/>
      <c r="Y80" s="178">
        <v>2023</v>
      </c>
      <c r="Z80" s="178"/>
      <c r="AA80" s="178"/>
      <c r="AB80" s="178"/>
      <c r="AD80" s="179">
        <v>2024</v>
      </c>
      <c r="AE80" s="180"/>
      <c r="AF80" s="180"/>
      <c r="AG80" s="180"/>
      <c r="AI80" s="223" t="s">
        <v>102</v>
      </c>
      <c r="AJ80" s="223"/>
      <c r="AK80" s="223"/>
      <c r="AL80" s="223"/>
      <c r="AM80" s="99"/>
    </row>
    <row r="81" spans="1:39" s="11" customFormat="1" ht="16.5" customHeight="1" x14ac:dyDescent="0.25">
      <c r="A81" s="209"/>
      <c r="B81" s="184"/>
      <c r="C81" s="206"/>
      <c r="D81" s="184"/>
      <c r="E81" s="206"/>
      <c r="F81" s="206"/>
      <c r="G81" s="226"/>
      <c r="H81" s="178"/>
      <c r="I81" s="10"/>
      <c r="J81" s="177" t="s">
        <v>4</v>
      </c>
      <c r="K81" s="177"/>
      <c r="L81" s="177" t="s">
        <v>61</v>
      </c>
      <c r="M81" s="177"/>
      <c r="N81" s="10"/>
      <c r="O81" s="177" t="s">
        <v>6</v>
      </c>
      <c r="P81" s="177"/>
      <c r="Q81" s="177" t="s">
        <v>8</v>
      </c>
      <c r="R81" s="177"/>
      <c r="S81" s="10"/>
      <c r="T81" s="177" t="s">
        <v>7</v>
      </c>
      <c r="U81" s="177"/>
      <c r="V81" s="177" t="s">
        <v>8</v>
      </c>
      <c r="W81" s="177"/>
      <c r="Y81" s="177" t="s">
        <v>7</v>
      </c>
      <c r="Z81" s="177"/>
      <c r="AA81" s="177" t="s">
        <v>8</v>
      </c>
      <c r="AB81" s="177"/>
      <c r="AD81" s="177" t="s">
        <v>7</v>
      </c>
      <c r="AE81" s="177"/>
      <c r="AF81" s="177" t="s">
        <v>8</v>
      </c>
      <c r="AG81" s="177"/>
      <c r="AI81" s="181" t="s">
        <v>4</v>
      </c>
      <c r="AJ81" s="181" t="s">
        <v>66</v>
      </c>
      <c r="AK81" s="181" t="s">
        <v>8</v>
      </c>
      <c r="AL81" s="181" t="s">
        <v>5</v>
      </c>
      <c r="AM81" s="99"/>
    </row>
    <row r="82" spans="1:39" s="11" customFormat="1" ht="33" x14ac:dyDescent="0.25">
      <c r="A82" s="210"/>
      <c r="B82" s="185"/>
      <c r="C82" s="225"/>
      <c r="D82" s="185"/>
      <c r="E82" s="225"/>
      <c r="F82" s="207"/>
      <c r="G82" s="226"/>
      <c r="H82" s="178"/>
      <c r="I82" s="12"/>
      <c r="J82" s="155" t="s">
        <v>59</v>
      </c>
      <c r="K82" s="117" t="s">
        <v>60</v>
      </c>
      <c r="L82" s="159" t="s">
        <v>64</v>
      </c>
      <c r="M82" s="117" t="s">
        <v>63</v>
      </c>
      <c r="N82" s="12"/>
      <c r="O82" s="61" t="s">
        <v>59</v>
      </c>
      <c r="P82" s="117" t="s">
        <v>60</v>
      </c>
      <c r="Q82" s="61" t="s">
        <v>62</v>
      </c>
      <c r="R82" s="117" t="s">
        <v>63</v>
      </c>
      <c r="S82" s="10"/>
      <c r="T82" s="61" t="s">
        <v>59</v>
      </c>
      <c r="U82" s="117" t="s">
        <v>60</v>
      </c>
      <c r="V82" s="117" t="s">
        <v>62</v>
      </c>
      <c r="W82" s="117" t="s">
        <v>63</v>
      </c>
      <c r="Y82" s="117" t="s">
        <v>59</v>
      </c>
      <c r="Z82" s="117" t="s">
        <v>60</v>
      </c>
      <c r="AA82" s="117" t="s">
        <v>64</v>
      </c>
      <c r="AB82" s="117" t="s">
        <v>63</v>
      </c>
      <c r="AD82" s="117" t="s">
        <v>59</v>
      </c>
      <c r="AE82" s="117" t="s">
        <v>60</v>
      </c>
      <c r="AF82" s="117" t="s">
        <v>64</v>
      </c>
      <c r="AG82" s="117" t="s">
        <v>63</v>
      </c>
      <c r="AI82" s="182"/>
      <c r="AJ82" s="182"/>
      <c r="AK82" s="182"/>
      <c r="AL82" s="182"/>
      <c r="AM82" s="99"/>
    </row>
    <row r="83" spans="1:39" ht="45" x14ac:dyDescent="0.25">
      <c r="A83" s="214" t="s">
        <v>142</v>
      </c>
      <c r="B83" s="186" t="s">
        <v>143</v>
      </c>
      <c r="C83" s="186" t="s">
        <v>144</v>
      </c>
      <c r="D83" s="186" t="s">
        <v>158</v>
      </c>
      <c r="E83" s="217" t="str">
        <f>C76</f>
        <v xml:space="preserve">Incrementar la efectividad de la gestión pública distrital y local. </v>
      </c>
      <c r="F83" s="139" t="s">
        <v>172</v>
      </c>
      <c r="G83" s="139" t="s">
        <v>145</v>
      </c>
      <c r="H83" s="219" t="str">
        <f>C78</f>
        <v>Gestión pública efectiva, abierta y transparente</v>
      </c>
      <c r="I83" s="14"/>
      <c r="J83" s="131">
        <v>0.1</v>
      </c>
      <c r="K83" s="151">
        <v>0.1</v>
      </c>
      <c r="L83" s="164"/>
      <c r="M83" s="129"/>
      <c r="N83" s="130"/>
      <c r="O83" s="131">
        <v>0.25</v>
      </c>
      <c r="P83" s="175">
        <v>8.0000000000000002E-3</v>
      </c>
      <c r="Q83" s="129"/>
      <c r="R83" s="129"/>
      <c r="S83" s="132"/>
      <c r="T83" s="133">
        <v>0.3</v>
      </c>
      <c r="U83" s="133">
        <v>0</v>
      </c>
      <c r="V83" s="134"/>
      <c r="W83" s="135"/>
      <c r="X83" s="136"/>
      <c r="Y83" s="133">
        <v>0.25</v>
      </c>
      <c r="Z83" s="133">
        <v>0</v>
      </c>
      <c r="AA83" s="134"/>
      <c r="AB83" s="135"/>
      <c r="AC83" s="136"/>
      <c r="AD83" s="137">
        <v>0.1</v>
      </c>
      <c r="AE83" s="137">
        <v>0</v>
      </c>
      <c r="AF83" s="134"/>
      <c r="AG83" s="135"/>
      <c r="AH83" s="132"/>
      <c r="AI83" s="137">
        <f>J83+O83+T83+Y83+AD83</f>
        <v>0.99999999999999989</v>
      </c>
      <c r="AJ83" s="151">
        <f t="shared" ref="AJ83:AJ84" si="22">K83+P83+U83+Z83+AE83</f>
        <v>0.10800000000000001</v>
      </c>
      <c r="AK83" s="138">
        <f t="shared" ref="AK83:AK84" si="23">L83+Q83+V83+AA83+AF83</f>
        <v>0</v>
      </c>
      <c r="AL83" s="138">
        <f t="shared" ref="AL83:AL84" si="24">M83+R83+W83+AB83+AG83</f>
        <v>0</v>
      </c>
      <c r="AM83" s="100"/>
    </row>
    <row r="84" spans="1:39" ht="45" x14ac:dyDescent="0.25">
      <c r="A84" s="215"/>
      <c r="B84" s="193"/>
      <c r="C84" s="193"/>
      <c r="D84" s="193"/>
      <c r="E84" s="218"/>
      <c r="F84" s="152" t="s">
        <v>146</v>
      </c>
      <c r="G84" s="152" t="s">
        <v>147</v>
      </c>
      <c r="H84" s="220"/>
      <c r="I84" s="14"/>
      <c r="J84" s="26">
        <v>0.1</v>
      </c>
      <c r="K84" s="90">
        <v>0.1</v>
      </c>
      <c r="L84" s="161">
        <v>3048.153773</v>
      </c>
      <c r="M84" s="29">
        <v>2948.422376</v>
      </c>
      <c r="N84" s="23"/>
      <c r="O84" s="26">
        <v>0.25</v>
      </c>
      <c r="P84" s="176">
        <v>1.9E-2</v>
      </c>
      <c r="Q84" s="63">
        <f xml:space="preserve"> 2577798384/L1</f>
        <v>2577.7983840000002</v>
      </c>
      <c r="R84" s="29"/>
      <c r="S84" s="101"/>
      <c r="T84" s="140">
        <v>0.3</v>
      </c>
      <c r="U84" s="125">
        <v>0</v>
      </c>
      <c r="V84" s="63">
        <f>7805715000/L1</f>
        <v>7805.7150000000001</v>
      </c>
      <c r="W84" s="106"/>
      <c r="X84" s="102"/>
      <c r="Y84" s="140">
        <v>0.25</v>
      </c>
      <c r="Z84" s="125">
        <v>0</v>
      </c>
      <c r="AA84" s="63">
        <f xml:space="preserve"> 7805715000 /L1</f>
        <v>7805.7150000000001</v>
      </c>
      <c r="AB84" s="106"/>
      <c r="AC84" s="102"/>
      <c r="AD84" s="112">
        <v>0.1</v>
      </c>
      <c r="AE84" s="112">
        <v>0</v>
      </c>
      <c r="AF84" s="63">
        <f>4037465000/L1</f>
        <v>4037.4650000000001</v>
      </c>
      <c r="AG84" s="106"/>
      <c r="AH84" s="101"/>
      <c r="AI84" s="112">
        <f>J84+O84+T84+Y84+AD84</f>
        <v>0.99999999999999989</v>
      </c>
      <c r="AJ84" s="150">
        <f t="shared" si="22"/>
        <v>0.11900000000000001</v>
      </c>
      <c r="AK84" s="62">
        <f t="shared" si="23"/>
        <v>25274.847157</v>
      </c>
      <c r="AL84" s="62">
        <f t="shared" si="24"/>
        <v>2948.422376</v>
      </c>
      <c r="AM84" s="100"/>
    </row>
    <row r="85" spans="1:39" ht="45" x14ac:dyDescent="0.25">
      <c r="A85" s="215"/>
      <c r="B85" s="193"/>
      <c r="C85" s="193"/>
      <c r="D85" s="193"/>
      <c r="E85" s="218"/>
      <c r="F85" s="152" t="s">
        <v>148</v>
      </c>
      <c r="G85" s="152" t="s">
        <v>149</v>
      </c>
      <c r="H85" s="220"/>
      <c r="I85" s="14"/>
      <c r="J85" s="26">
        <v>0.1</v>
      </c>
      <c r="K85" s="90">
        <v>0.1</v>
      </c>
      <c r="L85" s="161">
        <v>1331.746357</v>
      </c>
      <c r="M85" s="29">
        <v>1314.039006</v>
      </c>
      <c r="N85" s="23"/>
      <c r="O85" s="26">
        <v>0.25</v>
      </c>
      <c r="P85" s="26">
        <v>0</v>
      </c>
      <c r="Q85" s="63">
        <f>2418151000/L1</f>
        <v>2418.1509999999998</v>
      </c>
      <c r="R85" s="29"/>
      <c r="S85" s="101"/>
      <c r="T85" s="140">
        <v>0.3</v>
      </c>
      <c r="U85" s="125">
        <v>0</v>
      </c>
      <c r="V85" s="63">
        <f xml:space="preserve"> 3377143000/L1</f>
        <v>3377.143</v>
      </c>
      <c r="W85" s="106"/>
      <c r="X85" s="102"/>
      <c r="Y85" s="140">
        <v>0.25</v>
      </c>
      <c r="Z85" s="125">
        <v>0</v>
      </c>
      <c r="AA85" s="63">
        <f>3377143000/L1</f>
        <v>3377.143</v>
      </c>
      <c r="AB85" s="106"/>
      <c r="AC85" s="102"/>
      <c r="AD85" s="112">
        <v>0.1</v>
      </c>
      <c r="AE85" s="112">
        <v>0</v>
      </c>
      <c r="AF85" s="63">
        <f xml:space="preserve"> 1970000000/L1</f>
        <v>1970</v>
      </c>
      <c r="AG85" s="106"/>
      <c r="AH85" s="101"/>
      <c r="AI85" s="112">
        <f t="shared" ref="AI85:AI87" si="25">J85+O85+T85+Y85+AD85</f>
        <v>0.99999999999999989</v>
      </c>
      <c r="AJ85" s="150">
        <f t="shared" ref="AJ85:AJ87" si="26">K85+P85+U85+Z85+AE85</f>
        <v>0.1</v>
      </c>
      <c r="AK85" s="62">
        <f t="shared" ref="AK85:AK87" si="27">L85+Q85+V85+AA85+AF85</f>
        <v>12474.183357</v>
      </c>
      <c r="AL85" s="62">
        <f t="shared" ref="AL85:AL87" si="28">M85+R85+W85+AB85+AG85</f>
        <v>1314.039006</v>
      </c>
      <c r="AM85" s="100"/>
    </row>
    <row r="86" spans="1:39" ht="75" x14ac:dyDescent="0.25">
      <c r="A86" s="215"/>
      <c r="B86" s="193"/>
      <c r="C86" s="193"/>
      <c r="D86" s="193"/>
      <c r="E86" s="218"/>
      <c r="F86" s="152" t="s">
        <v>150</v>
      </c>
      <c r="G86" s="152" t="s">
        <v>151</v>
      </c>
      <c r="H86" s="220"/>
      <c r="I86" s="14"/>
      <c r="J86" s="167">
        <v>1.5</v>
      </c>
      <c r="K86" s="168">
        <v>1.5</v>
      </c>
      <c r="L86" s="161">
        <v>147.96897799999999</v>
      </c>
      <c r="M86" s="29">
        <v>147.96897799999999</v>
      </c>
      <c r="N86" s="23"/>
      <c r="O86" s="172">
        <v>3.75</v>
      </c>
      <c r="P86" s="172">
        <v>0.5</v>
      </c>
      <c r="Q86" s="63">
        <f>229306000/L1</f>
        <v>229.30600000000001</v>
      </c>
      <c r="R86" s="29"/>
      <c r="S86" s="101"/>
      <c r="T86" s="172">
        <v>4.5</v>
      </c>
      <c r="U86" s="172">
        <v>0</v>
      </c>
      <c r="V86" s="63">
        <f>342857000/L1</f>
        <v>342.85700000000003</v>
      </c>
      <c r="W86" s="106"/>
      <c r="X86" s="102"/>
      <c r="Y86" s="172">
        <v>3.75</v>
      </c>
      <c r="Z86" s="172">
        <v>0</v>
      </c>
      <c r="AA86" s="63">
        <f xml:space="preserve"> 342857000/L1</f>
        <v>342.85700000000003</v>
      </c>
      <c r="AB86" s="106"/>
      <c r="AC86" s="102"/>
      <c r="AD86" s="172">
        <v>1.5</v>
      </c>
      <c r="AE86" s="172">
        <v>0</v>
      </c>
      <c r="AF86" s="63">
        <f xml:space="preserve"> 200000000/L1</f>
        <v>200</v>
      </c>
      <c r="AG86" s="106"/>
      <c r="AH86" s="101"/>
      <c r="AI86" s="173">
        <f t="shared" si="25"/>
        <v>15</v>
      </c>
      <c r="AJ86" s="173">
        <f t="shared" si="26"/>
        <v>2</v>
      </c>
      <c r="AK86" s="62">
        <f t="shared" si="27"/>
        <v>1262.9889780000001</v>
      </c>
      <c r="AL86" s="62">
        <f t="shared" si="28"/>
        <v>147.96897799999999</v>
      </c>
      <c r="AM86" s="100"/>
    </row>
    <row r="87" spans="1:39" ht="60" x14ac:dyDescent="0.25">
      <c r="A87" s="215"/>
      <c r="B87" s="193"/>
      <c r="C87" s="193"/>
      <c r="D87" s="193"/>
      <c r="E87" s="218"/>
      <c r="F87" s="152" t="s">
        <v>173</v>
      </c>
      <c r="G87" s="152" t="s">
        <v>153</v>
      </c>
      <c r="H87" s="220"/>
      <c r="I87" s="14"/>
      <c r="J87" s="26">
        <v>0</v>
      </c>
      <c r="K87" s="90">
        <v>0</v>
      </c>
      <c r="L87" s="161">
        <v>0</v>
      </c>
      <c r="M87" s="29">
        <v>0</v>
      </c>
      <c r="N87" s="23"/>
      <c r="O87" s="26">
        <v>0.35</v>
      </c>
      <c r="P87" s="26">
        <v>0</v>
      </c>
      <c r="Q87" s="231">
        <f xml:space="preserve"> 346142000/L1</f>
        <v>346.142</v>
      </c>
      <c r="R87" s="29"/>
      <c r="S87" s="101"/>
      <c r="T87" s="140">
        <v>0.3</v>
      </c>
      <c r="U87" s="125">
        <v>0</v>
      </c>
      <c r="V87" s="63">
        <f>1005714000/L1</f>
        <v>1005.7140000000001</v>
      </c>
      <c r="W87" s="106"/>
      <c r="X87" s="102"/>
      <c r="Y87" s="140">
        <v>0.2</v>
      </c>
      <c r="Z87" s="125">
        <v>0</v>
      </c>
      <c r="AA87" s="63">
        <f>1005714000/L1</f>
        <v>1005.7140000000001</v>
      </c>
      <c r="AB87" s="106"/>
      <c r="AC87" s="102"/>
      <c r="AD87" s="112">
        <v>0.15</v>
      </c>
      <c r="AE87" s="112">
        <v>0</v>
      </c>
      <c r="AF87" s="63">
        <f xml:space="preserve"> 320000000/L1</f>
        <v>320</v>
      </c>
      <c r="AG87" s="106"/>
      <c r="AH87" s="101"/>
      <c r="AI87" s="112">
        <f t="shared" si="25"/>
        <v>0.99999999999999989</v>
      </c>
      <c r="AJ87" s="150">
        <f t="shared" si="26"/>
        <v>0</v>
      </c>
      <c r="AK87" s="62">
        <f t="shared" si="27"/>
        <v>2677.57</v>
      </c>
      <c r="AL87" s="62">
        <f t="shared" si="28"/>
        <v>0</v>
      </c>
      <c r="AM87" s="100"/>
    </row>
    <row r="88" spans="1:39" ht="15.75" x14ac:dyDescent="0.25">
      <c r="A88" s="154"/>
      <c r="B88" s="118"/>
      <c r="C88" s="118"/>
      <c r="D88" s="118"/>
      <c r="E88" s="120"/>
      <c r="F88" s="152" t="s">
        <v>152</v>
      </c>
      <c r="G88" s="152" t="s">
        <v>153</v>
      </c>
      <c r="H88" s="121"/>
      <c r="I88" s="14"/>
      <c r="J88" s="26">
        <v>0.05</v>
      </c>
      <c r="K88" s="90">
        <v>0.05</v>
      </c>
      <c r="L88" s="161">
        <v>2200.3575080000001</v>
      </c>
      <c r="M88" s="29">
        <v>1998.231702</v>
      </c>
      <c r="N88" s="23"/>
      <c r="O88" s="176">
        <v>0.125</v>
      </c>
      <c r="P88" s="26">
        <v>0</v>
      </c>
      <c r="Q88" s="63">
        <f xml:space="preserve"> 2700376000/L1</f>
        <v>2700.3760000000002</v>
      </c>
      <c r="R88" s="29"/>
      <c r="S88" s="101"/>
      <c r="T88" s="140">
        <v>0.15</v>
      </c>
      <c r="U88" s="125">
        <v>0</v>
      </c>
      <c r="V88" s="63">
        <f xml:space="preserve"> 3468571000/L1</f>
        <v>3468.5709999999999</v>
      </c>
      <c r="W88" s="106"/>
      <c r="X88" s="102"/>
      <c r="Y88" s="174">
        <v>0.125</v>
      </c>
      <c r="Z88" s="125">
        <v>0</v>
      </c>
      <c r="AA88" s="63">
        <f xml:space="preserve"> 3468571000/L1</f>
        <v>3468.5709999999999</v>
      </c>
      <c r="AB88" s="106"/>
      <c r="AC88" s="102"/>
      <c r="AD88" s="112">
        <v>0.05</v>
      </c>
      <c r="AE88" s="112">
        <v>0</v>
      </c>
      <c r="AF88" s="63">
        <f>1472535000/L1</f>
        <v>1472.5350000000001</v>
      </c>
      <c r="AG88" s="106"/>
      <c r="AH88" s="101"/>
      <c r="AI88" s="112">
        <f t="shared" ref="AI88" si="29">J88+O88+T88+Y88+AD88</f>
        <v>0.49999999999999994</v>
      </c>
      <c r="AJ88" s="150">
        <f t="shared" ref="AJ88" si="30">K88+P88+U88+Z88+AE88</f>
        <v>0.05</v>
      </c>
      <c r="AK88" s="62">
        <f t="shared" ref="AK88" si="31">L88+Q88+V88+AA88+AF88</f>
        <v>13310.410508000001</v>
      </c>
      <c r="AL88" s="62">
        <f t="shared" ref="AL88" si="32">M88+R88+W88+AB88+AG88</f>
        <v>1998.231702</v>
      </c>
      <c r="AM88" s="100"/>
    </row>
    <row r="89" spans="1:39" s="6" customFormat="1" ht="15.75" x14ac:dyDescent="0.25">
      <c r="A89" s="17"/>
      <c r="B89" s="119" t="s">
        <v>103</v>
      </c>
      <c r="C89" s="119"/>
      <c r="D89" s="119"/>
      <c r="E89" s="119"/>
      <c r="F89" s="39"/>
      <c r="G89" s="39"/>
      <c r="H89" s="39"/>
      <c r="I89" s="40"/>
      <c r="J89" s="41"/>
      <c r="K89" s="41"/>
      <c r="L89" s="162">
        <f>SUM(L83:L88)</f>
        <v>6728.2266159999999</v>
      </c>
      <c r="M89" s="153">
        <f>SUM(M83:M88)</f>
        <v>6408.6620619999994</v>
      </c>
      <c r="N89" s="51"/>
      <c r="O89" s="41"/>
      <c r="P89" s="41"/>
      <c r="Q89" s="153">
        <f>SUM(Q83:Q88)</f>
        <v>8271.7733840000001</v>
      </c>
      <c r="R89" s="153">
        <f>SUM(R83:R88)</f>
        <v>0</v>
      </c>
      <c r="T89" s="41"/>
      <c r="U89" s="41"/>
      <c r="V89" s="153">
        <f>SUM(V83:V88)</f>
        <v>16000</v>
      </c>
      <c r="W89" s="153">
        <f>SUM(W83:W88)</f>
        <v>0</v>
      </c>
      <c r="Y89" s="41"/>
      <c r="Z89" s="41"/>
      <c r="AA89" s="153">
        <f>SUM(AA83:AA88)</f>
        <v>16000</v>
      </c>
      <c r="AB89" s="153">
        <f>SUM(AB83:AB88)</f>
        <v>0</v>
      </c>
      <c r="AC89" s="113"/>
      <c r="AD89" s="41"/>
      <c r="AE89" s="42"/>
      <c r="AF89" s="153">
        <f>SUM(AF83:AF88)</f>
        <v>8000</v>
      </c>
      <c r="AG89" s="153">
        <f>SUM(AG83:AG88)</f>
        <v>0</v>
      </c>
      <c r="AI89" s="97"/>
      <c r="AJ89" s="97"/>
      <c r="AK89" s="153">
        <f>SUM(AK83:AK88)</f>
        <v>55000</v>
      </c>
      <c r="AL89" s="153">
        <f>SUM(AL83:AL88)</f>
        <v>6408.6620619999994</v>
      </c>
      <c r="AM89" s="99"/>
    </row>
  </sheetData>
  <mergeCells count="200"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  <mergeCell ref="C29:AL29"/>
    <mergeCell ref="B17:B23"/>
    <mergeCell ref="C17:C23"/>
    <mergeCell ref="D17:D23"/>
    <mergeCell ref="E17:E23"/>
    <mergeCell ref="H17:H23"/>
    <mergeCell ref="A17:A23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36:A39"/>
    <mergeCell ref="B36:B39"/>
    <mergeCell ref="C36:C39"/>
    <mergeCell ref="D36:D39"/>
    <mergeCell ref="E36:E39"/>
    <mergeCell ref="H36:H39"/>
    <mergeCell ref="A49:A51"/>
    <mergeCell ref="B49:B51"/>
    <mergeCell ref="C49:C51"/>
    <mergeCell ref="D49:D51"/>
    <mergeCell ref="E49:E51"/>
    <mergeCell ref="F49:F51"/>
    <mergeCell ref="G49:G51"/>
    <mergeCell ref="H49:H51"/>
    <mergeCell ref="C45:AL45"/>
    <mergeCell ref="J49:M49"/>
    <mergeCell ref="O49:R49"/>
    <mergeCell ref="T49:W49"/>
    <mergeCell ref="Y49:AB49"/>
    <mergeCell ref="AD49:AG49"/>
    <mergeCell ref="AI49:AL49"/>
    <mergeCell ref="J50:K50"/>
    <mergeCell ref="L50:M50"/>
    <mergeCell ref="O50:P50"/>
    <mergeCell ref="G80:G82"/>
    <mergeCell ref="H80:H82"/>
    <mergeCell ref="J80:M80"/>
    <mergeCell ref="O80:R80"/>
    <mergeCell ref="T80:W80"/>
    <mergeCell ref="Y80:AB80"/>
    <mergeCell ref="J65:M65"/>
    <mergeCell ref="O65:R65"/>
    <mergeCell ref="T65:W65"/>
    <mergeCell ref="Y65:AB65"/>
    <mergeCell ref="J66:K66"/>
    <mergeCell ref="L66:M66"/>
    <mergeCell ref="O66:P66"/>
    <mergeCell ref="Q66:R66"/>
    <mergeCell ref="T66:U66"/>
    <mergeCell ref="V66:W66"/>
    <mergeCell ref="Y66:Z66"/>
    <mergeCell ref="AA66:AB66"/>
    <mergeCell ref="AI34:AI35"/>
    <mergeCell ref="AJ34:AJ35"/>
    <mergeCell ref="AK34:AK35"/>
    <mergeCell ref="AL34:AL35"/>
    <mergeCell ref="A33:A35"/>
    <mergeCell ref="B33:B35"/>
    <mergeCell ref="C33:C35"/>
    <mergeCell ref="D33:D35"/>
    <mergeCell ref="E33:E35"/>
    <mergeCell ref="F33:F35"/>
    <mergeCell ref="G33:G35"/>
    <mergeCell ref="H33:H35"/>
    <mergeCell ref="J33:M33"/>
    <mergeCell ref="T34:U34"/>
    <mergeCell ref="V34:W34"/>
    <mergeCell ref="Y34:Z34"/>
    <mergeCell ref="AA34:AB34"/>
    <mergeCell ref="AD34:AE34"/>
    <mergeCell ref="AF34:AG34"/>
    <mergeCell ref="AK50:AK51"/>
    <mergeCell ref="AL50:AL51"/>
    <mergeCell ref="D68:D70"/>
    <mergeCell ref="E68:E70"/>
    <mergeCell ref="H68:H70"/>
    <mergeCell ref="V81:W81"/>
    <mergeCell ref="Y81:Z81"/>
    <mergeCell ref="AA81:AB81"/>
    <mergeCell ref="C76:AL76"/>
    <mergeCell ref="AF81:AG81"/>
    <mergeCell ref="AI81:AI82"/>
    <mergeCell ref="Q50:R50"/>
    <mergeCell ref="T50:U50"/>
    <mergeCell ref="V50:W50"/>
    <mergeCell ref="Y50:Z50"/>
    <mergeCell ref="AA50:AB50"/>
    <mergeCell ref="AD50:AE50"/>
    <mergeCell ref="AF50:AG50"/>
    <mergeCell ref="AI50:AI51"/>
    <mergeCell ref="AJ50:AJ51"/>
    <mergeCell ref="C80:C82"/>
    <mergeCell ref="D80:D82"/>
    <mergeCell ref="E80:E82"/>
    <mergeCell ref="F80:F82"/>
    <mergeCell ref="A52:A55"/>
    <mergeCell ref="B52:B55"/>
    <mergeCell ref="C52:C55"/>
    <mergeCell ref="D52:D55"/>
    <mergeCell ref="E52:E55"/>
    <mergeCell ref="H52:H55"/>
    <mergeCell ref="A65:A67"/>
    <mergeCell ref="B65:B67"/>
    <mergeCell ref="C65:C67"/>
    <mergeCell ref="D65:D67"/>
    <mergeCell ref="E65:E67"/>
    <mergeCell ref="F65:F67"/>
    <mergeCell ref="G65:G67"/>
    <mergeCell ref="H65:H67"/>
    <mergeCell ref="C62:AL62"/>
    <mergeCell ref="AD65:AG65"/>
    <mergeCell ref="AI65:AL65"/>
    <mergeCell ref="AD66:AE66"/>
    <mergeCell ref="AF66:AG66"/>
    <mergeCell ref="AI66:AI67"/>
    <mergeCell ref="AJ66:AJ67"/>
    <mergeCell ref="AK66:AK67"/>
    <mergeCell ref="AL66:AL67"/>
    <mergeCell ref="A80:A82"/>
    <mergeCell ref="B80:B82"/>
    <mergeCell ref="AJ81:AJ82"/>
    <mergeCell ref="AK81:AK82"/>
    <mergeCell ref="AL81:AL82"/>
    <mergeCell ref="A7:AL7"/>
    <mergeCell ref="A26:AL26"/>
    <mergeCell ref="C28:AL28"/>
    <mergeCell ref="C30:AL30"/>
    <mergeCell ref="C31:AL31"/>
    <mergeCell ref="A42:AL42"/>
    <mergeCell ref="C44:AL44"/>
    <mergeCell ref="C46:AL46"/>
    <mergeCell ref="C47:AL47"/>
    <mergeCell ref="O33:R33"/>
    <mergeCell ref="T33:W33"/>
    <mergeCell ref="Y33:AB33"/>
    <mergeCell ref="AD33:AG33"/>
    <mergeCell ref="AI33:AL33"/>
    <mergeCell ref="J34:K34"/>
    <mergeCell ref="L34:M34"/>
    <mergeCell ref="O34:P34"/>
    <mergeCell ref="Q34:R34"/>
    <mergeCell ref="A68:A70"/>
    <mergeCell ref="B68:B70"/>
    <mergeCell ref="C68:C70"/>
    <mergeCell ref="A83:A87"/>
    <mergeCell ref="B83:B87"/>
    <mergeCell ref="C83:C87"/>
    <mergeCell ref="D83:D87"/>
    <mergeCell ref="E83:E87"/>
    <mergeCell ref="H83:H87"/>
    <mergeCell ref="A58:AL58"/>
    <mergeCell ref="C60:AL60"/>
    <mergeCell ref="C61:AL61"/>
    <mergeCell ref="C63:AL63"/>
    <mergeCell ref="A73:AL73"/>
    <mergeCell ref="C75:AL75"/>
    <mergeCell ref="C77:AL77"/>
    <mergeCell ref="C78:AL78"/>
    <mergeCell ref="AD80:AG80"/>
    <mergeCell ref="AI80:AL80"/>
    <mergeCell ref="J81:K81"/>
    <mergeCell ref="L81:M81"/>
    <mergeCell ref="O81:P81"/>
    <mergeCell ref="Q81:R81"/>
    <mergeCell ref="T81:U81"/>
    <mergeCell ref="AD81:AE81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Enero 2021</vt:lpstr>
      <vt:lpstr>'Enero 2021'!Área_de_impresión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2021-02-13T01:51:14Z</dcterms:modified>
</cp:coreProperties>
</file>