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control interno\2021\28.03 PAA\"/>
    </mc:Choice>
  </mc:AlternateContent>
  <bookViews>
    <workbookView xWindow="0" yWindow="0" windowWidth="23040" windowHeight="9192" tabRatio="676" activeTab="1"/>
  </bookViews>
  <sheets>
    <sheet name="Dinámicas" sheetId="3" r:id="rId1"/>
    <sheet name="PAA 2021 Versión 2" sheetId="1" r:id="rId2"/>
    <sheet name="Para seg PI 7696 - Indicador" sheetId="10" r:id="rId3"/>
    <sheet name="PARA PRESENTACIÓN" sheetId="11" r:id="rId4"/>
    <sheet name="Listas Desplegables" sheetId="2" state="hidden" r:id="rId5"/>
  </sheets>
  <externalReferences>
    <externalReference r:id="rId6"/>
  </externalReferences>
  <definedNames>
    <definedName name="_xlnm._FilterDatabase" localSheetId="1" hidden="1">'PAA 2021 Versión 2'!$A$18:$AJ$251</definedName>
    <definedName name="ACT" localSheetId="3">'[1]Listas Desplegables'!$A$4:$A$12</definedName>
    <definedName name="ACT" localSheetId="2">#REF!</definedName>
    <definedName name="ACT">'Listas Desplegables'!$A$4:$A$12</definedName>
    <definedName name="ACTA" localSheetId="3">'[1]Listas Desplegables'!$A$4:$B$12</definedName>
    <definedName name="ACTA" localSheetId="2">#REF!</definedName>
    <definedName name="ACTA">'Listas Desplegables'!$A$4:$B$12</definedName>
    <definedName name="_xlnm.Print_Area" localSheetId="1">'PAA 2021 Versión 2'!$A$1:$AC$234</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2">#REF!</definedName>
    <definedName name="LIDER">'Listas Desplegables'!$A$15:$A$16</definedName>
    <definedName name="PROCESO" localSheetId="3">'[1]Listas Desplegables'!$A$139:$A$157</definedName>
    <definedName name="PROCESO" localSheetId="2">#REF!</definedName>
    <definedName name="PROCESO">'Listas Desplegables'!$A$139:$A$157</definedName>
    <definedName name="PROCESO2" localSheetId="2">#REF!</definedName>
    <definedName name="PROCESO2">'Listas Desplegables'!$A$139:$C$157</definedName>
    <definedName name="PROF" localSheetId="3">'[1]Listas Desplegables'!$A$19:$A$27</definedName>
    <definedName name="PROF" localSheetId="2">#REF!</definedName>
    <definedName name="PROF">'Listas Desplegables'!$A$19:$A$27</definedName>
    <definedName name="PROFA" localSheetId="3">'[1]Listas Desplegables'!$A$19:$B$27</definedName>
    <definedName name="PROFA" localSheetId="2">#REF!</definedName>
    <definedName name="PROFA">'Listas Desplegables'!$A$19:$B$27</definedName>
    <definedName name="_xlnm.Print_Titles" localSheetId="1">'PAA 2021 Versión 2'!$17:$18</definedName>
  </definedNames>
  <calcPr calcId="162913"/>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26" i="1" l="1"/>
  <c r="AE226" i="1"/>
  <c r="AD226" i="1"/>
  <c r="AF225" i="1"/>
  <c r="AE225" i="1"/>
  <c r="AD225" i="1"/>
  <c r="AF224" i="1"/>
  <c r="AE224" i="1"/>
  <c r="AD224" i="1"/>
  <c r="AF223" i="1"/>
  <c r="AE223" i="1"/>
  <c r="AD223" i="1"/>
  <c r="AF222" i="1"/>
  <c r="AE222" i="1"/>
  <c r="AD222" i="1"/>
  <c r="AF221" i="1"/>
  <c r="AE221" i="1"/>
  <c r="AD221" i="1"/>
  <c r="AF218" i="1"/>
  <c r="AE218" i="1"/>
  <c r="AD218" i="1"/>
  <c r="AF217" i="1"/>
  <c r="AE217" i="1"/>
  <c r="AD217" i="1"/>
  <c r="AF216" i="1"/>
  <c r="AE216" i="1"/>
  <c r="AD216" i="1"/>
  <c r="AF215" i="1"/>
  <c r="AE215" i="1"/>
  <c r="AD215" i="1"/>
  <c r="AF214" i="1"/>
  <c r="AE214" i="1"/>
  <c r="AD214" i="1"/>
  <c r="AF213" i="1"/>
  <c r="AE213" i="1"/>
  <c r="AD213" i="1"/>
  <c r="AF212" i="1"/>
  <c r="AE212" i="1"/>
  <c r="AD212" i="1"/>
  <c r="AF211" i="1"/>
  <c r="AE211" i="1"/>
  <c r="AD211" i="1"/>
  <c r="AF210" i="1"/>
  <c r="AE210" i="1"/>
  <c r="AD210" i="1"/>
  <c r="AF209" i="1"/>
  <c r="AE209" i="1"/>
  <c r="AD209" i="1"/>
  <c r="AF208" i="1"/>
  <c r="AE208" i="1"/>
  <c r="AD208" i="1"/>
  <c r="AF207" i="1"/>
  <c r="AE207" i="1"/>
  <c r="AD207" i="1"/>
  <c r="AF206" i="1"/>
  <c r="AE206" i="1"/>
  <c r="AD206" i="1"/>
  <c r="AF205" i="1"/>
  <c r="AE205" i="1"/>
  <c r="AD205"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3" i="1"/>
  <c r="AE153" i="1"/>
  <c r="AD153"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9" i="1"/>
  <c r="AE129" i="1"/>
  <c r="AD129" i="1"/>
  <c r="AF128" i="1"/>
  <c r="AE128" i="1"/>
  <c r="AD128" i="1"/>
  <c r="AF127" i="1"/>
  <c r="AE127" i="1"/>
  <c r="AD127" i="1"/>
  <c r="AF126" i="1"/>
  <c r="AE126" i="1"/>
  <c r="AD126" i="1"/>
  <c r="AF125" i="1"/>
  <c r="AE125" i="1"/>
  <c r="AD125" i="1"/>
  <c r="AF124" i="1"/>
  <c r="AE124" i="1"/>
  <c r="AD124" i="1"/>
  <c r="AF123" i="1"/>
  <c r="AE123" i="1"/>
  <c r="AD123" i="1"/>
  <c r="AF122" i="1"/>
  <c r="AE122" i="1"/>
  <c r="AD122" i="1"/>
  <c r="AF121" i="1"/>
  <c r="AE121" i="1"/>
  <c r="AD121" i="1"/>
  <c r="AF120" i="1"/>
  <c r="AE120" i="1"/>
  <c r="AD120" i="1"/>
  <c r="AF119" i="1"/>
  <c r="AE119" i="1"/>
  <c r="AD119" i="1"/>
  <c r="AF118" i="1"/>
  <c r="AE118" i="1"/>
  <c r="AD118" i="1"/>
  <c r="AF117" i="1"/>
  <c r="AE117" i="1"/>
  <c r="AD117" i="1"/>
  <c r="AF116" i="1"/>
  <c r="AE116" i="1"/>
  <c r="AD116" i="1"/>
  <c r="AF115" i="1"/>
  <c r="AE115" i="1"/>
  <c r="AD115" i="1"/>
  <c r="AF114" i="1"/>
  <c r="AE114" i="1"/>
  <c r="AD114" i="1"/>
  <c r="AF113" i="1"/>
  <c r="AE113" i="1"/>
  <c r="AD113" i="1"/>
  <c r="AF112" i="1"/>
  <c r="AE112" i="1"/>
  <c r="AD112" i="1"/>
  <c r="AF111" i="1"/>
  <c r="AE111" i="1"/>
  <c r="AD111" i="1"/>
  <c r="AF110" i="1"/>
  <c r="AE110" i="1"/>
  <c r="AD110" i="1"/>
  <c r="AF109" i="1"/>
  <c r="AE109" i="1"/>
  <c r="AD109" i="1"/>
  <c r="AF108" i="1"/>
  <c r="AE108" i="1"/>
  <c r="AD108" i="1"/>
  <c r="AF107" i="1"/>
  <c r="AE107" i="1"/>
  <c r="AD107" i="1"/>
  <c r="AF106" i="1"/>
  <c r="AE106" i="1"/>
  <c r="AD106" i="1"/>
  <c r="AF105" i="1"/>
  <c r="AE105" i="1"/>
  <c r="AD105" i="1"/>
  <c r="AF104" i="1"/>
  <c r="AE104" i="1"/>
  <c r="AD104" i="1"/>
  <c r="AF103" i="1"/>
  <c r="AE103" i="1"/>
  <c r="AD103" i="1"/>
  <c r="AF102" i="1"/>
  <c r="AE102" i="1"/>
  <c r="AD102" i="1"/>
  <c r="AF101" i="1"/>
  <c r="AE101" i="1"/>
  <c r="AD101" i="1"/>
  <c r="AF100" i="1"/>
  <c r="AE100" i="1"/>
  <c r="AD100" i="1"/>
  <c r="AF99" i="1"/>
  <c r="AE99" i="1"/>
  <c r="AD99" i="1"/>
  <c r="AF98" i="1"/>
  <c r="AE98" i="1"/>
  <c r="AD98" i="1"/>
  <c r="AF97" i="1"/>
  <c r="AE97" i="1"/>
  <c r="AD97" i="1"/>
  <c r="AF96" i="1"/>
  <c r="AE96" i="1"/>
  <c r="AD96" i="1"/>
  <c r="AF95" i="1"/>
  <c r="AE95" i="1"/>
  <c r="AD95" i="1"/>
  <c r="AF94" i="1"/>
  <c r="AE94" i="1"/>
  <c r="AD94" i="1"/>
  <c r="AF93" i="1"/>
  <c r="AE93" i="1"/>
  <c r="AD93" i="1"/>
  <c r="AF92" i="1"/>
  <c r="AE92" i="1"/>
  <c r="AD92" i="1"/>
  <c r="AF91" i="1"/>
  <c r="AE91" i="1"/>
  <c r="AD91" i="1"/>
  <c r="AF90" i="1"/>
  <c r="AE90" i="1"/>
  <c r="AD90" i="1"/>
  <c r="AF89" i="1"/>
  <c r="AE89" i="1"/>
  <c r="AD89" i="1"/>
  <c r="AF88" i="1"/>
  <c r="AE88" i="1"/>
  <c r="AD88" i="1"/>
  <c r="AF87" i="1"/>
  <c r="AE87" i="1"/>
  <c r="AD87" i="1"/>
  <c r="AF86" i="1"/>
  <c r="AE86" i="1"/>
  <c r="AD86" i="1"/>
  <c r="AF85" i="1"/>
  <c r="AE85" i="1"/>
  <c r="AD85" i="1"/>
  <c r="AF84" i="1"/>
  <c r="AE84" i="1"/>
  <c r="AD84" i="1"/>
  <c r="AF83" i="1"/>
  <c r="AE83" i="1"/>
  <c r="AD83" i="1"/>
  <c r="AF82" i="1"/>
  <c r="AE82" i="1"/>
  <c r="AD82" i="1"/>
  <c r="AF81" i="1"/>
  <c r="AE81" i="1"/>
  <c r="AD81" i="1"/>
  <c r="AF80" i="1"/>
  <c r="AE80" i="1"/>
  <c r="AD80" i="1"/>
  <c r="AF79" i="1"/>
  <c r="AE79" i="1"/>
  <c r="AD79" i="1"/>
  <c r="AF78" i="1"/>
  <c r="AE78" i="1"/>
  <c r="AD78" i="1"/>
  <c r="AF77" i="1"/>
  <c r="AE77" i="1"/>
  <c r="AD77" i="1"/>
  <c r="AF76" i="1"/>
  <c r="AE76" i="1"/>
  <c r="AD76" i="1"/>
  <c r="AF75" i="1"/>
  <c r="AE75" i="1"/>
  <c r="AD75" i="1"/>
  <c r="AF74" i="1"/>
  <c r="AE74" i="1"/>
  <c r="AD74" i="1"/>
  <c r="AF73" i="1"/>
  <c r="AE73" i="1"/>
  <c r="AD73" i="1"/>
  <c r="AF72" i="1"/>
  <c r="AE72" i="1"/>
  <c r="AD72" i="1"/>
  <c r="AF70" i="1"/>
  <c r="AE70" i="1"/>
  <c r="AD70" i="1"/>
  <c r="AF69" i="1"/>
  <c r="AE69" i="1"/>
  <c r="AD69" i="1"/>
  <c r="AF68" i="1"/>
  <c r="AE68" i="1"/>
  <c r="AD68" i="1"/>
  <c r="AF67" i="1"/>
  <c r="AE67" i="1"/>
  <c r="AD67" i="1"/>
  <c r="AF66" i="1"/>
  <c r="AE66" i="1"/>
  <c r="AD66" i="1"/>
  <c r="AF65" i="1"/>
  <c r="AE65" i="1"/>
  <c r="AD65" i="1"/>
  <c r="AF64" i="1"/>
  <c r="AE64" i="1"/>
  <c r="AD64" i="1"/>
  <c r="AF63" i="1"/>
  <c r="AE63" i="1"/>
  <c r="AD63" i="1"/>
  <c r="AF62" i="1"/>
  <c r="AE62" i="1"/>
  <c r="AD62" i="1"/>
  <c r="AF61" i="1"/>
  <c r="AE61" i="1"/>
  <c r="AD61" i="1"/>
  <c r="AF60" i="1"/>
  <c r="AE60" i="1"/>
  <c r="AD60" i="1"/>
  <c r="AF59" i="1"/>
  <c r="AE59" i="1"/>
  <c r="AD59" i="1"/>
  <c r="AF58" i="1"/>
  <c r="AE58" i="1"/>
  <c r="AD58" i="1"/>
  <c r="AF57" i="1"/>
  <c r="AE57" i="1"/>
  <c r="AD57" i="1"/>
  <c r="AF56" i="1"/>
  <c r="AE56" i="1"/>
  <c r="AD56" i="1"/>
  <c r="AF55" i="1"/>
  <c r="AE55" i="1"/>
  <c r="AD55" i="1"/>
  <c r="AF54" i="1"/>
  <c r="AE54" i="1"/>
  <c r="AD54" i="1"/>
  <c r="AF53" i="1"/>
  <c r="AE53" i="1"/>
  <c r="AD53" i="1"/>
  <c r="AF52" i="1"/>
  <c r="AE52" i="1"/>
  <c r="AD52" i="1"/>
  <c r="AF51" i="1"/>
  <c r="AE51" i="1"/>
  <c r="AD51" i="1"/>
  <c r="AF50" i="1"/>
  <c r="AE50" i="1"/>
  <c r="AD50" i="1"/>
  <c r="AF49" i="1"/>
  <c r="AE49" i="1"/>
  <c r="AD49" i="1"/>
  <c r="AF48" i="1"/>
  <c r="AE48" i="1"/>
  <c r="AD48" i="1"/>
  <c r="AF47" i="1"/>
  <c r="AE47" i="1"/>
  <c r="AD47" i="1"/>
  <c r="AF46" i="1"/>
  <c r="AE46" i="1"/>
  <c r="AD46" i="1"/>
  <c r="AF45" i="1"/>
  <c r="AE45" i="1"/>
  <c r="AD45" i="1"/>
  <c r="AF44" i="1"/>
  <c r="AE44" i="1"/>
  <c r="AD44" i="1"/>
  <c r="AF43" i="1"/>
  <c r="AE43" i="1"/>
  <c r="AD43" i="1"/>
  <c r="AF42" i="1"/>
  <c r="AE42" i="1"/>
  <c r="AD42"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G86" i="1" l="1"/>
  <c r="AH86" i="1" s="1"/>
  <c r="AG43" i="1"/>
  <c r="AH43" i="1" s="1"/>
  <c r="AG51" i="1"/>
  <c r="AH51" i="1" s="1"/>
  <c r="AG98" i="1"/>
  <c r="AH98" i="1" s="1"/>
  <c r="AG114" i="1"/>
  <c r="AH114" i="1" s="1"/>
  <c r="AG130" i="1"/>
  <c r="AH130" i="1" s="1"/>
  <c r="AG146" i="1"/>
  <c r="AH146" i="1" s="1"/>
  <c r="AG178" i="1"/>
  <c r="AH178" i="1" s="1"/>
  <c r="AG91" i="1"/>
  <c r="AH91" i="1" s="1"/>
  <c r="AG107" i="1"/>
  <c r="AH107" i="1" s="1"/>
  <c r="AG123" i="1"/>
  <c r="AH123" i="1" s="1"/>
  <c r="AG139" i="1"/>
  <c r="AH139" i="1" s="1"/>
  <c r="AG147" i="1"/>
  <c r="AH147" i="1" s="1"/>
  <c r="AG19" i="1"/>
  <c r="AH19" i="1" s="1"/>
  <c r="AG27" i="1"/>
  <c r="AH27" i="1" s="1"/>
  <c r="AG35" i="1"/>
  <c r="AH35" i="1" s="1"/>
  <c r="AG210" i="1"/>
  <c r="AH210" i="1" s="1"/>
  <c r="AG40" i="1"/>
  <c r="AH40" i="1" s="1"/>
  <c r="AG23" i="1"/>
  <c r="AH23" i="1" s="1"/>
  <c r="AG31" i="1"/>
  <c r="AH31" i="1" s="1"/>
  <c r="AG39" i="1"/>
  <c r="AH39" i="1" s="1"/>
  <c r="AG47" i="1"/>
  <c r="AH47" i="1" s="1"/>
  <c r="AG226" i="1"/>
  <c r="AH226" i="1" s="1"/>
  <c r="AG96" i="1"/>
  <c r="AH96" i="1" s="1"/>
  <c r="AG160" i="1"/>
  <c r="AH160" i="1" s="1"/>
  <c r="AG168" i="1"/>
  <c r="AH168" i="1" s="1"/>
  <c r="AG184" i="1"/>
  <c r="AH184" i="1" s="1"/>
  <c r="AG55" i="1"/>
  <c r="AH55" i="1" s="1"/>
  <c r="AG216" i="1"/>
  <c r="AH216" i="1" s="1"/>
  <c r="AG206" i="1"/>
  <c r="AH206" i="1" s="1"/>
  <c r="AG41" i="1"/>
  <c r="AH41" i="1" s="1"/>
  <c r="AG49" i="1"/>
  <c r="AH49" i="1" s="1"/>
  <c r="AG74" i="1"/>
  <c r="AH74" i="1" s="1"/>
  <c r="AG174" i="1"/>
  <c r="AH174" i="1" s="1"/>
  <c r="AG152" i="1"/>
  <c r="AH152" i="1" s="1"/>
  <c r="AG200" i="1"/>
  <c r="AH200" i="1" s="1"/>
  <c r="AG44" i="1"/>
  <c r="AH44" i="1" s="1"/>
  <c r="AG186" i="1"/>
  <c r="AH186" i="1" s="1"/>
  <c r="AG64" i="1"/>
  <c r="AH64" i="1" s="1"/>
  <c r="AG104" i="1"/>
  <c r="AH104" i="1" s="1"/>
  <c r="AG120" i="1"/>
  <c r="AH120" i="1" s="1"/>
  <c r="AG128" i="1"/>
  <c r="AH128" i="1" s="1"/>
  <c r="AG136" i="1"/>
  <c r="AH136" i="1" s="1"/>
  <c r="AG28" i="1"/>
  <c r="AH28" i="1" s="1"/>
  <c r="AG88" i="1"/>
  <c r="AH88" i="1" s="1"/>
  <c r="AG135" i="1"/>
  <c r="AH135" i="1" s="1"/>
  <c r="AG101" i="1"/>
  <c r="AH101" i="1" s="1"/>
  <c r="AG45" i="1"/>
  <c r="AH45" i="1" s="1"/>
  <c r="AG116" i="1"/>
  <c r="AH116" i="1" s="1"/>
  <c r="AG140" i="1"/>
  <c r="AH140" i="1" s="1"/>
  <c r="AG72" i="1"/>
  <c r="AH72" i="1" s="1"/>
  <c r="AI72" i="1" s="1"/>
  <c r="AG119" i="1"/>
  <c r="AH119" i="1" s="1"/>
  <c r="AG34" i="1"/>
  <c r="AH34" i="1" s="1"/>
  <c r="AG58" i="1"/>
  <c r="AH58" i="1" s="1"/>
  <c r="AG75" i="1"/>
  <c r="AH75" i="1" s="1"/>
  <c r="AG83" i="1"/>
  <c r="AH83" i="1" s="1"/>
  <c r="AG106" i="1"/>
  <c r="AH106" i="1" s="1"/>
  <c r="AG183" i="1"/>
  <c r="AH183" i="1" s="1"/>
  <c r="AG29" i="1"/>
  <c r="AH29" i="1" s="1"/>
  <c r="AG61" i="1"/>
  <c r="AH61" i="1" s="1"/>
  <c r="AG133" i="1"/>
  <c r="AH133" i="1" s="1"/>
  <c r="AG56" i="1"/>
  <c r="AH56" i="1" s="1"/>
  <c r="AG67" i="1"/>
  <c r="AH67" i="1" s="1"/>
  <c r="AG84" i="1"/>
  <c r="AH84" i="1" s="1"/>
  <c r="AG22" i="1"/>
  <c r="AH22" i="1" s="1"/>
  <c r="AG46" i="1"/>
  <c r="AH46" i="1" s="1"/>
  <c r="AG54" i="1"/>
  <c r="AH54" i="1" s="1"/>
  <c r="AG57" i="1"/>
  <c r="AH57" i="1" s="1"/>
  <c r="AG65" i="1"/>
  <c r="AH65" i="1" s="1"/>
  <c r="AI65" i="1" s="1"/>
  <c r="AG118" i="1"/>
  <c r="AH118" i="1" s="1"/>
  <c r="AG150" i="1"/>
  <c r="AH150" i="1" s="1"/>
  <c r="AG155" i="1"/>
  <c r="AH155" i="1" s="1"/>
  <c r="AG171" i="1"/>
  <c r="AH171" i="1" s="1"/>
  <c r="AG179" i="1"/>
  <c r="AH179" i="1" s="1"/>
  <c r="AG187" i="1"/>
  <c r="AH187" i="1" s="1"/>
  <c r="AG195" i="1"/>
  <c r="AH195" i="1" s="1"/>
  <c r="AG203" i="1"/>
  <c r="AH203" i="1" s="1"/>
  <c r="AG59" i="1"/>
  <c r="AH59" i="1" s="1"/>
  <c r="AG138" i="1"/>
  <c r="AH138" i="1" s="1"/>
  <c r="AG148" i="1"/>
  <c r="AH148" i="1" s="1"/>
  <c r="AG172" i="1"/>
  <c r="AH172" i="1" s="1"/>
  <c r="AG182" i="1"/>
  <c r="AH182" i="1" s="1"/>
  <c r="AG224" i="1"/>
  <c r="AH224" i="1" s="1"/>
  <c r="AG85" i="1"/>
  <c r="AH85" i="1" s="1"/>
  <c r="AG87" i="1"/>
  <c r="AH87" i="1" s="1"/>
  <c r="AG170" i="1"/>
  <c r="AH170" i="1" s="1"/>
  <c r="AG192" i="1"/>
  <c r="AH192" i="1" s="1"/>
  <c r="AG20" i="1"/>
  <c r="AH20" i="1" s="1"/>
  <c r="AG25" i="1"/>
  <c r="AH25" i="1" s="1"/>
  <c r="AG37" i="1"/>
  <c r="AH37" i="1" s="1"/>
  <c r="AG50" i="1"/>
  <c r="AH50" i="1" s="1"/>
  <c r="AG102" i="1"/>
  <c r="AH102" i="1" s="1"/>
  <c r="AG112" i="1"/>
  <c r="AH112" i="1" s="1"/>
  <c r="AG117" i="1"/>
  <c r="AH117" i="1" s="1"/>
  <c r="AG129" i="1"/>
  <c r="AH129" i="1" s="1"/>
  <c r="AG33" i="1"/>
  <c r="AH33" i="1" s="1"/>
  <c r="AG63" i="1"/>
  <c r="AH63" i="1" s="1"/>
  <c r="AG110" i="1"/>
  <c r="AH110" i="1" s="1"/>
  <c r="AG166" i="1"/>
  <c r="AH166" i="1" s="1"/>
  <c r="AG176" i="1"/>
  <c r="AH176" i="1" s="1"/>
  <c r="AG26" i="1"/>
  <c r="AH26" i="1" s="1"/>
  <c r="AG38" i="1"/>
  <c r="AH38" i="1" s="1"/>
  <c r="AG68" i="1"/>
  <c r="AH68" i="1" s="1"/>
  <c r="AG76" i="1"/>
  <c r="AH76" i="1" s="1"/>
  <c r="AG142" i="1"/>
  <c r="AH142" i="1" s="1"/>
  <c r="AG154" i="1"/>
  <c r="AH154" i="1" s="1"/>
  <c r="AG164" i="1"/>
  <c r="AH164" i="1" s="1"/>
  <c r="AG188" i="1"/>
  <c r="AH188" i="1" s="1"/>
  <c r="AG208" i="1"/>
  <c r="AH208" i="1" s="1"/>
  <c r="AG218" i="1"/>
  <c r="AH218" i="1" s="1"/>
  <c r="AG89" i="1"/>
  <c r="AH89" i="1" s="1"/>
  <c r="AG94" i="1"/>
  <c r="AH94" i="1" s="1"/>
  <c r="AG99" i="1"/>
  <c r="AH99" i="1" s="1"/>
  <c r="AG165" i="1"/>
  <c r="AH165" i="1" s="1"/>
  <c r="AG209" i="1"/>
  <c r="AH209" i="1" s="1"/>
  <c r="AG214" i="1"/>
  <c r="AH214" i="1" s="1"/>
  <c r="AG32" i="1"/>
  <c r="AH32" i="1" s="1"/>
  <c r="AG42" i="1"/>
  <c r="AH42" i="1" s="1"/>
  <c r="AG52" i="1"/>
  <c r="AH52" i="1" s="1"/>
  <c r="AG62" i="1"/>
  <c r="AH62" i="1" s="1"/>
  <c r="AG80" i="1"/>
  <c r="AH80" i="1" s="1"/>
  <c r="AG126" i="1"/>
  <c r="AH126" i="1" s="1"/>
  <c r="AG180" i="1"/>
  <c r="AH180" i="1" s="1"/>
  <c r="AG197" i="1"/>
  <c r="AH197" i="1" s="1"/>
  <c r="AG204" i="1"/>
  <c r="AH204" i="1" s="1"/>
  <c r="AG212" i="1"/>
  <c r="AH212" i="1" s="1"/>
  <c r="AG30" i="1"/>
  <c r="AH30" i="1" s="1"/>
  <c r="AG92" i="1"/>
  <c r="AH92" i="1" s="1"/>
  <c r="AG158" i="1"/>
  <c r="AH158" i="1" s="1"/>
  <c r="AG163" i="1"/>
  <c r="AH163" i="1" s="1"/>
  <c r="AG202" i="1"/>
  <c r="AH202" i="1" s="1"/>
  <c r="AG207" i="1"/>
  <c r="AH207" i="1" s="1"/>
  <c r="AG222" i="1"/>
  <c r="AH222" i="1" s="1"/>
  <c r="AG78" i="1"/>
  <c r="AH78" i="1" s="1"/>
  <c r="AG90" i="1"/>
  <c r="AH90" i="1" s="1"/>
  <c r="AG100" i="1"/>
  <c r="AH100" i="1" s="1"/>
  <c r="AG124" i="1"/>
  <c r="AH124" i="1" s="1"/>
  <c r="AG132" i="1"/>
  <c r="AH132" i="1" s="1"/>
  <c r="AG144" i="1"/>
  <c r="AH144" i="1" s="1"/>
  <c r="AG149" i="1"/>
  <c r="AH149" i="1" s="1"/>
  <c r="AG151" i="1"/>
  <c r="AH151" i="1" s="1"/>
  <c r="AG190" i="1"/>
  <c r="AH190" i="1" s="1"/>
  <c r="AG215" i="1"/>
  <c r="AH215" i="1" s="1"/>
  <c r="AG48" i="1"/>
  <c r="AH48" i="1" s="1"/>
  <c r="AG70" i="1"/>
  <c r="AH70" i="1" s="1"/>
  <c r="AG115" i="1"/>
  <c r="AH115" i="1" s="1"/>
  <c r="AG122" i="1"/>
  <c r="AH122" i="1" s="1"/>
  <c r="AG156" i="1"/>
  <c r="AH156" i="1" s="1"/>
  <c r="AG181" i="1"/>
  <c r="AH181" i="1" s="1"/>
  <c r="AG213" i="1"/>
  <c r="AH213" i="1" s="1"/>
  <c r="AG82" i="1"/>
  <c r="AH82" i="1" s="1"/>
  <c r="AG108" i="1"/>
  <c r="AH108" i="1" s="1"/>
  <c r="AG162" i="1"/>
  <c r="AH162" i="1" s="1"/>
  <c r="AG194" i="1"/>
  <c r="AH194" i="1" s="1"/>
  <c r="AG196" i="1"/>
  <c r="AH196" i="1" s="1"/>
  <c r="AG69" i="1"/>
  <c r="AH69" i="1" s="1"/>
  <c r="AG103" i="1"/>
  <c r="AH103" i="1" s="1"/>
  <c r="AG36" i="1"/>
  <c r="AH36" i="1" s="1"/>
  <c r="AG199" i="1"/>
  <c r="AH199" i="1" s="1"/>
  <c r="AG211" i="1"/>
  <c r="AH211" i="1" s="1"/>
  <c r="AG24" i="1"/>
  <c r="AH24" i="1" s="1"/>
  <c r="AG53" i="1"/>
  <c r="AH53" i="1" s="1"/>
  <c r="AG131" i="1"/>
  <c r="AH131" i="1" s="1"/>
  <c r="AG21" i="1"/>
  <c r="AH21" i="1" s="1"/>
  <c r="AG66" i="1"/>
  <c r="AH66" i="1" s="1"/>
  <c r="AG134" i="1"/>
  <c r="AH134" i="1" s="1"/>
  <c r="AG167" i="1"/>
  <c r="AH167" i="1" s="1"/>
  <c r="AG111" i="1"/>
  <c r="AH111" i="1" s="1"/>
  <c r="AG157" i="1"/>
  <c r="AH157" i="1" s="1"/>
  <c r="AG175" i="1"/>
  <c r="AH175" i="1" s="1"/>
  <c r="AG113" i="1"/>
  <c r="AH113" i="1" s="1"/>
  <c r="AG225" i="1"/>
  <c r="AH225" i="1" s="1"/>
  <c r="AG95" i="1"/>
  <c r="AH95" i="1" s="1"/>
  <c r="AG97" i="1"/>
  <c r="AH97" i="1" s="1"/>
  <c r="AG161" i="1"/>
  <c r="AH161" i="1" s="1"/>
  <c r="AG79" i="1"/>
  <c r="AH79" i="1" s="1"/>
  <c r="AG105" i="1"/>
  <c r="AH105" i="1" s="1"/>
  <c r="AG81" i="1"/>
  <c r="AH81" i="1" s="1"/>
  <c r="AG145" i="1"/>
  <c r="AH145" i="1" s="1"/>
  <c r="AG191" i="1"/>
  <c r="AH191" i="1" s="1"/>
  <c r="AG193" i="1"/>
  <c r="AH193" i="1" s="1"/>
  <c r="AG198" i="1"/>
  <c r="AH198" i="1" s="1"/>
  <c r="AG73" i="1"/>
  <c r="AH73" i="1" s="1"/>
  <c r="AG93" i="1"/>
  <c r="AH93" i="1" s="1"/>
  <c r="AG137" i="1"/>
  <c r="AH137" i="1" s="1"/>
  <c r="AG221" i="1"/>
  <c r="AH221" i="1" s="1"/>
  <c r="AG177" i="1"/>
  <c r="AH177" i="1" s="1"/>
  <c r="AG223" i="1"/>
  <c r="AH223" i="1" s="1"/>
  <c r="AG77" i="1"/>
  <c r="AH77" i="1" s="1"/>
  <c r="AG121" i="1"/>
  <c r="AH121" i="1" s="1"/>
  <c r="AG141" i="1"/>
  <c r="AH141" i="1" s="1"/>
  <c r="AG159" i="1"/>
  <c r="AH159" i="1" s="1"/>
  <c r="AG60" i="1"/>
  <c r="AH60" i="1" s="1"/>
  <c r="AG125" i="1"/>
  <c r="AH125" i="1" s="1"/>
  <c r="AG143" i="1"/>
  <c r="AH143" i="1" s="1"/>
  <c r="AG169" i="1"/>
  <c r="AH169" i="1" s="1"/>
  <c r="AG189" i="1"/>
  <c r="AH189" i="1" s="1"/>
  <c r="AG109" i="1"/>
  <c r="AH109" i="1" s="1"/>
  <c r="AG127" i="1"/>
  <c r="AH127" i="1" s="1"/>
  <c r="AG153" i="1"/>
  <c r="AH153" i="1" s="1"/>
  <c r="AG173" i="1"/>
  <c r="AH173" i="1" s="1"/>
  <c r="AG205" i="1"/>
  <c r="AH205" i="1" s="1"/>
  <c r="AG185" i="1"/>
  <c r="AH185" i="1" s="1"/>
  <c r="AG201" i="1"/>
  <c r="AH201" i="1" s="1"/>
  <c r="AG217" i="1"/>
  <c r="AH217" i="1" s="1"/>
  <c r="C39" i="3"/>
  <c r="C38" i="3"/>
  <c r="C37" i="3"/>
  <c r="C36" i="3"/>
  <c r="C35" i="3"/>
  <c r="C34" i="3"/>
  <c r="C33" i="3"/>
  <c r="AD71" i="1"/>
  <c r="E56" i="3"/>
  <c r="G56" i="3" s="1"/>
  <c r="F56" i="3"/>
  <c r="F59" i="3" s="1"/>
  <c r="F62" i="3" l="1"/>
  <c r="E59" i="3"/>
  <c r="E62" i="3" s="1"/>
  <c r="E65" i="3" s="1"/>
  <c r="H35" i="10"/>
  <c r="H34" i="10"/>
  <c r="H33" i="10"/>
  <c r="H32" i="10"/>
  <c r="H31" i="10"/>
  <c r="H30" i="10"/>
  <c r="H29" i="10"/>
  <c r="H28" i="10"/>
  <c r="H27" i="10"/>
  <c r="H26" i="10"/>
  <c r="H25" i="10"/>
  <c r="H36" i="10"/>
  <c r="H24" i="10"/>
  <c r="J25" i="10"/>
  <c r="G36" i="10"/>
  <c r="J24" i="10"/>
  <c r="I24" i="10"/>
  <c r="G62" i="3" l="1"/>
  <c r="G59" i="3"/>
  <c r="I25" i="10"/>
  <c r="I26" i="10" s="1"/>
  <c r="I27" i="10" s="1"/>
  <c r="I28" i="10" s="1"/>
  <c r="I29" i="10" s="1"/>
  <c r="I30" i="10" s="1"/>
  <c r="I31" i="10" s="1"/>
  <c r="I32" i="10" s="1"/>
  <c r="I33" i="10" s="1"/>
  <c r="I34" i="10" s="1"/>
  <c r="I35" i="10" s="1"/>
  <c r="W227" i="1" l="1"/>
  <c r="L3" i="10"/>
  <c r="L4" i="10" s="1"/>
  <c r="L5" i="10" s="1"/>
  <c r="L6" i="10" s="1"/>
  <c r="L7" i="10" s="1"/>
  <c r="L8" i="10" s="1"/>
  <c r="L9" i="10" s="1"/>
  <c r="L10" i="10" s="1"/>
  <c r="L11" i="10" s="1"/>
  <c r="L12" i="10" s="1"/>
  <c r="L13" i="10" s="1"/>
  <c r="L14" i="10" s="1"/>
  <c r="G89" i="1" l="1"/>
  <c r="G192" i="1"/>
  <c r="G191" i="1"/>
  <c r="G196" i="1"/>
  <c r="G195" i="1"/>
  <c r="G197" i="1"/>
  <c r="G194" i="1"/>
  <c r="G119" i="1"/>
  <c r="G123" i="1"/>
  <c r="G125" i="1"/>
  <c r="G122" i="1"/>
  <c r="G124" i="1"/>
  <c r="AB122" i="1"/>
  <c r="AB197" i="1"/>
  <c r="AB195" i="1"/>
  <c r="AB124" i="1"/>
  <c r="AB194" i="1"/>
  <c r="AB119" i="1"/>
  <c r="AB89" i="1"/>
  <c r="AB123" i="1"/>
  <c r="AB191" i="1"/>
  <c r="AB125" i="1"/>
  <c r="AB196" i="1"/>
  <c r="AI194" i="1" l="1"/>
  <c r="AI125" i="1"/>
  <c r="AI195" i="1"/>
  <c r="AI196" i="1"/>
  <c r="AI191" i="1"/>
  <c r="AI123" i="1"/>
  <c r="AI119" i="1"/>
  <c r="AI89" i="1"/>
  <c r="AI124" i="1"/>
  <c r="AI197" i="1"/>
  <c r="AI122" i="1"/>
  <c r="AC89" i="1"/>
  <c r="AC191" i="1"/>
  <c r="AC196" i="1"/>
  <c r="AC195" i="1"/>
  <c r="AC197" i="1"/>
  <c r="AC194" i="1"/>
  <c r="AC119" i="1"/>
  <c r="AC123" i="1"/>
  <c r="AC125" i="1"/>
  <c r="AC122" i="1"/>
  <c r="AC124" i="1"/>
  <c r="G225" i="1"/>
  <c r="G226" i="1"/>
  <c r="G224" i="1"/>
  <c r="G223" i="1"/>
  <c r="AB223" i="1"/>
  <c r="AB225" i="1"/>
  <c r="AB224" i="1"/>
  <c r="AI224" i="1" l="1"/>
  <c r="AI225" i="1"/>
  <c r="AI223" i="1"/>
  <c r="AC225" i="1"/>
  <c r="AC224" i="1"/>
  <c r="AC223" i="1"/>
  <c r="G221" i="1"/>
  <c r="G218" i="1"/>
  <c r="G222" i="1"/>
  <c r="AB226" i="1"/>
  <c r="AB218" i="1"/>
  <c r="AB221" i="1"/>
  <c r="AB222" i="1"/>
  <c r="AI218" i="1" l="1"/>
  <c r="AI226" i="1"/>
  <c r="AI222" i="1"/>
  <c r="AI221" i="1"/>
  <c r="AC226" i="1"/>
  <c r="AC222" i="1"/>
  <c r="AC221" i="1"/>
  <c r="AC218" i="1"/>
  <c r="B36" i="10"/>
  <c r="C35" i="10" s="1"/>
  <c r="E24" i="10"/>
  <c r="C24" i="10"/>
  <c r="D24" i="10" s="1"/>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1" i="1"/>
  <c r="AF241" i="1"/>
  <c r="C28" i="10" l="1"/>
  <c r="C32" i="10"/>
  <c r="C36" i="10"/>
  <c r="C25" i="10"/>
  <c r="D25" i="10" s="1"/>
  <c r="D26" i="10" s="1"/>
  <c r="D27" i="10" s="1"/>
  <c r="D28" i="10" s="1"/>
  <c r="D29" i="10" s="1"/>
  <c r="D30" i="10" s="1"/>
  <c r="D31" i="10" s="1"/>
  <c r="D32" i="10" s="1"/>
  <c r="D33" i="10" s="1"/>
  <c r="D34" i="10" s="1"/>
  <c r="D35" i="10" s="1"/>
  <c r="C29" i="10"/>
  <c r="C33" i="10"/>
  <c r="C26" i="10"/>
  <c r="C30" i="10"/>
  <c r="C34" i="10"/>
  <c r="C27" i="10"/>
  <c r="C31" i="10"/>
  <c r="AF254" i="1"/>
  <c r="AB24" i="1"/>
  <c r="AI24" i="1" l="1"/>
  <c r="AC24" i="1"/>
  <c r="B37" i="3" l="1"/>
  <c r="B36" i="3"/>
  <c r="B35" i="3"/>
  <c r="B33" i="3"/>
  <c r="B29" i="3"/>
  <c r="D21" i="3"/>
  <c r="D22" i="3"/>
  <c r="D23" i="3"/>
  <c r="D24" i="3"/>
  <c r="D25" i="3"/>
  <c r="D26" i="3"/>
  <c r="D27" i="3"/>
  <c r="D28" i="3"/>
  <c r="C29" i="3"/>
  <c r="B34" i="3"/>
  <c r="B38" i="3"/>
  <c r="B39" i="3"/>
  <c r="C40" i="3"/>
  <c r="D40" i="3"/>
  <c r="E40" i="3"/>
  <c r="F40" i="3"/>
  <c r="G40" i="3"/>
  <c r="H40" i="3"/>
  <c r="C41" i="3"/>
  <c r="D41" i="3"/>
  <c r="E41" i="3"/>
  <c r="F41" i="3"/>
  <c r="G41" i="3"/>
  <c r="H41" i="3"/>
  <c r="G217" i="1"/>
  <c r="G216" i="1"/>
  <c r="G213" i="1"/>
  <c r="G215" i="1"/>
  <c r="G214" i="1"/>
  <c r="G212" i="1"/>
  <c r="G211" i="1"/>
  <c r="G209" i="1"/>
  <c r="G210" i="1"/>
  <c r="G208" i="1"/>
  <c r="G205" i="1"/>
  <c r="G206" i="1"/>
  <c r="G207" i="1"/>
  <c r="G204" i="1"/>
  <c r="G202" i="1"/>
  <c r="G203" i="1"/>
  <c r="G201" i="1"/>
  <c r="G200" i="1"/>
  <c r="G199" i="1"/>
  <c r="G198" i="1"/>
  <c r="G185" i="1"/>
  <c r="G188" i="1"/>
  <c r="G190" i="1"/>
  <c r="G189" i="1"/>
  <c r="G187" i="1"/>
  <c r="G186" i="1"/>
  <c r="G184" i="1"/>
  <c r="G183" i="1"/>
  <c r="G182" i="1"/>
  <c r="G181" i="1"/>
  <c r="G179" i="1"/>
  <c r="G176" i="1"/>
  <c r="G178" i="1"/>
  <c r="G177" i="1"/>
  <c r="G175" i="1"/>
  <c r="G193" i="1"/>
  <c r="G174" i="1"/>
  <c r="G173" i="1"/>
  <c r="G172" i="1"/>
  <c r="G170" i="1"/>
  <c r="G171" i="1"/>
  <c r="G164" i="1"/>
  <c r="G166" i="1"/>
  <c r="G165" i="1"/>
  <c r="G163" i="1"/>
  <c r="G162" i="1"/>
  <c r="G161" i="1"/>
  <c r="G180" i="1"/>
  <c r="G158" i="1"/>
  <c r="G159" i="1"/>
  <c r="G156" i="1"/>
  <c r="G149" i="1"/>
  <c r="G153" i="1"/>
  <c r="G155" i="1"/>
  <c r="G154" i="1"/>
  <c r="G152" i="1"/>
  <c r="G151" i="1"/>
  <c r="G150" i="1"/>
  <c r="G147" i="1"/>
  <c r="G148" i="1"/>
  <c r="G146" i="1"/>
  <c r="G168" i="1"/>
  <c r="G157" i="1"/>
  <c r="G160" i="1"/>
  <c r="G142" i="1"/>
  <c r="G141" i="1"/>
  <c r="G143" i="1"/>
  <c r="G169" i="1"/>
  <c r="G167" i="1"/>
  <c r="G139" i="1"/>
  <c r="G138" i="1"/>
  <c r="G136" i="1"/>
  <c r="G135" i="1"/>
  <c r="G137" i="1"/>
  <c r="G134" i="1"/>
  <c r="G133" i="1"/>
  <c r="G132" i="1"/>
  <c r="G140" i="1"/>
  <c r="G128" i="1"/>
  <c r="G145" i="1"/>
  <c r="G144" i="1"/>
  <c r="G116" i="1"/>
  <c r="G118" i="1"/>
  <c r="G126" i="1"/>
  <c r="G120" i="1"/>
  <c r="G117" i="1"/>
  <c r="G121" i="1"/>
  <c r="G115" i="1"/>
  <c r="G114" i="1"/>
  <c r="G113" i="1"/>
  <c r="G112" i="1"/>
  <c r="G131" i="1"/>
  <c r="G110" i="1"/>
  <c r="G127" i="1"/>
  <c r="G130" i="1"/>
  <c r="G129" i="1"/>
  <c r="G220" i="1"/>
  <c r="G102" i="1"/>
  <c r="G107" i="1"/>
  <c r="G105" i="1"/>
  <c r="G108" i="1"/>
  <c r="G104" i="1"/>
  <c r="G106" i="1"/>
  <c r="G103" i="1"/>
  <c r="G111" i="1"/>
  <c r="G101" i="1"/>
  <c r="G100" i="1"/>
  <c r="G97" i="1"/>
  <c r="G95" i="1"/>
  <c r="G94" i="1"/>
  <c r="G98" i="1"/>
  <c r="G93" i="1"/>
  <c r="G92" i="1"/>
  <c r="G91" i="1"/>
  <c r="G90" i="1"/>
  <c r="G88" i="1"/>
  <c r="G87" i="1"/>
  <c r="G84" i="1"/>
  <c r="G83" i="1"/>
  <c r="G109" i="1"/>
  <c r="G77" i="1"/>
  <c r="G79" i="1"/>
  <c r="G78" i="1"/>
  <c r="G82" i="1"/>
  <c r="G96" i="1"/>
  <c r="G75" i="1"/>
  <c r="G74" i="1"/>
  <c r="G73" i="1"/>
  <c r="G72" i="1"/>
  <c r="G86" i="1"/>
  <c r="G99" i="1"/>
  <c r="G81" i="1"/>
  <c r="G85" i="1"/>
  <c r="G71" i="1"/>
  <c r="G70" i="1"/>
  <c r="G68" i="1"/>
  <c r="G69" i="1"/>
  <c r="G219" i="1"/>
  <c r="G80" i="1"/>
  <c r="G76" i="1"/>
  <c r="G65" i="1"/>
  <c r="G64" i="1"/>
  <c r="G63" i="1"/>
  <c r="G62" i="1"/>
  <c r="G61" i="1"/>
  <c r="G55" i="1"/>
  <c r="G59" i="1"/>
  <c r="G60" i="1"/>
  <c r="G58" i="1"/>
  <c r="G57" i="1"/>
  <c r="G56" i="1"/>
  <c r="G54" i="1"/>
  <c r="G53" i="1"/>
  <c r="G51" i="1"/>
  <c r="G52" i="1"/>
  <c r="G50" i="1"/>
  <c r="G48" i="1"/>
  <c r="G49" i="1"/>
  <c r="G47" i="1"/>
  <c r="G45" i="1"/>
  <c r="G46" i="1"/>
  <c r="G44" i="1"/>
  <c r="G43" i="1"/>
  <c r="G67" i="1"/>
  <c r="G42" i="1"/>
  <c r="G38" i="1"/>
  <c r="G66" i="1"/>
  <c r="G41" i="1"/>
  <c r="G37" i="1"/>
  <c r="G26" i="1"/>
  <c r="G25" i="1"/>
  <c r="G36" i="1"/>
  <c r="G31" i="1"/>
  <c r="G30" i="1"/>
  <c r="G40" i="1"/>
  <c r="G35" i="1"/>
  <c r="G34" i="1"/>
  <c r="G32" i="1"/>
  <c r="G28" i="1"/>
  <c r="G27" i="1"/>
  <c r="G29" i="1"/>
  <c r="G39" i="1"/>
  <c r="G33" i="1"/>
  <c r="G24" i="1"/>
  <c r="G22" i="1"/>
  <c r="G23" i="1"/>
  <c r="G21" i="1"/>
  <c r="G19" i="1"/>
  <c r="AE71" i="1"/>
  <c r="AF71" i="1"/>
  <c r="AB163" i="1"/>
  <c r="AB160" i="1"/>
  <c r="AB169" i="1"/>
  <c r="AB184" i="1"/>
  <c r="AB175" i="1"/>
  <c r="AB129" i="1"/>
  <c r="AB127" i="1"/>
  <c r="AB212" i="1"/>
  <c r="AB151" i="1"/>
  <c r="AB93" i="1"/>
  <c r="AB192" i="1"/>
  <c r="AB162" i="1"/>
  <c r="AB198" i="1"/>
  <c r="AB91" i="1"/>
  <c r="AB120" i="1"/>
  <c r="AB147" i="1"/>
  <c r="AB145" i="1"/>
  <c r="AB115" i="1"/>
  <c r="AB140" i="1"/>
  <c r="AB219" i="1"/>
  <c r="AB90" i="1"/>
  <c r="AB101" i="1"/>
  <c r="AB134" i="1"/>
  <c r="AB193" i="1"/>
  <c r="AB144" i="1"/>
  <c r="AB167" i="1"/>
  <c r="AB180" i="1"/>
  <c r="AB181" i="1"/>
  <c r="AB95" i="1"/>
  <c r="AB88" i="1"/>
  <c r="AB168" i="1"/>
  <c r="AB94" i="1"/>
  <c r="AB76" i="1"/>
  <c r="AB126" i="1"/>
  <c r="AB137" i="1"/>
  <c r="AB75" i="1"/>
  <c r="AB82" i="1"/>
  <c r="AB203" i="1"/>
  <c r="AB130" i="1"/>
  <c r="AB204" i="1"/>
  <c r="AB157" i="1"/>
  <c r="AB92" i="1"/>
  <c r="AI90" i="1" l="1"/>
  <c r="AI140" i="1"/>
  <c r="AI193" i="1"/>
  <c r="AI203" i="1"/>
  <c r="AI168" i="1"/>
  <c r="AI144" i="1"/>
  <c r="AI180" i="1"/>
  <c r="AI147" i="1"/>
  <c r="AI120" i="1"/>
  <c r="AI91" i="1"/>
  <c r="AI115" i="1"/>
  <c r="AI157" i="1"/>
  <c r="AI82" i="1"/>
  <c r="AI167" i="1"/>
  <c r="AI129" i="1"/>
  <c r="AI192" i="1"/>
  <c r="AI93" i="1"/>
  <c r="AI151" i="1"/>
  <c r="AI198" i="1"/>
  <c r="AI95" i="1"/>
  <c r="AI94" i="1"/>
  <c r="AI88" i="1"/>
  <c r="AI162" i="1"/>
  <c r="AI184" i="1"/>
  <c r="AI169" i="1"/>
  <c r="AI160" i="1"/>
  <c r="AI212" i="1"/>
  <c r="AI134" i="1"/>
  <c r="AI126" i="1"/>
  <c r="AI76" i="1"/>
  <c r="AI175" i="1"/>
  <c r="AI204" i="1"/>
  <c r="AI92" i="1"/>
  <c r="AI130" i="1"/>
  <c r="AI163" i="1"/>
  <c r="AI145" i="1"/>
  <c r="AI181" i="1"/>
  <c r="AI101" i="1"/>
  <c r="AI127" i="1"/>
  <c r="AI75" i="1"/>
  <c r="AI137" i="1"/>
  <c r="B41" i="3"/>
  <c r="B40" i="3"/>
  <c r="D29" i="3"/>
  <c r="AC193" i="1"/>
  <c r="AC167" i="1"/>
  <c r="AC169" i="1"/>
  <c r="AC168" i="1"/>
  <c r="AC157" i="1"/>
  <c r="AC145" i="1"/>
  <c r="AC144" i="1"/>
  <c r="AC192" i="1"/>
  <c r="AC180" i="1"/>
  <c r="AC126" i="1"/>
  <c r="AC130" i="1"/>
  <c r="AC129" i="1"/>
  <c r="AC120" i="1"/>
  <c r="AC88" i="1"/>
  <c r="AC212" i="1"/>
  <c r="AC204" i="1"/>
  <c r="AC203" i="1"/>
  <c r="AC198" i="1"/>
  <c r="AC184" i="1"/>
  <c r="AC175" i="1"/>
  <c r="AC163" i="1"/>
  <c r="AC162" i="1"/>
  <c r="AC147" i="1"/>
  <c r="AC134" i="1"/>
  <c r="AC115" i="1"/>
  <c r="AC101" i="1"/>
  <c r="AC75" i="1"/>
  <c r="AC160" i="1"/>
  <c r="AC140" i="1"/>
  <c r="AC127" i="1"/>
  <c r="AC82" i="1"/>
  <c r="AC181" i="1"/>
  <c r="AC76" i="1"/>
  <c r="AC219" i="1"/>
  <c r="AC151" i="1"/>
  <c r="AG71" i="1"/>
  <c r="AH71" i="1" s="1"/>
  <c r="AC137" i="1"/>
  <c r="AC92" i="1"/>
  <c r="AC93" i="1"/>
  <c r="AC95" i="1"/>
  <c r="AC90" i="1"/>
  <c r="AC94" i="1"/>
  <c r="AC91" i="1"/>
  <c r="G20" i="1" l="1"/>
  <c r="AB114" i="1"/>
  <c r="AB74" i="1"/>
  <c r="AB217" i="1"/>
  <c r="AI74" i="1" l="1"/>
  <c r="AI114" i="1"/>
  <c r="AI217" i="1"/>
  <c r="AC114" i="1"/>
  <c r="AC74" i="1"/>
  <c r="AC217" i="1"/>
  <c r="AB201" i="1"/>
  <c r="AB161" i="1"/>
  <c r="AB202" i="1"/>
  <c r="AB211" i="1"/>
  <c r="AB66" i="1"/>
  <c r="AB133" i="1"/>
  <c r="AB174" i="1"/>
  <c r="AI202" i="1" l="1"/>
  <c r="AI201" i="1"/>
  <c r="AI161" i="1"/>
  <c r="AI133" i="1"/>
  <c r="AI174" i="1"/>
  <c r="AI66" i="1"/>
  <c r="AI211" i="1"/>
  <c r="AC201" i="1"/>
  <c r="AC161" i="1"/>
  <c r="AC133" i="1"/>
  <c r="AC211" i="1"/>
  <c r="AC202" i="1"/>
  <c r="AC66" i="1"/>
  <c r="AC174" i="1"/>
  <c r="AB71" i="1"/>
  <c r="AB107" i="1"/>
  <c r="AI107" i="1" l="1"/>
  <c r="AI71" i="1"/>
  <c r="AC71" i="1"/>
  <c r="AC107" i="1"/>
  <c r="AH227" i="1" l="1"/>
  <c r="K16" i="1" l="1"/>
  <c r="B109" i="2"/>
  <c r="B110" i="2" s="1"/>
  <c r="B111"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B83" i="2" s="1"/>
  <c r="B84" i="2" s="1"/>
  <c r="B85" i="2" s="1"/>
  <c r="B86" i="2" s="1"/>
  <c r="B87" i="2" s="1"/>
  <c r="B88" i="2" s="1"/>
  <c r="B89" i="2" s="1"/>
  <c r="B90" i="2" s="1"/>
  <c r="C77" i="2"/>
  <c r="B68" i="2"/>
  <c r="B69" i="2" s="1"/>
  <c r="B70" i="2" s="1"/>
  <c r="B71" i="2" s="1"/>
  <c r="B72" i="2" s="1"/>
  <c r="B73" i="2" s="1"/>
  <c r="B74" i="2" s="1"/>
  <c r="B75" i="2" s="1"/>
  <c r="B76" i="2" s="1"/>
  <c r="C63" i="2"/>
  <c r="B60" i="2"/>
  <c r="B61" i="2" s="1"/>
  <c r="C55" i="2"/>
  <c r="B51" i="2"/>
  <c r="B52" i="2" s="1"/>
  <c r="B53" i="2" s="1"/>
  <c r="C48" i="2"/>
  <c r="B34" i="2"/>
  <c r="U15" i="1"/>
  <c r="T15" i="1"/>
  <c r="S15" i="1"/>
  <c r="Q15" i="1"/>
  <c r="P15" i="1"/>
  <c r="M15" i="1"/>
  <c r="L15" i="1"/>
  <c r="B117" i="2"/>
  <c r="B108" i="2"/>
  <c r="B95" i="2"/>
  <c r="B81" i="2"/>
  <c r="B67" i="2"/>
  <c r="B59" i="2"/>
  <c r="B50" i="2"/>
  <c r="B33" i="2"/>
  <c r="AB43" i="1"/>
  <c r="AB49" i="1"/>
  <c r="AB62" i="1"/>
  <c r="AB61" i="1"/>
  <c r="AB23" i="1"/>
  <c r="AB27" i="1"/>
  <c r="AI27" i="1" l="1"/>
  <c r="AI61" i="1"/>
  <c r="AI49" i="1"/>
  <c r="AI23" i="1"/>
  <c r="AI62" i="1"/>
  <c r="AI43" i="1"/>
  <c r="AC49" i="1"/>
  <c r="AC61" i="1"/>
  <c r="AC23" i="1"/>
  <c r="AC62" i="1"/>
  <c r="AC27" i="1"/>
  <c r="B101" i="2"/>
  <c r="B62" i="2"/>
  <c r="B112" i="2"/>
  <c r="B35" i="2"/>
  <c r="B36" i="2" s="1"/>
  <c r="B37" i="2" s="1"/>
  <c r="B38" i="2" s="1"/>
  <c r="B123" i="2"/>
  <c r="B124" i="2" s="1"/>
  <c r="B125" i="2" s="1"/>
  <c r="B126" i="2" s="1"/>
  <c r="B54" i="2"/>
  <c r="AB26" i="1"/>
  <c r="AB29" i="1"/>
  <c r="AB108" i="1"/>
  <c r="AB55" i="1"/>
  <c r="AI55" i="1" l="1"/>
  <c r="AI108" i="1"/>
  <c r="AI29" i="1"/>
  <c r="AI26" i="1"/>
  <c r="AC55" i="1"/>
  <c r="AC29" i="1"/>
  <c r="AC26" i="1"/>
  <c r="B102" i="2"/>
  <c r="B103" i="2" s="1"/>
  <c r="B39" i="2"/>
  <c r="AC108" i="1"/>
  <c r="AC43" i="1"/>
  <c r="AB116" i="1"/>
  <c r="AB97" i="1"/>
  <c r="AB128" i="1"/>
  <c r="AB200" i="1"/>
  <c r="AB81" i="1"/>
  <c r="AB52" i="1"/>
  <c r="AB136" i="1"/>
  <c r="AB67" i="1"/>
  <c r="AB141" i="1"/>
  <c r="AB188" i="1"/>
  <c r="AB100" i="1"/>
  <c r="AB170" i="1"/>
  <c r="AB183" i="1"/>
  <c r="AB25" i="1"/>
  <c r="AB154" i="1"/>
  <c r="AB135" i="1"/>
  <c r="AB31" i="1"/>
  <c r="AB22" i="1"/>
  <c r="AB33" i="1"/>
  <c r="AB165" i="1"/>
  <c r="AB53" i="1"/>
  <c r="AB21" i="1"/>
  <c r="AB69" i="1"/>
  <c r="AB68" i="1"/>
  <c r="AB19" i="1"/>
  <c r="AB111" i="1"/>
  <c r="AB112" i="1"/>
  <c r="AB47" i="1"/>
  <c r="AB177" i="1"/>
  <c r="AB172" i="1"/>
  <c r="AB42" i="1"/>
  <c r="AB103" i="1"/>
  <c r="AB176" i="1"/>
  <c r="AB63" i="1"/>
  <c r="AB190" i="1"/>
  <c r="AB173" i="1"/>
  <c r="AB48" i="1"/>
  <c r="AB102" i="1"/>
  <c r="AB132" i="1"/>
  <c r="AB139" i="1"/>
  <c r="AB32" i="1"/>
  <c r="AB189" i="1"/>
  <c r="AB171" i="1"/>
  <c r="AB178" i="1"/>
  <c r="AB210" i="1"/>
  <c r="AB84" i="1"/>
  <c r="AB213" i="1"/>
  <c r="AB83" i="1"/>
  <c r="AB205" i="1"/>
  <c r="AB40" i="1"/>
  <c r="AB79" i="1"/>
  <c r="AB164" i="1"/>
  <c r="AB142" i="1"/>
  <c r="AB56" i="1"/>
  <c r="AB96" i="1"/>
  <c r="AB57" i="1"/>
  <c r="AB209" i="1"/>
  <c r="AB99" i="1"/>
  <c r="AB179" i="1"/>
  <c r="AB34" i="1"/>
  <c r="AB77" i="1"/>
  <c r="AB41" i="1"/>
  <c r="AB150" i="1"/>
  <c r="AB216" i="1"/>
  <c r="AB64" i="1"/>
  <c r="AB73" i="1"/>
  <c r="AB149" i="1"/>
  <c r="AB20" i="1"/>
  <c r="AB143" i="1"/>
  <c r="AB80" i="1"/>
  <c r="AB207" i="1"/>
  <c r="AB35" i="1"/>
  <c r="AB60" i="1"/>
  <c r="AB70" i="1"/>
  <c r="AB46" i="1"/>
  <c r="AB44" i="1"/>
  <c r="AB153" i="1"/>
  <c r="AI177" i="1" l="1"/>
  <c r="AI102" i="1"/>
  <c r="AI103" i="1"/>
  <c r="AI205" i="1"/>
  <c r="AI170" i="1"/>
  <c r="AI77" i="1"/>
  <c r="AI210" i="1"/>
  <c r="AI189" i="1"/>
  <c r="AI111" i="1"/>
  <c r="AI188" i="1"/>
  <c r="AI141" i="1"/>
  <c r="AI143" i="1"/>
  <c r="AI47" i="1"/>
  <c r="AI46" i="1"/>
  <c r="AI172" i="1"/>
  <c r="AI112" i="1"/>
  <c r="AI33" i="1"/>
  <c r="AI40" i="1"/>
  <c r="AI22" i="1"/>
  <c r="AI63" i="1"/>
  <c r="AI31" i="1"/>
  <c r="AI173" i="1"/>
  <c r="AI135" i="1"/>
  <c r="AI183" i="1"/>
  <c r="AI48" i="1"/>
  <c r="AI44" i="1"/>
  <c r="AI139" i="1"/>
  <c r="AI179" i="1"/>
  <c r="AI79" i="1"/>
  <c r="AI64" i="1"/>
  <c r="AI200" i="1"/>
  <c r="AI116" i="1"/>
  <c r="AI154" i="1"/>
  <c r="AI80" i="1"/>
  <c r="AI69" i="1"/>
  <c r="AI165" i="1"/>
  <c r="AI25" i="1"/>
  <c r="AI20" i="1"/>
  <c r="AI100" i="1"/>
  <c r="AI164" i="1"/>
  <c r="AI136" i="1"/>
  <c r="AI190" i="1"/>
  <c r="AI52" i="1"/>
  <c r="AI57" i="1"/>
  <c r="AI81" i="1"/>
  <c r="AI83" i="1"/>
  <c r="AI153" i="1"/>
  <c r="AI70" i="1"/>
  <c r="AI60" i="1"/>
  <c r="AI34" i="1"/>
  <c r="AI35" i="1"/>
  <c r="AI84" i="1"/>
  <c r="AI97" i="1"/>
  <c r="AI96" i="1"/>
  <c r="AI149" i="1"/>
  <c r="AI216" i="1"/>
  <c r="AI128" i="1"/>
  <c r="AI213" i="1"/>
  <c r="AI132" i="1"/>
  <c r="AI171" i="1"/>
  <c r="AI207" i="1"/>
  <c r="AI99" i="1"/>
  <c r="AI209" i="1"/>
  <c r="AI56" i="1"/>
  <c r="AI19" i="1"/>
  <c r="AI73" i="1"/>
  <c r="AI41" i="1"/>
  <c r="AI67" i="1"/>
  <c r="AI142" i="1"/>
  <c r="AI176" i="1"/>
  <c r="AI178" i="1"/>
  <c r="AI32" i="1"/>
  <c r="AI150" i="1"/>
  <c r="AI53" i="1"/>
  <c r="AI21" i="1"/>
  <c r="AI42" i="1"/>
  <c r="AI68" i="1"/>
  <c r="AC52" i="1"/>
  <c r="B40" i="2"/>
  <c r="B41" i="2" s="1"/>
  <c r="B42" i="2" s="1"/>
  <c r="B43" i="2" s="1"/>
  <c r="B44" i="2" s="1"/>
  <c r="B45" i="2" s="1"/>
  <c r="AC68" i="1"/>
  <c r="AC41" i="1"/>
  <c r="AC96" i="1"/>
  <c r="AC102" i="1"/>
  <c r="AC97" i="1"/>
  <c r="AC65" i="1"/>
  <c r="AC139" i="1"/>
  <c r="AC64" i="1"/>
  <c r="AC32" i="1"/>
  <c r="AC83" i="1"/>
  <c r="AC176" i="1"/>
  <c r="AC60" i="1"/>
  <c r="AC142" i="1"/>
  <c r="AC207" i="1"/>
  <c r="AC80" i="1"/>
  <c r="AC136" i="1"/>
  <c r="AC19" i="1"/>
  <c r="AC25" i="1"/>
  <c r="AC34" i="1"/>
  <c r="AC188" i="1"/>
  <c r="AC35" i="1"/>
  <c r="AC209" i="1"/>
  <c r="AC128" i="1"/>
  <c r="AC216" i="1"/>
  <c r="AC79" i="1"/>
  <c r="AC48" i="1"/>
  <c r="AC81" i="1"/>
  <c r="AC33" i="1"/>
  <c r="AC44" i="1"/>
  <c r="AC22" i="1"/>
  <c r="AC183" i="1"/>
  <c r="AC69" i="1"/>
  <c r="AC165" i="1"/>
  <c r="AC170" i="1"/>
  <c r="AC77" i="1"/>
  <c r="AC164" i="1"/>
  <c r="AC135" i="1"/>
  <c r="AC150" i="1"/>
  <c r="AC31" i="1"/>
  <c r="AC46" i="1"/>
  <c r="AC189" i="1"/>
  <c r="AC67" i="1"/>
  <c r="AC21" i="1"/>
  <c r="AC154" i="1"/>
  <c r="AC143" i="1"/>
  <c r="AC57" i="1"/>
  <c r="AC178" i="1"/>
  <c r="AC116" i="1"/>
  <c r="AC73" i="1"/>
  <c r="AC84" i="1"/>
  <c r="AC100" i="1"/>
  <c r="AC200" i="1"/>
  <c r="AC63" i="1"/>
  <c r="AC56" i="1"/>
  <c r="AC42" i="1"/>
  <c r="AC47" i="1"/>
  <c r="AC112" i="1"/>
  <c r="AC103" i="1"/>
  <c r="AC173" i="1"/>
  <c r="AC99" i="1"/>
  <c r="AC153" i="1"/>
  <c r="AC53" i="1"/>
  <c r="AC177" i="1"/>
  <c r="AC205" i="1"/>
  <c r="AC179" i="1"/>
  <c r="AC111" i="1"/>
  <c r="AC190" i="1"/>
  <c r="AC40" i="1"/>
  <c r="AC132" i="1"/>
  <c r="AC70" i="1"/>
  <c r="AC210" i="1"/>
  <c r="AC171" i="1"/>
  <c r="AC213" i="1"/>
  <c r="AC172" i="1"/>
  <c r="AC20" i="1"/>
  <c r="AC141" i="1"/>
  <c r="AC149" i="1"/>
  <c r="AB86" i="1"/>
  <c r="AB138" i="1"/>
  <c r="AB117" i="1"/>
  <c r="AB37" i="1"/>
  <c r="AB28" i="1"/>
  <c r="AB105" i="1"/>
  <c r="AB187" i="1"/>
  <c r="AB36" i="1"/>
  <c r="AB78" i="1"/>
  <c r="AB58" i="1"/>
  <c r="AB54" i="1"/>
  <c r="AB152" i="1"/>
  <c r="AB109" i="1"/>
  <c r="AB110" i="1"/>
  <c r="AB214" i="1"/>
  <c r="AB199" i="1"/>
  <c r="AB38" i="1"/>
  <c r="AB186" i="1"/>
  <c r="AB121" i="1"/>
  <c r="AB118" i="1"/>
  <c r="AB98" i="1"/>
  <c r="AB208" i="1"/>
  <c r="AB85" i="1"/>
  <c r="AB206" i="1"/>
  <c r="AB131" i="1"/>
  <c r="AB87" i="1"/>
  <c r="AB106" i="1"/>
  <c r="AB159" i="1"/>
  <c r="AB146" i="1"/>
  <c r="AB45" i="1"/>
  <c r="AB104" i="1"/>
  <c r="AB215" i="1"/>
  <c r="AB155" i="1"/>
  <c r="AB113" i="1"/>
  <c r="AB148" i="1"/>
  <c r="AB51" i="1"/>
  <c r="AB220" i="1"/>
  <c r="AB185" i="1"/>
  <c r="AB166" i="1"/>
  <c r="AB59" i="1"/>
  <c r="AB158" i="1"/>
  <c r="AI28" i="1" l="1"/>
  <c r="AI104" i="1"/>
  <c r="AI208" i="1"/>
  <c r="AI148" i="1"/>
  <c r="AI86" i="1"/>
  <c r="AI131" i="1"/>
  <c r="AI117" i="1"/>
  <c r="AI59" i="1"/>
  <c r="AI106" i="1"/>
  <c r="AI186" i="1"/>
  <c r="AI51" i="1"/>
  <c r="AI146" i="1"/>
  <c r="AI166" i="1"/>
  <c r="AI121" i="1"/>
  <c r="AI85" i="1"/>
  <c r="AI37" i="1"/>
  <c r="AI215" i="1"/>
  <c r="AI109" i="1"/>
  <c r="AI45" i="1"/>
  <c r="AI199" i="1"/>
  <c r="AI113" i="1"/>
  <c r="AI118" i="1"/>
  <c r="AI105" i="1"/>
  <c r="AI158" i="1"/>
  <c r="AI138" i="1"/>
  <c r="AI58" i="1"/>
  <c r="AI38" i="1"/>
  <c r="AI54" i="1"/>
  <c r="AI159" i="1"/>
  <c r="AI78" i="1"/>
  <c r="AI214" i="1"/>
  <c r="AI185" i="1"/>
  <c r="AI187" i="1"/>
  <c r="AI152" i="1"/>
  <c r="AI36" i="1"/>
  <c r="AI87" i="1"/>
  <c r="AI206" i="1"/>
  <c r="AI155" i="1"/>
  <c r="AI98" i="1"/>
  <c r="AI110" i="1"/>
  <c r="AC158" i="1"/>
  <c r="AC148" i="1"/>
  <c r="AC72" i="1"/>
  <c r="AC159" i="1"/>
  <c r="AC187" i="1"/>
  <c r="AC106" i="1"/>
  <c r="AC186" i="1"/>
  <c r="AC220" i="1"/>
  <c r="AC113" i="1"/>
  <c r="AC185" i="1"/>
  <c r="AC121" i="1"/>
  <c r="AC131" i="1"/>
  <c r="AC85" i="1"/>
  <c r="AC87" i="1"/>
  <c r="AC86" i="1"/>
  <c r="B46" i="2"/>
  <c r="B47" i="2" s="1"/>
  <c r="AC118" i="1"/>
  <c r="AC105" i="1"/>
  <c r="AC104" i="1"/>
  <c r="AC98" i="1"/>
  <c r="AC152" i="1"/>
  <c r="AC59" i="1"/>
  <c r="AC37" i="1"/>
  <c r="AC199" i="1"/>
  <c r="AC214" i="1"/>
  <c r="AC155" i="1"/>
  <c r="AC117" i="1"/>
  <c r="AC58" i="1"/>
  <c r="AC208" i="1"/>
  <c r="AC38" i="1"/>
  <c r="AC166" i="1"/>
  <c r="AC78" i="1"/>
  <c r="AC206" i="1"/>
  <c r="AC54" i="1"/>
  <c r="AC215" i="1"/>
  <c r="AC138" i="1"/>
  <c r="AC36" i="1"/>
  <c r="AC28" i="1"/>
  <c r="AC51" i="1"/>
  <c r="AC45" i="1"/>
  <c r="AC109" i="1"/>
  <c r="AC146" i="1"/>
  <c r="AC110" i="1"/>
  <c r="AB182" i="1"/>
  <c r="AB156" i="1"/>
  <c r="AB50" i="1"/>
  <c r="AB30" i="1"/>
  <c r="AB39" i="1"/>
  <c r="AI30" i="1" l="1"/>
  <c r="AI50" i="1"/>
  <c r="AI39" i="1"/>
  <c r="AI156" i="1"/>
  <c r="AI182" i="1"/>
  <c r="AC156" i="1"/>
  <c r="AC50" i="1"/>
  <c r="AB227" i="1"/>
  <c r="AC182" i="1"/>
  <c r="AC39" i="1"/>
  <c r="AC30" i="1"/>
  <c r="AC227" i="1" l="1"/>
</calcChain>
</file>

<file path=xl/comments1.xml><?xml version="1.0" encoding="utf-8"?>
<comments xmlns="http://schemas.openxmlformats.org/spreadsheetml/2006/main">
  <authors>
    <author>Hewlett-Packard Company</author>
    <author>Ivonne Andrea Torres Cruz</author>
    <author>Manuel Andres Farias Pinzon</author>
  </authors>
  <commentList>
    <comment ref="I44" authorId="0" shapeId="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6" authorId="0" shapeId="0">
      <text>
        <r>
          <rPr>
            <b/>
            <sz val="9"/>
            <color indexed="81"/>
            <rFont val="Tahoma"/>
            <charset val="1"/>
          </rPr>
          <t>IATC:</t>
        </r>
        <r>
          <rPr>
            <sz val="9"/>
            <color indexed="81"/>
            <rFont val="Tahoma"/>
            <charset val="1"/>
          </rPr>
          <t xml:space="preserve">
Debido a que a la contratista se le terminó el contrato el 18Ene y que está en proceso de contratación y que primero es necesario realizar el seguimiento al PM por procesos, la evaluación se corre del 19Feb al 26Mar</t>
        </r>
      </text>
    </comment>
    <comment ref="I50" authorId="0" shapeId="0">
      <text>
        <r>
          <rPr>
            <b/>
            <sz val="9"/>
            <color indexed="81"/>
            <rFont val="Tahoma"/>
            <charset val="1"/>
          </rPr>
          <t>IATC:</t>
        </r>
        <r>
          <rPr>
            <sz val="9"/>
            <color indexed="81"/>
            <rFont val="Tahoma"/>
            <family val="2"/>
          </rPr>
          <t xml:space="preserve"> Se corrió la fecha del 09Feb al 12Mar en razón a que el contrato de Marcela se inició el 09Feb y se retrasó la evaluación del sistema de control interno contable</t>
        </r>
      </text>
    </comment>
    <comment ref="I51"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2"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9" authorId="0" shapeId="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9" authorId="0" shapeId="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70" authorId="0" shapeId="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70" authorId="0" shapeId="0">
      <text>
        <r>
          <rPr>
            <b/>
            <sz val="9"/>
            <color indexed="81"/>
            <rFont val="Tahoma"/>
            <family val="2"/>
          </rPr>
          <t>IATC:</t>
        </r>
        <r>
          <rPr>
            <sz val="9"/>
            <color indexed="81"/>
            <rFont val="Tahoma"/>
            <family val="2"/>
          </rPr>
          <t xml:space="preserve"> Se corrió la fecha del 22Feb al 24Feb en razón a que el contrato de Marcela se inició el 09Feb y el trabajo de campo no se inició el 10Feb, sino el 16Feb</t>
        </r>
      </text>
    </comment>
    <comment ref="H76" authorId="0" shapeId="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6" authorId="0" shapeId="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80" authorId="0" shapeId="0">
      <text>
        <r>
          <rPr>
            <b/>
            <sz val="9"/>
            <color indexed="81"/>
            <rFont val="Tahoma"/>
            <charset val="1"/>
          </rPr>
          <t xml:space="preserve">IATC: </t>
        </r>
        <r>
          <rPr>
            <sz val="9"/>
            <color indexed="81"/>
            <rFont val="Tahoma"/>
            <charset val="1"/>
          </rPr>
          <t>Ya que la contratista se quedó sin contrato desde el 29Ene y que inició contrato el 01Mar, se reprograma la fecha de inicio del 01Feb al 02Mar</t>
        </r>
      </text>
    </comment>
    <comment ref="I80" authorId="0" shapeId="0">
      <text>
        <r>
          <rPr>
            <b/>
            <sz val="9"/>
            <color indexed="81"/>
            <rFont val="Tahoma"/>
            <charset val="1"/>
          </rPr>
          <t xml:space="preserve">IATC: </t>
        </r>
        <r>
          <rPr>
            <sz val="9"/>
            <color indexed="81"/>
            <rFont val="Tahoma"/>
            <family val="2"/>
          </rPr>
          <t>Ya que la contratista se quedó sin contrato desde el 29Ene y que inició contrato el 01Mar, se reprograma la fecha de finalización del 12Feb al 17Mar</t>
        </r>
      </text>
    </comment>
    <comment ref="H81" authorId="0" shapeId="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5" authorId="0" shapeId="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5" authorId="0" shapeId="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6"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6"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7"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8"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89"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B96" authorId="1" shapeId="0">
      <text>
        <r>
          <rPr>
            <b/>
            <sz val="9"/>
            <color indexed="81"/>
            <rFont val="Tahoma"/>
            <charset val="1"/>
          </rPr>
          <t xml:space="preserve">IATC: </t>
        </r>
        <r>
          <rPr>
            <sz val="9"/>
            <color indexed="81"/>
            <rFont val="Tahoma"/>
            <charset val="1"/>
          </rPr>
          <t>Se modificó la actividad incluyendo solamente el cierre de la caja menor, ya que al 09Mar no se había constituido la caja menor del 2021</t>
        </r>
      </text>
    </comment>
    <comment ref="H96"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6"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8"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8"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9"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9"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9"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9"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H111" authorId="0" shapeId="0">
      <text>
        <r>
          <rPr>
            <b/>
            <sz val="9"/>
            <color indexed="81"/>
            <rFont val="Tahoma"/>
            <family val="2"/>
          </rPr>
          <t>IATC:</t>
        </r>
        <r>
          <rPr>
            <sz val="9"/>
            <color indexed="81"/>
            <rFont val="Tahoma"/>
            <family val="2"/>
          </rPr>
          <t xml:space="preserve"> Debido a que la contratista inició contrato el 01Mar, la actividad se reprograma iniciando el 21Abr y no el 30Mar y finalizando el 30Abr y no el 14Abr como estaba previsto inicialmente</t>
        </r>
      </text>
    </comment>
    <comment ref="I111" authorId="0" shapeId="0">
      <text>
        <r>
          <rPr>
            <b/>
            <sz val="9"/>
            <color indexed="81"/>
            <rFont val="Tahoma"/>
            <family val="2"/>
          </rPr>
          <t>IATC:</t>
        </r>
        <r>
          <rPr>
            <sz val="9"/>
            <color indexed="81"/>
            <rFont val="Tahoma"/>
            <family val="2"/>
          </rPr>
          <t xml:space="preserve"> Debido a que la contratista inició contrato el 01Mar, la actividad se reprograma iniciando el 21Abr y no el 30Mar y finalizando el 30Abr y no el 14Abr como estaba previsto inicialmente</t>
        </r>
      </text>
    </comment>
    <comment ref="H127"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12Abr al 04May y de igual manera se reprograma la fecha de finalización del 14May al 09Jun</t>
        </r>
      </text>
    </comment>
    <comment ref="I127"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12Abr al 04May y de igual manera se reprograma la fecha de finalización del 14May al 09Jun</t>
        </r>
      </text>
    </comment>
    <comment ref="H140"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40"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H160"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el inicio de la auditoría del 24Jun al 19Jul y de igual manera se reprograma la fecha de finalización del 30Jul al 24Ago</t>
        </r>
      </text>
    </comment>
    <comment ref="I160"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el inicio de la auditoría del 24Jun al 19Jul y de igual manera se reprograma la fecha de finalización del 30Jul al 24Ago</t>
        </r>
      </text>
    </comment>
    <comment ref="H219"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19"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H220" authorId="0" shapeId="0">
      <text>
        <r>
          <rPr>
            <b/>
            <sz val="9"/>
            <color indexed="81"/>
            <rFont val="Tahoma"/>
            <charset val="1"/>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0" authorId="0" shapeId="0">
      <text>
        <r>
          <rPr>
            <b/>
            <sz val="9"/>
            <color indexed="81"/>
            <rFont val="Tahoma"/>
            <charset val="1"/>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1" authorId="0" shapeId="0">
      <text>
        <r>
          <rPr>
            <b/>
            <sz val="9"/>
            <color indexed="81"/>
            <rFont val="Tahoma"/>
            <family val="2"/>
          </rPr>
          <t>IATC:</t>
        </r>
        <r>
          <rPr>
            <sz val="9"/>
            <color indexed="81"/>
            <rFont val="Tahoma"/>
            <family val="2"/>
          </rPr>
          <t xml:space="preserve"> Actividad nueva</t>
        </r>
      </text>
    </comment>
    <comment ref="I222" authorId="0" shapeId="0">
      <text>
        <r>
          <rPr>
            <b/>
            <sz val="9"/>
            <color indexed="81"/>
            <rFont val="Tahoma"/>
            <family val="2"/>
          </rPr>
          <t>IATC:</t>
        </r>
        <r>
          <rPr>
            <sz val="9"/>
            <color indexed="81"/>
            <rFont val="Tahoma"/>
            <family val="2"/>
          </rPr>
          <t xml:space="preserve"> Actividad nueva</t>
        </r>
      </text>
    </comment>
    <comment ref="I223" authorId="0" shapeId="0">
      <text>
        <r>
          <rPr>
            <b/>
            <sz val="9"/>
            <color indexed="81"/>
            <rFont val="Tahoma"/>
            <family val="2"/>
          </rPr>
          <t>IATC:</t>
        </r>
        <r>
          <rPr>
            <sz val="9"/>
            <color indexed="81"/>
            <rFont val="Tahoma"/>
            <family val="2"/>
          </rPr>
          <t xml:space="preserve"> Actividad nueva</t>
        </r>
      </text>
    </comment>
    <comment ref="I224" authorId="0" shapeId="0">
      <text>
        <r>
          <rPr>
            <b/>
            <sz val="9"/>
            <color indexed="81"/>
            <rFont val="Tahoma"/>
            <family val="2"/>
          </rPr>
          <t>IATC:</t>
        </r>
        <r>
          <rPr>
            <sz val="9"/>
            <color indexed="81"/>
            <rFont val="Tahoma"/>
            <family val="2"/>
          </rPr>
          <t xml:space="preserve"> Actividad nueva</t>
        </r>
      </text>
    </comment>
    <comment ref="I225" authorId="0" shapeId="0">
      <text>
        <r>
          <rPr>
            <b/>
            <sz val="9"/>
            <color indexed="81"/>
            <rFont val="Tahoma"/>
            <family val="2"/>
          </rPr>
          <t>IATC:</t>
        </r>
        <r>
          <rPr>
            <sz val="9"/>
            <color indexed="81"/>
            <rFont val="Tahoma"/>
            <family val="2"/>
          </rPr>
          <t xml:space="preserve"> Actividad nueva</t>
        </r>
      </text>
    </comment>
    <comment ref="I226" authorId="0" shapeId="0">
      <text>
        <r>
          <rPr>
            <b/>
            <sz val="9"/>
            <color indexed="81"/>
            <rFont val="Tahoma"/>
            <family val="2"/>
          </rPr>
          <t>IATC:</t>
        </r>
        <r>
          <rPr>
            <sz val="9"/>
            <color indexed="81"/>
            <rFont val="Tahoma"/>
            <family val="2"/>
          </rPr>
          <t xml:space="preserve"> Actividad nueva</t>
        </r>
      </text>
    </comment>
    <comment ref="Y245" authorId="2" shapeId="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<sst xmlns="http://schemas.openxmlformats.org/spreadsheetml/2006/main" count="2147" uniqueCount="516">
  <si>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</si>
  <si>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</si>
  <si>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</si>
  <si>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</si>
  <si>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</si>
  <si>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</si>
  <si>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</si>
  <si>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</si>
  <si>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</si>
  <si>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</si>
  <si>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</si>
  <si>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</si>
  <si>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</si>
  <si>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</si>
  <si>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</si>
  <si>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</si>
  <si>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</si>
  <si>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</si>
  <si>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</si>
  <si>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</si>
  <si>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</si>
  <si>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</si>
  <si>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</si>
  <si>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</si>
  <si>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</si>
  <si>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</si>
  <si>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</si>
  <si>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</si>
  <si>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</si>
  <si>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</si>
  <si>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</si>
  <si>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</si>
  <si>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</si>
  <si>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</si>
  <si>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</si>
  <si>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</si>
  <si>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</si>
  <si>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</si>
  <si>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</si>
  <si>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</si>
  <si>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</si>
  <si>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</si>
  <si>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</si>
  <si>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</si>
  <si>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</si>
  <si>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</si>
  <si>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</si>
  <si>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</si>
  <si>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</si>
  <si>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</si>
  <si>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</si>
  <si>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</si>
  <si>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</si>
  <si>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</si>
  <si>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</si>
  <si>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</si>
  <si>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</si>
  <si>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</si>
  <si>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</si>
  <si>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</si>
  <si>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</si>
  <si>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</si>
  <si>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</si>
  <si>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</si>
  <si>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</si>
  <si>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</si>
  <si>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</si>
  <si>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</si>
  <si>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</si>
  <si>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</si>
  <si>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</si>
  <si>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</si>
  <si>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</si>
  <si>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</si>
  <si>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</si>
  <si>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</si>
  <si>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</si>
  <si>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</si>
  <si>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</si>
  <si>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</si>
  <si>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</si>
  <si>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</si>
  <si>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</si>
  <si>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</si>
  <si>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</si>
  <si>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</si>
  <si>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</si>
  <si>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</si>
  <si>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</si>
  <si>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</si>
  <si>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</si>
  <si>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</si>
  <si>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</si>
  <si>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</si>
  <si>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</si>
  <si>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</si>
  <si>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</si>
  <si>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</si>
  <si>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</si>
  <si>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</si>
  <si>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</si>
  <si>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</si>
  <si>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</si>
  <si>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</si>
  <si>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</si>
  <si>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</si>
  <si>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</si>
  <si>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</si>
  <si>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</si>
  <si>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</si>
  <si>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</si>
  <si>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</si>
  <si>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</si>
  <si>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</si>
  <si>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</si>
  <si>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</si>
  <si>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</si>
  <si>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</si>
  <si>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</si>
  <si>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</si>
  <si>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</si>
  <si>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</si>
  <si>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</si>
  <si>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</si>
  <si>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</si>
  <si>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</si>
  <si>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</si>
  <si>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</si>
  <si>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</si>
  <si>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</si>
  <si>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</si>
  <si>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</si>
  <si>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</si>
  <si>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</si>
  <si>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</si>
  <si>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</si>
  <si>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</si>
  <si>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</si>
  <si>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</si>
  <si>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</si>
  <si>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</si>
  <si>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</si>
  <si>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</si>
  <si>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</si>
  <si>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</si>
  <si>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</si>
  <si>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</si>
  <si>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</si>
  <si>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</si>
  <si>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</si>
  <si>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</si>
  <si>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</si>
  <si>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</si>
  <si>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</si>
  <si>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</si>
  <si>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</si>
  <si>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</si>
  <si>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</si>
  <si>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</si>
  <si>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</si>
  <si>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</si>
  <si>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</si>
  <si>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</si>
  <si>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</si>
  <si>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</si>
  <si>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</si>
  <si>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</si>
  <si>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</si>
  <si>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</si>
  <si>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</si>
  <si>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</si>
  <si>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</si>
  <si>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</si>
  <si>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</si>
  <si>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</si>
  <si>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</si>
  <si>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</si>
  <si>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</si>
  <si>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</si>
  <si>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</si>
  <si>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</si>
  <si>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</si>
  <si>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</si>
  <si>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</si>
  <si>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</si>
  <si>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</si>
  <si>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</si>
  <si>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</si>
  <si>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</si>
  <si>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</si>
  <si>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</si>
  <si>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</si>
  <si>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</si>
  <si>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</si>
  <si>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</si>
  <si>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Rol Control Interno</t>
  </si>
  <si>
    <t>Avance al</t>
  </si>
  <si>
    <t xml:space="preserve">Auditoría </t>
  </si>
  <si>
    <t xml:space="preserve">Enfoque hacia la Prevención </t>
  </si>
  <si>
    <t xml:space="preserve">Adicionales </t>
  </si>
  <si>
    <t>TOTAL</t>
  </si>
  <si>
    <t>Evaluación y Seguimiento
(informes de ley y PM)</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</si>
  <si>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</si>
  <si>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</si>
  <si>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</si>
  <si>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</si>
  <si>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</si>
  <si>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</si>
  <si>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</si>
  <si>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</si>
  <si>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</si>
  <si>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</si>
  <si>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</si>
  <si>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</si>
  <si>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</si>
  <si>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</si>
  <si>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</si>
  <si>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</si>
  <si>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</si>
  <si>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</si>
  <si>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</si>
  <si>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</si>
  <si>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Enero</t>
  </si>
  <si>
    <t>Febrero</t>
  </si>
  <si>
    <t>Trim</t>
  </si>
  <si>
    <t>I Trim</t>
  </si>
  <si>
    <t>II Trim</t>
  </si>
  <si>
    <t>III Trim</t>
  </si>
  <si>
    <t>IV Trim</t>
  </si>
  <si>
    <t>% Acumulado Planeado por Trimestre - para el PAG</t>
  </si>
  <si>
    <t>% Acumulado Ejecutado por Trimestre - para el PAG</t>
  </si>
  <si>
    <t>%</t>
  </si>
  <si>
    <t>Mes</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</si>
  <si>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</si>
  <si>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</si>
  <si>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</si>
  <si>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</si>
  <si>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</si>
  <si>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</si>
  <si>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</si>
  <si>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</si>
  <si>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</si>
  <si>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</si>
  <si>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</si>
  <si>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</si>
  <si>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</si>
  <si>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</si>
  <si>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</si>
  <si>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</si>
  <si>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</si>
  <si>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</si>
  <si>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</si>
  <si>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</si>
  <si>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</si>
  <si>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</si>
  <si>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</si>
  <si>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</si>
  <si>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</si>
  <si>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</si>
  <si>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</si>
  <si>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</si>
  <si>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</si>
  <si>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</si>
  <si>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</si>
  <si>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</si>
  <si>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</si>
  <si>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</si>
  <si>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</si>
  <si>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</si>
  <si>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</si>
  <si>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</si>
  <si>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</si>
  <si>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</si>
  <si>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</si>
  <si>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</si>
  <si>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</si>
  <si>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</si>
  <si>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</si>
  <si>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</si>
  <si>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</si>
  <si>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</si>
  <si>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</si>
  <si>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</si>
  <si>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</si>
  <si>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</si>
  <si>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</si>
  <si>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</si>
  <si>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</si>
  <si>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</si>
  <si>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</si>
  <si>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</si>
  <si>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</si>
  <si>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</si>
  <si>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</si>
  <si>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</si>
  <si>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</si>
  <si>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</si>
  <si>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</si>
  <si>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</si>
  <si>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</si>
  <si>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</si>
  <si>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Programación 2021</t>
  </si>
  <si>
    <t>Tabla para el PAG - Sumatoria del avance de las actividades que deberian estar cumplidas en cada trimestre (Avance Planificado)
Actualizar tabla dinamica - Actualizada al</t>
  </si>
  <si>
    <t>Cuenta de Actividad</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</si>
  <si>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</si>
  <si>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</si>
  <si>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</si>
  <si>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</si>
  <si>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</si>
  <si>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</si>
  <si>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</si>
  <si>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</si>
  <si>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</si>
  <si>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</si>
  <si>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</si>
  <si>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</si>
  <si>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</si>
  <si>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</si>
  <si>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</si>
  <si>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</si>
  <si>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</si>
  <si>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</si>
  <si>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</si>
  <si>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</si>
  <si>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</si>
  <si>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</si>
  <si>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</si>
  <si>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</si>
  <si>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</si>
  <si>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</si>
  <si>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</si>
  <si>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</si>
  <si>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</si>
  <si>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</si>
  <si>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</si>
  <si>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</si>
  <si>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</si>
  <si>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</si>
  <si>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</si>
  <si>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</si>
  <si>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</si>
  <si>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</si>
  <si>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</si>
  <si>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</si>
  <si>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</si>
  <si>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</si>
  <si>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</si>
  <si>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</si>
  <si>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</si>
  <si>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</si>
  <si>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</si>
  <si>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</si>
  <si>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</si>
  <si>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</si>
  <si>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</si>
  <si>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</si>
  <si>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</si>
  <si>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</si>
  <si>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</si>
  <si>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</si>
  <si>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</si>
  <si>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</si>
  <si>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</si>
  <si>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</si>
  <si>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</si>
  <si>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</si>
  <si>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</si>
  <si>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</si>
  <si>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</si>
  <si>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GESTIÓN\EVALUACIÓN POR DEPENDENCIAS 2020</t>
  </si>
  <si>
    <t>Ruta: \\10.216.160.201\control interno\2021\19.04 INF.  DE GESTIÓN\PQRDS\01. II Sem 2020</t>
  </si>
  <si>
    <t>Ruta: \\10.216.160.201\control interno\2021\19.04 INF.  DE GESTIÓN\COM CONCILIACIÓN</t>
  </si>
  <si>
    <t>Ruta: \\10.216.160.201\control interno\2021\00. APOYO\03. Contratación</t>
  </si>
  <si>
    <t>Ruta: \\10.216.160.201\control interno\2021\19.01 INF.  A  ENTID. DE CONTROL Y VIG\SIVICOF\CUENTA ANUAL</t>
  </si>
  <si>
    <t>1. DP de exfuncionaria, que se le contestó el 31Dic2020, ella dio respuesta el 21ene2021 entregando documentos que están para trámite de entrega en la Subdirección Administrativa. Ruta: \\10.216.160.201\control interno\2020\00. APOYO\10. DP\73. Graciela</t>
  </si>
  <si>
    <t>Ruta: \\10.216.160.201\control interno\2021\19.01 INF.  A  ENTID. DE CONTROL Y VIG\CGR SIRECI\02. Ene</t>
  </si>
  <si>
    <t>Cantidad de informes de ley a entregar en el año</t>
  </si>
  <si>
    <t>202111200000613 del 06ene2021 Solicitud Información
202111200005403 del 29Ene2021 entrega del informe y publicación en la página web de la entidad
Ruta: \\10.216.160.201\control interno\2021\19.04 INF.  DE GESTIÓN\AUSTERIDAD\IV TRIM 2020</t>
  </si>
  <si>
    <t>Informe elaborado y entregado por el profesional el 18Ene2021.
Informe entregado al Director General con memorando 202111200005423 del 31Ene2021 y verificada su publicación en la página web de la entidad
Ruta: \\10.216.160.201\control interno\2021\19.04 INF.  DE GESTIÓN\DIRECTORES ASESORES Y JEFES\IVONNE ANDREA TORRES CRUZ</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</si>
  <si>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</si>
  <si>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</si>
  <si>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04Ene: Comité directivo
29Ene: Comité directivo donde se aprobaron los 12 planes del Dec 612</t>
  </si>
  <si>
    <t>\\10.216.160.201\control interno\2021\19.04 INF.  DE GESTIÓN\EVALUACION SCI\II sem 2020
Informe publicado en página web el 01Feb2021
Se entregó el informe con el memorando 202111200005453 el 31Ene2021</t>
  </si>
  <si>
    <t>deberia llevar</t>
  </si>
  <si>
    <t>Avance real</t>
  </si>
  <si>
    <r>
      <t>Las 0 actividades vencidas tienen un avance del 0%, siendo que debería ser del 0</t>
    </r>
    <r>
      <rPr>
        <sz val="11"/>
        <rFont val="Arial"/>
        <family val="2"/>
      </rPr>
      <t>%</t>
    </r>
  </si>
  <si>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</si>
  <si>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</si>
  <si>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</si>
  <si>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</si>
  <si>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</si>
  <si>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</si>
  <si>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</si>
  <si>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</si>
  <si>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</si>
  <si>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Atención Auditoría de Regularidad: Cód 55: EEvaluar la gestión fiscal vigencia 2020</t>
  </si>
  <si>
    <t>Soporte de Aprobación Versión 2</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</si>
  <si>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</si>
  <si>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</si>
  <si>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</si>
  <si>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</si>
  <si>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</si>
  <si>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</si>
  <si>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</si>
  <si>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</si>
  <si>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</si>
  <si>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</si>
  <si>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Oficio 202111200003991 - Informe Presupuestal diciembre 2020 enviado por correo electrónico a la Personería el 15Ene</t>
  </si>
  <si>
    <t>Oficio 202111200016231 - Informe Presupuestal enero 2021 enviado por correo electrónico a la Personería el 10Feb</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</si>
  <si>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</si>
  <si>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</si>
  <si>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Se solicitó la información, la cual fue entregada con oportunidad. La contratista quedó sin contrato, por lo que la elaboración del informe se reanudó el 10Feb, actualmente el informe está en elaboración</t>
  </si>
  <si>
    <t>EN EJECUCIÓN</t>
  </si>
  <si>
    <t>Ruta: \\10.216.160.201\control interno\2021\19.04 INF.  DE GESTIÓN\CONTROL INTERNO CONTABLE</t>
  </si>
  <si>
    <t>Ruta: \\10.216.160.201\control interno\2021\19.01 INF.  A  ENTID. DE CONTROL Y VIG\SIVICOF\CUENTA ANUAL\06. Control Fiscal</t>
  </si>
  <si>
    <t>No hay otro auditor, por lo tanto esta actividad no se ha desarrollado para esta persona</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</si>
  <si>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</si>
  <si>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</si>
  <si>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</si>
  <si>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</si>
  <si>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</si>
  <si>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</si>
  <si>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</si>
  <si>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</si>
  <si>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1. DP: La veeduría solicitó diligenciar encuesta sobre los temas a capacitar a los jefes OCI en 2021. Elizabeth e IATC diligenciaron el formulario de google con la información que dieron todos los auditores.</t>
  </si>
  <si>
    <t>Se solicitó la información a la cual dieron respuesta y el informe se elaboró y fue entregado al los destinatarios con el memorando 202111200005403 del 29Ene2021. Se verificó su publicación en la página web de la entidad</t>
  </si>
  <si>
    <t>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 Falta que la OAP haga entrega de los reportes de segplan del anterior PDD y que la contratista sea vinculada de nuevo a la entidad</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</si>
  <si>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</si>
  <si>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</si>
  <si>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</si>
  <si>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</si>
  <si>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</si>
  <si>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</si>
  <si>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</si>
  <si>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</si>
  <si>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</si>
  <si>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</si>
  <si>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ATRASADA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</si>
  <si>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</si>
  <si>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</si>
  <si>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</si>
  <si>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</si>
  <si>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</si>
  <si>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AUDITORÍA</t>
  </si>
  <si>
    <t>Inicio</t>
  </si>
  <si>
    <t>Fin</t>
  </si>
  <si>
    <t>Feb</t>
  </si>
  <si>
    <t>Mar</t>
  </si>
  <si>
    <t>Abr</t>
  </si>
  <si>
    <t>May</t>
  </si>
  <si>
    <t>Jun</t>
  </si>
  <si>
    <t>Jul</t>
  </si>
  <si>
    <t>Ago</t>
  </si>
  <si>
    <t>Sep</t>
  </si>
  <si>
    <t>Oct</t>
  </si>
  <si>
    <t>Nov</t>
  </si>
  <si>
    <t>Dic</t>
  </si>
  <si>
    <t>Procesos judiciales - del 01Ene2020 al 28Feb2021</t>
  </si>
  <si>
    <t>Caja menor - cierre 2020 - constitución 2021</t>
  </si>
  <si>
    <t>Auditoría de Regularidad Cód 55: gestión 2020</t>
  </si>
  <si>
    <t>Auditoría de Desempeño Cód 60: Arboleda Santa Teresita</t>
  </si>
  <si>
    <t>Plan de adecuación y sostenibilidad del MIPG</t>
  </si>
  <si>
    <t>Auditoría de Desempeño Cód 64: Convenio 044 de 2014</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</si>
  <si>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</si>
  <si>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</si>
  <si>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</si>
  <si>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Proceso de Gestión del Talento Humano
Cobro de las Incapacidades reportadas por los funcionarios del proceso de Urbanizaciones y Titulación</t>
  </si>
  <si>
    <t>Auditoría a los inventarios de bienes inmuebles reportados por el Proceso de Urbanizaciones y Titulación</t>
  </si>
  <si>
    <t>Auditoría a la aplicación de las políticas contables por parte de los procesos de Gestión Financiera y de Urbanizaciones y Titulación</t>
  </si>
  <si>
    <t>Auditoría a la cartera generada por el Proceso de Reasentamientos Humanos</t>
  </si>
  <si>
    <t>Auditoría Proceso de Gestión del Talento Humano
Cobro de las Incapacidades reportadas por los funcionarios del proceso de Reasentamientos Humanos</t>
  </si>
  <si>
    <t>Auditoría a los inventarios de bienes inmuebles reportados por el Proceso de Reasentamientos Humanos</t>
  </si>
  <si>
    <t>Auditoría a la aplicación de las políticas contables por parte de los procesos de Gestión Financiera y de Reasentamientos Humanos</t>
  </si>
  <si>
    <t>1. DP: traslado de la Contraloría Dir sectorial Gob sobre líneas de crédito. Se solicitó información a Reas, Vivienda, Financiera y OAP para dar rta el 03Feb2021. 202111200005383 lineas de crédito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2-2021-2876  Traslado por competencia del Derecho de Petición de Venacom - líneas de crédito. Rta 202111200016191 del 10Feb
8. DP: 202117000019902 fecha entrega Arbolea Santa Teresita del 22Feb - no se ha contestado</t>
  </si>
  <si>
    <t>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2. DP: de representantes de empresas que trabajan para la ETB y aunque se revisó no se ha cerrado el Orfeo.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5. DP personería por no dar respuesta a solicitud de beneficiario de REAS, la petición se hizo el 18Nov2020 y la Rta la dieron el 26Nov 2020. El radicado de entrada es: 202117000009192 SINPROC 113893 del 2020.
6. 202117000011252 Solic inf  rta DPC 158-21 y 179-21 caja de honor
7. DP 202116000009853 indagación preliminar N° 268 del 23Feb. Rta 202111200010823 del 26Feb</t>
  </si>
  <si>
    <t>1. Requerimiento contraloría sobre contrato 459 de 2014, llegó el 02Mar y aún no tiene Rta</t>
  </si>
  <si>
    <t>25Ene: Comité de conciliación ficha 260
29Ene: Comité con lineamientos sobre la estabilidad laboral reforzada de mujeres embarazadas
23Feb: Comité para presentar la mesa de trabajo del 20May con la Secretaría Jurídica Distrital
26Feb: Comité para presentar d enuevo los criterios de selección de los abogados</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</si>
  <si>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t>
  </si>
  <si>
    <t>18Ene: Instancia técnica de bienes inmuebles
28Ene: Comité de seguimiento financiero donde expusieron estados de Tesorería de dic2020; rendimientos financieros bancos; Informe de gestión del comité año 2020; Avance embargo UGPP y cronograma de reuniones CSF 2021.
04Feb: Mesa de trabajo para la gestión de bienes muebles. Temas: Socialización marco normativo de operación de la instancia de apoyo técnico y Presentación del informe de indicios de deterioro de bienes muebles
18Feb: Comité de seguimiento financiero donde expusieron el caso del embargo de la UGPP, estado de tesorería y el informe de excedentes financieros
26Feb: Comité Distrital de Auditoría - CDA : Revisión, priorización y definición de temas a abordar en los CDA durante la vigencia 2021</t>
  </si>
  <si>
    <t>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
Se cumplió con la misma información de la evaluación del sistema de control interno contable, informe qiue fue entregado al director general y Subdirectora Financiera el 26Feb (202111200010613)</t>
  </si>
  <si>
    <t>Ruta: \\10.216.160.201\control interno\2021\19.04 INF.  DE GESTIÓN\MNC\4to Trim 2020
Ruta: \\10.216.160.201\control interno\2021\19.04 INF.  DE GESTIÓN\CONTROL INTERNO CONTABLE\05. Informes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</si>
  <si>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</si>
  <si>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El 18Feb se solicitó a la DGC la relación de los contratos de obra de 2010 a 2020, para lograr determinar si existe alguna obra inconclusa. Debe dar respuesta el 26Feb, pero no dieron respuesta y se corrió la fecha hasta el 02Mar, pero tampoco dieron respuesta</t>
  </si>
  <si>
    <t>VERSIÓN 2 - FUSS REPORGRAMACIÓN POR MODIFICACIÓN PAA V2 DEL 24FEB2021</t>
  </si>
  <si>
    <t>Se modifica la programación por la V2 del PAA del 24Feb</t>
  </si>
  <si>
    <t>Del total de actividades del PAA al 28Feb2021 (206), deberían estar cumplidas 40</t>
  </si>
  <si>
    <t>Están finalizadas 40 de las 40 actividades; están vencidas 0</t>
  </si>
  <si>
    <t>Las 40 acciones cuando estén cumplidas, deberán sumar el 20,80% del total del plan = 100% (en valor absoluto)</t>
  </si>
  <si>
    <t>Las 40 actividades cumplidas suman = 20,80%</t>
  </si>
  <si>
    <r>
      <t xml:space="preserve">El avance total de las 40 actividades es de </t>
    </r>
    <r>
      <rPr>
        <sz val="11"/>
        <color theme="9"/>
        <rFont val="Arial"/>
        <family val="2"/>
      </rPr>
      <t>20,80%</t>
    </r>
    <r>
      <rPr>
        <sz val="11"/>
        <color theme="1"/>
        <rFont val="Arial"/>
        <family val="2"/>
      </rPr>
      <t xml:space="preserve"> +</t>
    </r>
    <r>
      <rPr>
        <sz val="11"/>
        <color theme="6" tint="-0.249977111117893"/>
        <rFont val="Arial"/>
        <family val="2"/>
      </rPr>
      <t xml:space="preserve"> 0%</t>
    </r>
    <r>
      <rPr>
        <sz val="11"/>
        <color theme="1"/>
        <rFont val="Arial"/>
        <family val="2"/>
      </rPr>
      <t xml:space="preserve"> = 20,80% </t>
    </r>
  </si>
  <si>
    <t>Existen otras 18 actividades que se iniciaron entre enero y febrero, pero su fecha de finalización es posterior al 28Feb2021, siendo que de estas 18, no se ha finalizado ninguna.</t>
  </si>
  <si>
    <t>El avance de estas 18 actividades al 28Feb2021 fue del 1,68% (Aporte al avance del PAA, total de la columna AB)</t>
  </si>
  <si>
    <r>
      <t>El avance Real total del PAA al 28Feb2021 es del</t>
    </r>
    <r>
      <rPr>
        <sz val="11"/>
        <color theme="9"/>
        <rFont val="Arial"/>
        <family val="2"/>
      </rPr>
      <t xml:space="preserve"> 20,80% </t>
    </r>
    <r>
      <rPr>
        <sz val="11"/>
        <color theme="1"/>
        <rFont val="Arial"/>
        <family val="2"/>
      </rPr>
      <t>+</t>
    </r>
    <r>
      <rPr>
        <sz val="11"/>
        <color theme="6" tint="-0.249977111117893"/>
        <rFont val="Arial"/>
        <family val="2"/>
      </rPr>
      <t xml:space="preserve"> 0%</t>
    </r>
    <r>
      <rPr>
        <sz val="11"/>
        <color theme="1"/>
        <rFont val="Arial"/>
        <family val="2"/>
      </rPr>
      <t xml:space="preserve"> </t>
    </r>
    <r>
      <rPr>
        <sz val="11"/>
        <rFont val="Arial"/>
        <family val="2"/>
      </rPr>
      <t>+</t>
    </r>
    <r>
      <rPr>
        <sz val="11"/>
        <color rgb="FFFF0000"/>
        <rFont val="Arial"/>
        <family val="2"/>
      </rPr>
      <t xml:space="preserve"> 1,68% </t>
    </r>
    <r>
      <rPr>
        <sz val="11"/>
        <color theme="1"/>
        <rFont val="Arial"/>
        <family val="2"/>
      </rPr>
      <t>= 22,48%</t>
    </r>
  </si>
  <si>
    <t>El avance que deberían llevar esas 18 actividades que están en ejecución, corresponde al tiempo transcurrido desde la fecha de inicio de cada una, hasta el 28Feb2021, posteriormente ese tiempo se divide entre el tiempo total de cada actividad. Después, ese porcentaje se multiplicó por el valor de la actividad ponderada. Este valor correspondió al 1,68% del total del PAA (Es el total de lo que debería llevar a la fecha - columna AH) + el % que debería llevar la actividad que ya finalizó (en este periodo ninguna).</t>
  </si>
  <si>
    <r>
      <t>Así las cosas, el avance total del PAA al 28Feb2021 debería ser del</t>
    </r>
    <r>
      <rPr>
        <sz val="11"/>
        <color rgb="FF00B050"/>
        <rFont val="Arial"/>
        <family val="2"/>
      </rPr>
      <t xml:space="preserve"> 20,80% </t>
    </r>
    <r>
      <rPr>
        <sz val="11"/>
        <color theme="1"/>
        <rFont val="Arial"/>
        <family val="2"/>
      </rPr>
      <t>+</t>
    </r>
    <r>
      <rPr>
        <sz val="11"/>
        <color rgb="FF0070C0"/>
        <rFont val="Arial"/>
        <family val="2"/>
      </rPr>
      <t xml:space="preserve"> 1,68%</t>
    </r>
    <r>
      <rPr>
        <sz val="11"/>
        <color theme="1"/>
        <rFont val="Arial"/>
        <family val="2"/>
      </rPr>
      <t xml:space="preserve"> = 22,48</t>
    </r>
    <r>
      <rPr>
        <sz val="11"/>
        <rFont val="Arial"/>
        <family val="2"/>
      </rPr>
      <t>%</t>
    </r>
  </si>
  <si>
    <r>
      <t>La eficacia del PAA es del (Avance Real)</t>
    </r>
    <r>
      <rPr>
        <b/>
        <sz val="11"/>
        <color theme="1"/>
        <rFont val="Arial"/>
        <family val="2"/>
      </rPr>
      <t xml:space="preserve"> 22,48%</t>
    </r>
    <r>
      <rPr>
        <sz val="11"/>
        <color theme="1"/>
        <rFont val="Arial"/>
        <family val="2"/>
      </rPr>
      <t xml:space="preserve"> / (lo que debería llevar)</t>
    </r>
    <r>
      <rPr>
        <b/>
        <sz val="11"/>
        <color theme="1"/>
        <rFont val="Arial"/>
        <family val="2"/>
      </rPr>
      <t xml:space="preserve"> 22,48%</t>
    </r>
    <r>
      <rPr>
        <sz val="11"/>
        <color theme="1"/>
        <rFont val="Arial"/>
        <family val="2"/>
      </rPr>
      <t xml:space="preserve"> =</t>
    </r>
    <r>
      <rPr>
        <b/>
        <sz val="11"/>
        <color theme="1"/>
        <rFont val="Arial"/>
        <family val="2"/>
      </rPr>
      <t xml:space="preserve"> 100%</t>
    </r>
  </si>
  <si>
    <t>(Varios elementos)</t>
  </si>
  <si>
    <t>formulado</t>
  </si>
  <si>
    <t>Avance</t>
  </si>
  <si>
    <t>Dato fijo de cada mes</t>
  </si>
  <si>
    <t>Servicio al ciudadano - atención de PQRS 01jul2002 al 30jun2021</t>
  </si>
  <si>
    <t>Ene</t>
  </si>
  <si>
    <t>12-Ene
01-Jul</t>
  </si>
  <si>
    <t>12-Mar
28-Jul</t>
  </si>
  <si>
    <t>Gestión del Talento Humano - cobro incapacidades</t>
  </si>
  <si>
    <t>03-May
01-Oct</t>
  </si>
  <si>
    <t>30-Jun
16-Nov</t>
  </si>
  <si>
    <t>09-Abr
10-Jun</t>
  </si>
  <si>
    <t>20-Abr
30-Sep</t>
  </si>
  <si>
    <t>26-Mar
03-May</t>
  </si>
  <si>
    <t>08-Abr
30-Jun</t>
  </si>
  <si>
    <t>21-Abr
19-Jul</t>
  </si>
  <si>
    <t>30-Abr
16-Nov</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</si>
  <si>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</si>
  <si>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</si>
  <si>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enviará el 11Mar a la espera de los comentarios sobre la propuesta del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</si>
</sst>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dd\-mmm"/>
    <numFmt numFmtId="171" formatCode="0.000%"/>
  </numFmts>
  <fonts count="4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11"/>
      <color rgb="FFFF0000"/>
      <name val="Calibri"/>
      <family val="2"/>
      <scheme val="minor"/>
    </font>
    <font>
      <sz val="8"/>
      <name val="Calibri"/>
      <family val="2"/>
      <scheme val="minor"/>
    </font>
    <font>
      <sz val="9"/>
      <color theme="1"/>
      <name val="Arial Narrow"/>
      <family val="2"/>
    </font>
    <font>
      <sz val="11"/>
      <color theme="6" tint="-0.249977111117893"/>
      <name val="Arial"/>
      <family val="2"/>
    </font>
    <font>
      <sz val="11"/>
      <color rgb="FF0070C0"/>
      <name val="Arial"/>
      <family val="2"/>
    </font>
    <font>
      <b/>
      <sz val="9"/>
      <color indexed="81"/>
      <name val="Tahoma"/>
      <family val="2"/>
    </font>
    <font>
      <b/>
      <sz val="9"/>
      <color indexed="81"/>
      <name val="Tahoma"/>
      <charset val="1"/>
    </font>
    <font>
      <sz val="9"/>
      <color indexed="81"/>
      <name val="Tahoma"/>
      <family val="2"/>
    </font>
    <font>
      <sz val="9"/>
      <color indexed="81"/>
      <name val="Tahoma"/>
      <charset val="1"/>
    </font>
    <font>
      <b/>
      <sz val="9"/>
      <color rgb="FFFFFF00"/>
      <name val="Arial"/>
      <family val="2"/>
    </font>
    <font>
      <b/>
      <sz val="10"/>
      <color rgb="FF000000"/>
      <name val="Arial"/>
      <family val="2"/>
    </font>
  </fonts>
  <fills count="42">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47CFFF"/>
        <bgColor indexed="64"/>
      </patternFill>
    </fill>
    <fill>
      <patternFill patternType="solid">
        <fgColor rgb="FFB7EC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theme="6" tint="0.79998168889431442"/>
        <bgColor indexed="64"/>
      </patternFill>
    </fill>
    <fill>
      <patternFill patternType="solid">
        <fgColor rgb="FFFF9999"/>
        <bgColor indexed="64"/>
      </patternFill>
    </fill>
    <fill>
      <patternFill patternType="solid">
        <fgColor rgb="FFFFCC99"/>
        <bgColor indexed="64"/>
      </patternFill>
    </fill>
    <fill>
      <patternFill patternType="solid">
        <fgColor rgb="FFCCFF99"/>
        <bgColor indexed="64"/>
      </patternFill>
    </fill>
    <fill>
      <patternFill patternType="solid">
        <fgColor rgb="FF99FFCC"/>
        <bgColor indexed="64"/>
      </patternFill>
    </fill>
    <fill>
      <patternFill patternType="solid">
        <fgColor rgb="FF66FFFF"/>
        <bgColor indexed="64"/>
      </patternFill>
    </fill>
    <fill>
      <patternFill patternType="solid">
        <fgColor rgb="FF66CCFF"/>
        <bgColor indexed="64"/>
      </patternFill>
    </fill>
    <fill>
      <patternFill patternType="solid">
        <fgColor rgb="FFCCCCFF"/>
        <bgColor indexed="64"/>
      </patternFill>
    </fill>
    <fill>
      <patternFill patternType="solid">
        <fgColor rgb="FF99FF99"/>
        <bgColor indexed="64"/>
      </patternFill>
    </fill>
    <fill>
      <patternFill patternType="solid">
        <fgColor rgb="FF99CCFF"/>
        <bgColor indexed="64"/>
      </patternFill>
    </fill>
    <fill>
      <patternFill patternType="solid">
        <fgColor rgb="FFFF99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style="dotted">
        <color rgb="FFFFFFFF"/>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s>
  <cellStyleXfs count="84">
    <xf numFmtId="0" fontId="0" fillId="0" borderId="0"/>
    <xf numFmtId="9" fontId="8" fillId="0" borderId="0" applyFont="0" applyFill="0" applyBorder="0" applyAlignment="0" applyProtection="0"/>
    <xf numFmtId="0" fontId="10" fillId="0" borderId="0"/>
    <xf numFmtId="9" fontId="10" fillId="0" borderId="0" applyFont="0" applyFill="0" applyBorder="0" applyAlignment="0" applyProtection="0"/>
    <xf numFmtId="0" fontId="13"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0" fontId="8" fillId="0" borderId="0"/>
    <xf numFmtId="0" fontId="14" fillId="0" borderId="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xf numFmtId="0" fontId="8" fillId="0" borderId="0"/>
    <xf numFmtId="0" fontId="14" fillId="0" borderId="0"/>
    <xf numFmtId="0" fontId="8" fillId="0" borderId="0"/>
    <xf numFmtId="0" fontId="8"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8" fillId="0" borderId="0"/>
    <xf numFmtId="0" fontId="8" fillId="0" borderId="0"/>
    <xf numFmtId="164" fontId="8" fillId="0" borderId="0" applyFont="0" applyFill="0" applyBorder="0" applyAlignment="0" applyProtection="0"/>
    <xf numFmtId="0" fontId="8" fillId="0" borderId="0"/>
    <xf numFmtId="0" fontId="14" fillId="0" borderId="0"/>
    <xf numFmtId="0" fontId="8" fillId="0" borderId="0"/>
    <xf numFmtId="165"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8" fillId="0" borderId="0"/>
    <xf numFmtId="0" fontId="8" fillId="0" borderId="0"/>
    <xf numFmtId="0" fontId="14" fillId="0" borderId="0"/>
    <xf numFmtId="0" fontId="8" fillId="0" borderId="0"/>
    <xf numFmtId="9" fontId="14" fillId="0" borderId="0" applyFont="0" applyFill="0" applyBorder="0" applyAlignment="0" applyProtection="0"/>
    <xf numFmtId="9" fontId="14"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43" fontId="8"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cellStyleXfs>
  <cellXfs count="308">
    <xf numFmtId="0" fontId="0" fillId="0" borderId="0" xfId="0"/>
    <xf numFmtId="0" fontId="15" fillId="0" borderId="0" xfId="0" applyFont="1"/>
    <xf numFmtId="0" fontId="16" fillId="0" borderId="0" xfId="0" applyFont="1"/>
    <xf numFmtId="0" fontId="11" fillId="0" borderId="0" xfId="0" applyFont="1"/>
    <xf numFmtId="0" fontId="18" fillId="0" borderId="1" xfId="0" applyFont="1" applyBorder="1" applyAlignment="1">
      <alignment horizontal="left" vertical="center" indent="1"/>
    </xf>
    <xf numFmtId="0" fontId="9" fillId="0" borderId="0" xfId="0" applyFont="1"/>
    <xf numFmtId="0" fontId="0" fillId="0" borderId="0" xfId="0" applyAlignment="1">
      <alignment wrapText="1"/>
    </xf>
    <xf numFmtId="9" fontId="0" fillId="0" borderId="0" xfId="0" applyNumberFormat="1"/>
    <xf numFmtId="0" fontId="20" fillId="4" borderId="1" xfId="13" applyFont="1" applyFill="1" applyBorder="1" applyAlignment="1">
      <alignment horizontal="center" vertical="center"/>
    </xf>
    <xf numFmtId="0" fontId="21" fillId="5" borderId="1" xfId="13" applyFont="1" applyFill="1" applyBorder="1" applyAlignment="1">
      <alignment vertical="center" wrapText="1"/>
    </xf>
    <xf numFmtId="0" fontId="21" fillId="6" borderId="1" xfId="13" applyFont="1" applyFill="1" applyBorder="1" applyAlignment="1">
      <alignment horizontal="left" vertical="center" wrapText="1"/>
    </xf>
    <xf numFmtId="0" fontId="21" fillId="6" borderId="1" xfId="13" applyFont="1" applyFill="1" applyBorder="1" applyAlignment="1">
      <alignment horizontal="left" vertical="center" wrapText="1" readingOrder="1"/>
    </xf>
    <xf numFmtId="0" fontId="22" fillId="6" borderId="1" xfId="7" applyFont="1" applyFill="1" applyBorder="1" applyAlignment="1">
      <alignment vertical="center" wrapText="1"/>
    </xf>
    <xf numFmtId="0" fontId="21" fillId="7" borderId="1" xfId="13" applyFont="1" applyFill="1" applyBorder="1" applyAlignment="1">
      <alignment vertical="center" wrapText="1"/>
    </xf>
    <xf numFmtId="0" fontId="21" fillId="8" borderId="1" xfId="13" applyFont="1" applyFill="1" applyBorder="1" applyAlignment="1">
      <alignment horizontal="left" vertical="center" wrapText="1" readingOrder="1"/>
    </xf>
    <xf numFmtId="0" fontId="22" fillId="8" borderId="1" xfId="7" applyFont="1" applyFill="1" applyBorder="1" applyAlignment="1">
      <alignment vertical="center"/>
    </xf>
    <xf numFmtId="0" fontId="22" fillId="8" borderId="1" xfId="7" applyFont="1" applyFill="1" applyBorder="1" applyAlignment="1">
      <alignment vertical="center" wrapText="1"/>
    </xf>
    <xf numFmtId="0" fontId="21" fillId="3" borderId="1" xfId="13" applyFont="1" applyFill="1" applyBorder="1" applyAlignment="1">
      <alignment vertical="center" wrapText="1"/>
    </xf>
    <xf numFmtId="0" fontId="22" fillId="2" borderId="1" xfId="7" applyFont="1" applyFill="1" applyBorder="1" applyAlignment="1">
      <alignment vertical="center"/>
    </xf>
    <xf numFmtId="0" fontId="21" fillId="2" borderId="1" xfId="13" applyFont="1" applyFill="1" applyBorder="1" applyAlignment="1">
      <alignment horizontal="left" vertical="center" wrapText="1" readingOrder="1"/>
    </xf>
    <xf numFmtId="0" fontId="22" fillId="2" borderId="1" xfId="7" applyFont="1" applyFill="1" applyBorder="1" applyAlignment="1">
      <alignment vertical="center" wrapText="1"/>
    </xf>
    <xf numFmtId="0" fontId="23" fillId="0" borderId="1" xfId="0" applyFont="1" applyBorder="1" applyAlignment="1">
      <alignment vertical="center" wrapText="1"/>
    </xf>
    <xf numFmtId="0" fontId="15" fillId="0" borderId="0" xfId="0" applyFont="1" applyFill="1"/>
    <xf numFmtId="0" fontId="15" fillId="0" borderId="0" xfId="0" applyFont="1" applyBorder="1"/>
    <xf numFmtId="0" fontId="25" fillId="0" borderId="9" xfId="0" applyFont="1" applyBorder="1"/>
    <xf numFmtId="0" fontId="0" fillId="0" borderId="0" xfId="0" applyFill="1"/>
    <xf numFmtId="0" fontId="9"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10" fontId="15" fillId="0" borderId="0" xfId="1" applyNumberFormat="1" applyFont="1"/>
    <xf numFmtId="0" fontId="0" fillId="0" borderId="0" xfId="0" pivotButton="1"/>
    <xf numFmtId="0" fontId="0" fillId="0" borderId="0" xfId="0" applyAlignment="1">
      <alignment horizontal="left"/>
    </xf>
    <xf numFmtId="0" fontId="9" fillId="18" borderId="13" xfId="0" applyFont="1" applyFill="1" applyBorder="1" applyAlignment="1">
      <alignment horizontal="left"/>
    </xf>
    <xf numFmtId="0" fontId="0" fillId="0" borderId="0" xfId="0" applyNumberFormat="1"/>
    <xf numFmtId="10" fontId="0" fillId="0" borderId="0" xfId="0" applyNumberFormat="1"/>
    <xf numFmtId="10" fontId="9" fillId="18" borderId="13" xfId="1" applyNumberFormat="1" applyFont="1" applyFill="1" applyBorder="1"/>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0" fontId="24" fillId="17"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protection locked="0"/>
    </xf>
    <xf numFmtId="0" fontId="9" fillId="18" borderId="14" xfId="0" applyFont="1" applyFill="1" applyBorder="1"/>
    <xf numFmtId="0" fontId="17" fillId="19" borderId="16" xfId="0" applyFont="1" applyFill="1" applyBorder="1" applyAlignment="1">
      <alignment horizontal="center" wrapText="1" readingOrder="1"/>
    </xf>
    <xf numFmtId="16" fontId="17" fillId="19" borderId="17" xfId="0" applyNumberFormat="1" applyFont="1" applyFill="1" applyBorder="1" applyAlignment="1">
      <alignment horizontal="center" wrapText="1" readingOrder="1"/>
    </xf>
    <xf numFmtId="0" fontId="17" fillId="20" borderId="15" xfId="0" applyFont="1" applyFill="1" applyBorder="1" applyAlignment="1">
      <alignment horizontal="center" wrapText="1" readingOrder="1"/>
    </xf>
    <xf numFmtId="10" fontId="17" fillId="20" borderId="15" xfId="0" applyNumberFormat="1" applyFont="1" applyFill="1" applyBorder="1" applyAlignment="1">
      <alignment horizontal="center" wrapText="1" readingOrder="1"/>
    </xf>
    <xf numFmtId="10" fontId="11" fillId="0" borderId="0" xfId="1" applyNumberFormat="1" applyFont="1"/>
    <xf numFmtId="0" fontId="15" fillId="0" borderId="0" xfId="0" applyFont="1" applyBorder="1" applyAlignment="1">
      <alignment vertical="center"/>
    </xf>
    <xf numFmtId="9" fontId="15" fillId="0" borderId="0" xfId="0" applyNumberFormat="1" applyFont="1"/>
    <xf numFmtId="0" fontId="13" fillId="0" borderId="0" xfId="0" applyFont="1"/>
    <xf numFmtId="0" fontId="28" fillId="0" borderId="0" xfId="0" applyFont="1"/>
    <xf numFmtId="0" fontId="17" fillId="11" borderId="1" xfId="2" applyFont="1" applyFill="1" applyBorder="1" applyAlignment="1">
      <alignment vertical="center" wrapText="1"/>
    </xf>
    <xf numFmtId="0" fontId="17" fillId="11" borderId="1" xfId="2" applyFont="1" applyFill="1" applyBorder="1" applyAlignment="1">
      <alignment horizontal="center" vertical="center" wrapText="1"/>
    </xf>
    <xf numFmtId="0" fontId="17" fillId="10" borderId="1" xfId="2" applyFont="1" applyFill="1" applyBorder="1" applyAlignment="1">
      <alignment horizontal="center" vertical="center"/>
    </xf>
    <xf numFmtId="0" fontId="17" fillId="9" borderId="1" xfId="2" applyFont="1" applyFill="1" applyBorder="1" applyAlignment="1">
      <alignment horizontal="center" vertical="center" wrapText="1"/>
    </xf>
    <xf numFmtId="0" fontId="17" fillId="12" borderId="1" xfId="2"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167" fontId="0" fillId="0" borderId="0" xfId="0" applyNumberFormat="1"/>
    <xf numFmtId="10" fontId="11" fillId="0" borderId="0" xfId="1" applyNumberFormat="1" applyFont="1" applyFill="1"/>
    <xf numFmtId="0" fontId="15" fillId="0" borderId="0" xfId="0" applyFont="1" applyFill="1" applyBorder="1"/>
    <xf numFmtId="10" fontId="0" fillId="0" borderId="0" xfId="1" applyNumberFormat="1" applyFont="1" applyFill="1"/>
    <xf numFmtId="10" fontId="0" fillId="0" borderId="0" xfId="0" applyNumberFormat="1" applyFill="1"/>
    <xf numFmtId="14" fontId="11" fillId="0" borderId="1" xfId="0" applyNumberFormat="1" applyFont="1" applyFill="1" applyBorder="1" applyAlignment="1" applyProtection="1">
      <alignment horizontal="center" vertical="center" wrapText="1"/>
      <protection locked="0"/>
    </xf>
    <xf numFmtId="14" fontId="30" fillId="0" borderId="0" xfId="0" applyNumberFormat="1" applyFont="1"/>
    <xf numFmtId="0" fontId="0" fillId="0" borderId="0" xfId="0" applyFont="1"/>
    <xf numFmtId="10" fontId="11" fillId="0" borderId="1" xfId="1" applyNumberFormat="1" applyFont="1" applyFill="1" applyBorder="1" applyAlignment="1" applyProtection="1">
      <alignment horizontal="center" vertical="center"/>
    </xf>
    <xf numFmtId="0" fontId="15" fillId="0" borderId="0" xfId="0" applyFont="1" applyAlignment="1">
      <alignment wrapText="1"/>
    </xf>
    <xf numFmtId="0" fontId="11" fillId="0" borderId="1"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9" fontId="11" fillId="0" borderId="0" xfId="1" applyFont="1"/>
    <xf numFmtId="10" fontId="15" fillId="0" borderId="0" xfId="1" applyNumberFormat="1" applyFont="1" applyAlignment="1">
      <alignment vertical="center"/>
    </xf>
    <xf numFmtId="10" fontId="25" fillId="0" borderId="0" xfId="1" applyNumberFormat="1" applyFont="1"/>
    <xf numFmtId="0" fontId="15" fillId="0" borderId="0" xfId="0" applyFont="1" applyBorder="1" applyAlignment="1">
      <alignment vertical="center" wrapText="1"/>
    </xf>
    <xf numFmtId="168" fontId="0" fillId="0" borderId="0" xfId="0" applyNumberFormat="1"/>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13" borderId="1" xfId="0" applyFont="1" applyFill="1" applyBorder="1" applyAlignment="1" applyProtection="1">
      <alignment horizontal="center" vertical="center"/>
      <protection locked="0"/>
    </xf>
    <xf numFmtId="10" fontId="27" fillId="0" borderId="0" xfId="0" applyNumberFormat="1" applyFont="1" applyBorder="1"/>
    <xf numFmtId="0" fontId="0" fillId="0" borderId="0" xfId="0" applyAlignment="1">
      <alignment horizontal="center" vertical="center"/>
    </xf>
    <xf numFmtId="0" fontId="0" fillId="22" borderId="0" xfId="0" applyFill="1" applyAlignment="1">
      <alignment horizontal="left"/>
    </xf>
    <xf numFmtId="0" fontId="29" fillId="19" borderId="16" xfId="0" applyFont="1" applyFill="1" applyBorder="1" applyAlignment="1">
      <alignment horizontal="center" wrapText="1" readingOrder="1"/>
    </xf>
    <xf numFmtId="10" fontId="6" fillId="0" borderId="0" xfId="0" applyNumberFormat="1" applyFont="1"/>
    <xf numFmtId="10" fontId="0" fillId="0" borderId="0" xfId="0" applyNumberFormat="1"/>
    <xf numFmtId="0" fontId="17" fillId="19" borderId="16" xfId="0" applyFont="1" applyFill="1" applyBorder="1" applyAlignment="1">
      <alignment horizontal="center" wrapText="1" readingOrder="1"/>
    </xf>
    <xf numFmtId="0" fontId="0" fillId="0" borderId="0" xfId="0" applyAlignment="1"/>
    <xf numFmtId="0" fontId="0" fillId="0" borderId="0" xfId="0" applyAlignment="1">
      <alignment horizontal="center" vertical="center" wrapText="1"/>
    </xf>
    <xf numFmtId="0" fontId="0" fillId="0" borderId="0" xfId="0" pivotButton="1" applyAlignment="1">
      <alignment horizontal="center" vertical="center"/>
    </xf>
    <xf numFmtId="0" fontId="0" fillId="0" borderId="0" xfId="0" pivotButton="1" applyAlignment="1">
      <alignment horizontal="center" vertical="center" wrapText="1"/>
    </xf>
    <xf numFmtId="0" fontId="0" fillId="6" borderId="0" xfId="0" applyFill="1" applyAlignment="1">
      <alignment horizontal="center" vertical="center" wrapText="1"/>
    </xf>
    <xf numFmtId="10" fontId="0" fillId="6" borderId="0" xfId="0" applyNumberFormat="1" applyFill="1"/>
    <xf numFmtId="0" fontId="0" fillId="15" borderId="0" xfId="0" applyFill="1" applyAlignment="1">
      <alignment horizontal="center" vertical="center" wrapText="1"/>
    </xf>
    <xf numFmtId="10" fontId="0" fillId="15" borderId="0" xfId="0" applyNumberFormat="1" applyFill="1"/>
    <xf numFmtId="0" fontId="5" fillId="0" borderId="0" xfId="0" applyFont="1"/>
    <xf numFmtId="0" fontId="0" fillId="0" borderId="0" xfId="0" applyAlignment="1">
      <alignment vertical="center"/>
    </xf>
    <xf numFmtId="0" fontId="17" fillId="19" borderId="16" xfId="0" applyFont="1" applyFill="1" applyBorder="1" applyAlignment="1">
      <alignment horizontal="center" wrapText="1" readingOrder="1"/>
    </xf>
    <xf numFmtId="0" fontId="11" fillId="0" borderId="0" xfId="0" applyFont="1" applyAlignment="1">
      <alignment vertical="top"/>
    </xf>
    <xf numFmtId="0" fontId="11" fillId="0" borderId="0" xfId="0" applyFont="1" applyBorder="1"/>
    <xf numFmtId="10" fontId="15" fillId="0" borderId="0" xfId="1" applyNumberFormat="1" applyFont="1" applyBorder="1"/>
    <xf numFmtId="10" fontId="31" fillId="0" borderId="0" xfId="1" applyNumberFormat="1" applyFont="1" applyBorder="1"/>
    <xf numFmtId="10" fontId="34" fillId="0" borderId="0" xfId="1" applyNumberFormat="1" applyFont="1" applyBorder="1"/>
    <xf numFmtId="10" fontId="25" fillId="0" borderId="0" xfId="1" applyNumberFormat="1" applyFont="1" applyBorder="1"/>
    <xf numFmtId="10" fontId="15" fillId="0" borderId="0" xfId="0" applyNumberFormat="1" applyFont="1" applyBorder="1"/>
    <xf numFmtId="10" fontId="33" fillId="0" borderId="0" xfId="1" applyNumberFormat="1" applyFont="1" applyBorder="1"/>
    <xf numFmtId="10" fontId="35" fillId="0" borderId="0" xfId="1" applyNumberFormat="1" applyFont="1" applyBorder="1"/>
    <xf numFmtId="10" fontId="32" fillId="0" borderId="0" xfId="1" applyNumberFormat="1" applyFont="1" applyBorder="1"/>
    <xf numFmtId="10" fontId="26" fillId="21" borderId="12" xfId="1" applyNumberFormat="1" applyFont="1" applyFill="1" applyBorder="1" applyAlignment="1" applyProtection="1">
      <alignment horizontal="center" vertical="center"/>
    </xf>
    <xf numFmtId="0" fontId="11" fillId="0" borderId="0" xfId="0" applyFont="1" applyFill="1"/>
    <xf numFmtId="10" fontId="15" fillId="0" borderId="0" xfId="1" applyNumberFormat="1" applyFont="1" applyFill="1"/>
    <xf numFmtId="10" fontId="7" fillId="0" borderId="0" xfId="0" applyNumberFormat="1" applyFont="1" applyAlignment="1">
      <alignment vertical="center" wrapText="1"/>
    </xf>
    <xf numFmtId="0" fontId="15" fillId="0" borderId="0" xfId="0" applyFont="1" applyAlignment="1">
      <alignment vertical="center" wrapText="1"/>
    </xf>
    <xf numFmtId="10" fontId="15" fillId="0" borderId="0" xfId="0" applyNumberFormat="1" applyFont="1" applyFill="1"/>
    <xf numFmtId="0" fontId="15" fillId="0" borderId="0" xfId="0" applyFont="1" applyAlignment="1">
      <alignment vertical="top"/>
    </xf>
    <xf numFmtId="0" fontId="17" fillId="19" borderId="16" xfId="0" applyFont="1" applyFill="1" applyBorder="1" applyAlignment="1">
      <alignment horizontal="center" wrapText="1" readingOrder="1"/>
    </xf>
    <xf numFmtId="0" fontId="4" fillId="0" borderId="0" xfId="0" applyFont="1" applyAlignment="1">
      <alignment vertical="top"/>
    </xf>
    <xf numFmtId="0" fontId="4" fillId="0" borderId="0" xfId="0" applyFont="1"/>
    <xf numFmtId="0" fontId="29" fillId="0" borderId="0" xfId="0" applyFont="1" applyBorder="1" applyAlignment="1">
      <alignment vertical="center" wrapText="1"/>
    </xf>
    <xf numFmtId="0" fontId="15" fillId="0" borderId="9" xfId="0" applyFont="1" applyBorder="1"/>
    <xf numFmtId="0" fontId="17" fillId="11" borderId="11" xfId="2" applyFont="1" applyFill="1" applyBorder="1" applyAlignment="1">
      <alignment horizontal="center" vertical="top" wrapText="1"/>
    </xf>
    <xf numFmtId="0" fontId="17" fillId="11" borderId="11" xfId="2" applyFont="1" applyFill="1" applyBorder="1" applyAlignment="1">
      <alignment vertical="top" wrapText="1"/>
    </xf>
    <xf numFmtId="0" fontId="11" fillId="0" borderId="0" xfId="0" applyFont="1" applyFill="1" applyAlignment="1">
      <alignment vertical="top"/>
    </xf>
    <xf numFmtId="0" fontId="17" fillId="12" borderId="11" xfId="2" applyFont="1" applyFill="1" applyBorder="1" applyAlignment="1">
      <alignment horizontal="center" vertical="top" wrapText="1"/>
    </xf>
    <xf numFmtId="0" fontId="11" fillId="0" borderId="8" xfId="0" applyFont="1" applyBorder="1" applyAlignment="1" applyProtection="1">
      <alignment vertical="center" wrapText="1"/>
      <protection locked="0"/>
    </xf>
    <xf numFmtId="0" fontId="12" fillId="0" borderId="6" xfId="0" applyFont="1" applyBorder="1" applyAlignment="1">
      <alignment vertical="top"/>
    </xf>
    <xf numFmtId="0" fontId="15" fillId="0" borderId="0" xfId="0" applyFont="1" applyFill="1" applyAlignment="1">
      <alignment vertical="center" wrapText="1"/>
    </xf>
    <xf numFmtId="0" fontId="11" fillId="0" borderId="0" xfId="0" applyFont="1" applyAlignment="1">
      <alignment vertical="center" wrapText="1"/>
    </xf>
    <xf numFmtId="0" fontId="15" fillId="0" borderId="10" xfId="0" applyFont="1" applyBorder="1"/>
    <xf numFmtId="0" fontId="0" fillId="24" borderId="0" xfId="0" applyFill="1"/>
    <xf numFmtId="9" fontId="0" fillId="24" borderId="0" xfId="0" applyNumberFormat="1" applyFill="1"/>
    <xf numFmtId="0" fontId="0" fillId="21" borderId="0" xfId="0" applyFill="1"/>
    <xf numFmtId="9" fontId="0" fillId="21" borderId="0" xfId="0" applyNumberFormat="1" applyFill="1"/>
    <xf numFmtId="10" fontId="24" fillId="0" borderId="1" xfId="1" applyNumberFormat="1" applyFont="1" applyFill="1" applyBorder="1" applyAlignment="1" applyProtection="1">
      <alignment horizontal="center" vertical="center"/>
    </xf>
    <xf numFmtId="0" fontId="11" fillId="0" borderId="1" xfId="0" applyFont="1" applyBorder="1" applyAlignment="1" applyProtection="1">
      <alignment horizontal="justify" vertical="center" wrapText="1"/>
      <protection locked="0"/>
    </xf>
    <xf numFmtId="169" fontId="11"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justify" vertical="top" wrapText="1"/>
      <protection locked="0"/>
    </xf>
    <xf numFmtId="169" fontId="11" fillId="0" borderId="2"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0" fillId="0" borderId="0" xfId="0" applyFont="1" applyFill="1"/>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0" fontId="24" fillId="17"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11" fillId="25" borderId="1" xfId="0" applyFont="1" applyFill="1" applyBorder="1" applyAlignment="1" applyProtection="1">
      <alignment horizontal="justify" vertical="center" wrapText="1"/>
      <protection locked="0"/>
    </xf>
    <xf numFmtId="10" fontId="11" fillId="26" borderId="1" xfId="1" applyNumberFormat="1" applyFont="1" applyFill="1" applyBorder="1" applyAlignment="1" applyProtection="1">
      <alignment horizontal="center" vertical="center"/>
    </xf>
    <xf numFmtId="10" fontId="0" fillId="0" borderId="0" xfId="1" applyNumberFormat="1" applyFont="1"/>
    <xf numFmtId="0" fontId="38" fillId="0" borderId="0" xfId="0" applyFont="1" applyAlignment="1">
      <alignment horizontal="center" vertical="center" wrapText="1"/>
    </xf>
    <xf numFmtId="0" fontId="27" fillId="0" borderId="0" xfId="0" applyFont="1" applyBorder="1" applyAlignment="1">
      <alignment vertical="center" wrapText="1"/>
    </xf>
    <xf numFmtId="0" fontId="0" fillId="0" borderId="0" xfId="0" applyAlignment="1">
      <alignment vertical="center" wrapText="1"/>
    </xf>
    <xf numFmtId="10" fontId="11"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11" fillId="25"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31" fillId="0" borderId="0" xfId="0" applyFont="1" applyAlignment="1">
      <alignment horizontal="left" vertical="center"/>
    </xf>
    <xf numFmtId="0" fontId="33" fillId="0" borderId="0" xfId="0" applyFont="1" applyAlignment="1">
      <alignment horizontal="left" vertical="center"/>
    </xf>
    <xf numFmtId="0" fontId="3" fillId="0" borderId="0" xfId="0" applyFont="1" applyAlignment="1">
      <alignment horizontal="left" vertical="center"/>
    </xf>
    <xf numFmtId="0" fontId="39" fillId="0" borderId="0" xfId="0" applyFont="1" applyAlignment="1">
      <alignment horizontal="left" vertical="center"/>
    </xf>
    <xf numFmtId="10" fontId="3" fillId="0" borderId="0" xfId="1" applyNumberFormat="1" applyFont="1" applyBorder="1"/>
    <xf numFmtId="0" fontId="3" fillId="0" borderId="19" xfId="0" applyFont="1" applyBorder="1"/>
    <xf numFmtId="10" fontId="31" fillId="0" borderId="20" xfId="1" applyNumberFormat="1" applyFont="1" applyBorder="1"/>
    <xf numFmtId="10" fontId="28" fillId="0" borderId="20" xfId="1" applyNumberFormat="1" applyFont="1" applyBorder="1"/>
    <xf numFmtId="10" fontId="40" fillId="0" borderId="20" xfId="1" applyNumberFormat="1" applyFont="1" applyBorder="1"/>
    <xf numFmtId="10" fontId="25" fillId="0" borderId="2" xfId="1" applyNumberFormat="1" applyFont="1" applyBorder="1"/>
    <xf numFmtId="10" fontId="3" fillId="0" borderId="0" xfId="1" applyNumberFormat="1" applyFont="1"/>
    <xf numFmtId="10" fontId="40" fillId="0" borderId="0" xfId="1" applyNumberFormat="1" applyFont="1" applyBorder="1"/>
    <xf numFmtId="10" fontId="3" fillId="0" borderId="0" xfId="0" applyNumberFormat="1" applyFont="1"/>
    <xf numFmtId="0" fontId="0" fillId="0" borderId="7" xfId="0" applyBorder="1"/>
    <xf numFmtId="10" fontId="33" fillId="0" borderId="20" xfId="1" applyNumberFormat="1" applyFont="1" applyBorder="1"/>
    <xf numFmtId="0" fontId="3" fillId="0" borderId="0" xfId="0" applyFont="1" applyAlignment="1">
      <alignment vertical="top"/>
    </xf>
    <xf numFmtId="10" fontId="35" fillId="0" borderId="20" xfId="1" applyNumberFormat="1" applyFont="1" applyBorder="1"/>
    <xf numFmtId="0" fontId="3" fillId="0" borderId="0" xfId="0" applyFont="1" applyAlignment="1">
      <alignment vertical="top" wrapText="1"/>
    </xf>
    <xf numFmtId="10" fontId="34" fillId="0" borderId="20" xfId="1" applyNumberFormat="1" applyFont="1" applyBorder="1"/>
    <xf numFmtId="10" fontId="32" fillId="0" borderId="20" xfId="1" applyNumberFormat="1" applyFont="1" applyBorder="1"/>
    <xf numFmtId="0" fontId="3" fillId="0" borderId="20" xfId="0" applyFont="1" applyBorder="1"/>
    <xf numFmtId="0" fontId="3" fillId="26" borderId="21" xfId="0" applyFont="1" applyFill="1" applyBorder="1"/>
    <xf numFmtId="10" fontId="25" fillId="26" borderId="22" xfId="0" applyNumberFormat="1" applyFont="1" applyFill="1" applyBorder="1"/>
    <xf numFmtId="0" fontId="2" fillId="0" borderId="0" xfId="0" applyFont="1"/>
    <xf numFmtId="0" fontId="2" fillId="25" borderId="0" xfId="0" applyFont="1" applyFill="1" applyAlignment="1">
      <alignment wrapText="1"/>
    </xf>
    <xf numFmtId="10" fontId="27" fillId="0" borderId="0" xfId="0" applyNumberFormat="1" applyFont="1"/>
    <xf numFmtId="169" fontId="11" fillId="21" borderId="1" xfId="0" applyNumberFormat="1" applyFont="1" applyFill="1" applyBorder="1" applyAlignment="1" applyProtection="1">
      <alignment horizontal="center" vertical="center"/>
      <protection locked="0"/>
    </xf>
    <xf numFmtId="0" fontId="17" fillId="28" borderId="1" xfId="2" applyFont="1" applyFill="1" applyBorder="1" applyAlignment="1">
      <alignment horizontal="center" vertical="center" wrapText="1"/>
    </xf>
    <xf numFmtId="41" fontId="11" fillId="0" borderId="1" xfId="74" applyFont="1" applyFill="1" applyBorder="1"/>
    <xf numFmtId="41" fontId="11" fillId="0" borderId="1" xfId="74" applyFont="1" applyBorder="1"/>
    <xf numFmtId="10" fontId="11" fillId="0" borderId="1" xfId="1" applyNumberFormat="1" applyFont="1" applyBorder="1"/>
    <xf numFmtId="10" fontId="11" fillId="23" borderId="1" xfId="1" applyNumberFormat="1" applyFont="1" applyFill="1" applyBorder="1"/>
    <xf numFmtId="0" fontId="11" fillId="0" borderId="1" xfId="0" applyFont="1" applyBorder="1"/>
    <xf numFmtId="0" fontId="11" fillId="0" borderId="1" xfId="0" applyFont="1" applyFill="1" applyBorder="1"/>
    <xf numFmtId="0" fontId="11" fillId="26" borderId="1" xfId="0" applyFont="1" applyFill="1" applyBorder="1" applyAlignment="1">
      <alignment horizontal="center" vertical="center" wrapText="1"/>
    </xf>
    <xf numFmtId="169" fontId="12" fillId="29" borderId="1" xfId="0" applyNumberFormat="1" applyFont="1" applyFill="1" applyBorder="1" applyAlignment="1" applyProtection="1">
      <alignment horizontal="center" vertical="center"/>
      <protection locked="0"/>
    </xf>
    <xf numFmtId="0" fontId="11" fillId="17" borderId="1" xfId="0" applyFont="1" applyFill="1" applyBorder="1" applyAlignment="1">
      <alignment horizontal="center" vertical="center" wrapText="1"/>
    </xf>
    <xf numFmtId="10" fontId="11" fillId="0" borderId="0" xfId="0" applyNumberFormat="1" applyFont="1"/>
    <xf numFmtId="0" fontId="11" fillId="27" borderId="1" xfId="0" applyFont="1" applyFill="1" applyBorder="1" applyAlignment="1">
      <alignment horizontal="center" vertical="center" wrapText="1"/>
    </xf>
    <xf numFmtId="16" fontId="15" fillId="0" borderId="0" xfId="0" applyNumberFormat="1" applyFont="1"/>
    <xf numFmtId="9" fontId="1" fillId="0" borderId="0" xfId="0" applyNumberFormat="1" applyFont="1"/>
    <xf numFmtId="0" fontId="45" fillId="30" borderId="1" xfId="0" applyFont="1" applyFill="1" applyBorder="1" applyAlignment="1">
      <alignment horizontal="center" vertical="center" wrapText="1"/>
    </xf>
    <xf numFmtId="0" fontId="0" fillId="0" borderId="0" xfId="0" applyBorder="1"/>
    <xf numFmtId="170" fontId="11" fillId="0" borderId="0" xfId="0" applyNumberFormat="1" applyFont="1" applyFill="1" applyBorder="1" applyAlignment="1" applyProtection="1">
      <alignment horizontal="center" vertical="center"/>
      <protection locked="0"/>
    </xf>
    <xf numFmtId="0" fontId="0" fillId="32" borderId="0" xfId="0" applyFill="1" applyBorder="1"/>
    <xf numFmtId="0" fontId="0" fillId="33" borderId="0" xfId="0" applyFill="1" applyBorder="1"/>
    <xf numFmtId="0" fontId="0" fillId="0" borderId="0" xfId="0" applyFill="1" applyBorder="1"/>
    <xf numFmtId="0" fontId="0" fillId="34" borderId="0" xfId="0" applyFill="1" applyBorder="1"/>
    <xf numFmtId="0" fontId="0" fillId="35" borderId="0" xfId="0" applyFill="1" applyBorder="1"/>
    <xf numFmtId="0" fontId="0" fillId="36" borderId="0" xfId="0" applyFill="1" applyBorder="1"/>
    <xf numFmtId="0" fontId="0" fillId="37" borderId="0" xfId="0" applyFill="1" applyBorder="1"/>
    <xf numFmtId="0" fontId="0" fillId="38" borderId="0" xfId="0" applyFill="1" applyBorder="1"/>
    <xf numFmtId="0" fontId="0" fillId="0" borderId="0" xfId="0" applyAlignment="1">
      <alignment horizontal="center" vertical="center"/>
    </xf>
    <xf numFmtId="0" fontId="17" fillId="19" borderId="16" xfId="0" applyFont="1" applyFill="1" applyBorder="1" applyAlignment="1">
      <alignment horizontal="center" wrapText="1" readingOrder="1"/>
    </xf>
    <xf numFmtId="171" fontId="11" fillId="0" borderId="1" xfId="1" applyNumberFormat="1" applyFont="1" applyFill="1" applyBorder="1" applyAlignment="1" applyProtection="1">
      <alignment horizontal="center" vertical="center"/>
      <protection locked="0"/>
    </xf>
    <xf numFmtId="169" fontId="11" fillId="0" borderId="1" xfId="0" applyNumberFormat="1" applyFont="1" applyFill="1" applyBorder="1" applyAlignment="1" applyProtection="1">
      <alignment horizontal="center" vertical="center" wrapText="1"/>
      <protection locked="0"/>
    </xf>
    <xf numFmtId="10" fontId="11" fillId="26" borderId="1" xfId="1" applyNumberFormat="1" applyFont="1" applyFill="1" applyBorder="1" applyAlignment="1" applyProtection="1">
      <alignment horizontal="center" vertical="center"/>
      <protection locked="0"/>
    </xf>
    <xf numFmtId="171" fontId="11" fillId="0" borderId="1" xfId="0" applyNumberFormat="1" applyFont="1" applyFill="1" applyBorder="1" applyAlignment="1" applyProtection="1">
      <alignment horizontal="center" vertical="center"/>
      <protection locked="0"/>
    </xf>
    <xf numFmtId="171" fontId="26" fillId="21"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17" fillId="19" borderId="16" xfId="0" applyFont="1" applyFill="1" applyBorder="1" applyAlignment="1">
      <alignment horizontal="left" readingOrder="1"/>
    </xf>
    <xf numFmtId="0" fontId="46" fillId="31" borderId="24" xfId="2" applyFont="1" applyFill="1" applyBorder="1" applyAlignment="1">
      <alignment horizontal="center" vertical="center" wrapText="1"/>
    </xf>
    <xf numFmtId="169" fontId="11" fillId="0" borderId="27" xfId="0" applyNumberFormat="1" applyFont="1" applyFill="1" applyBorder="1" applyAlignment="1" applyProtection="1">
      <alignment horizontal="center" vertical="center"/>
      <protection locked="0"/>
    </xf>
    <xf numFmtId="170" fontId="11" fillId="0" borderId="30" xfId="0" applyNumberFormat="1" applyFont="1" applyFill="1" applyBorder="1" applyAlignment="1" applyProtection="1">
      <alignment horizontal="center" vertical="center"/>
      <protection locked="0"/>
    </xf>
    <xf numFmtId="170" fontId="11" fillId="0" borderId="27" xfId="0" applyNumberFormat="1" applyFont="1" applyFill="1" applyBorder="1" applyAlignment="1" applyProtection="1">
      <alignment horizontal="center" vertical="center"/>
      <protection locked="0"/>
    </xf>
    <xf numFmtId="170" fontId="0" fillId="0" borderId="30" xfId="0" applyNumberFormat="1" applyFill="1" applyBorder="1"/>
    <xf numFmtId="0" fontId="46" fillId="31" borderId="25" xfId="2" applyFont="1" applyFill="1" applyBorder="1" applyAlignment="1">
      <alignment horizontal="center" vertical="center" wrapText="1"/>
    </xf>
    <xf numFmtId="0" fontId="0" fillId="0" borderId="27" xfId="0" applyBorder="1"/>
    <xf numFmtId="0" fontId="0" fillId="0" borderId="30" xfId="0" applyBorder="1"/>
    <xf numFmtId="0" fontId="0" fillId="0" borderId="31" xfId="0" applyBorder="1"/>
    <xf numFmtId="0" fontId="0" fillId="0" borderId="23" xfId="0" applyBorder="1"/>
    <xf numFmtId="0" fontId="0" fillId="0" borderId="32" xfId="0" applyBorder="1"/>
    <xf numFmtId="0" fontId="0" fillId="0" borderId="23" xfId="0" applyFill="1" applyBorder="1"/>
    <xf numFmtId="0" fontId="46" fillId="31" borderId="33" xfId="2" applyFont="1" applyFill="1" applyBorder="1" applyAlignment="1">
      <alignment horizontal="center" vertical="center" wrapText="1"/>
    </xf>
    <xf numFmtId="0" fontId="0" fillId="16" borderId="0" xfId="0" applyFill="1" applyBorder="1"/>
    <xf numFmtId="0" fontId="0" fillId="39" borderId="0" xfId="0" applyFill="1" applyBorder="1"/>
    <xf numFmtId="0" fontId="0" fillId="40" borderId="0" xfId="0" applyFill="1" applyBorder="1"/>
    <xf numFmtId="0" fontId="0" fillId="41" borderId="0" xfId="0" applyFill="1" applyBorder="1"/>
    <xf numFmtId="0" fontId="0" fillId="32" borderId="23" xfId="0" applyFill="1" applyBorder="1"/>
    <xf numFmtId="0" fontId="11" fillId="21" borderId="1" xfId="0" applyFont="1" applyFill="1" applyBorder="1" applyAlignment="1" applyProtection="1">
      <alignment horizontal="justify" vertical="center" wrapText="1"/>
      <protection locked="0"/>
    </xf>
    <xf numFmtId="10" fontId="0" fillId="0" borderId="0" xfId="0" applyNumberFormat="1" applyAlignment="1">
      <alignment horizontal="center" vertical="center"/>
    </xf>
    <xf numFmtId="0" fontId="17" fillId="19" borderId="16" xfId="0" applyFont="1" applyFill="1" applyBorder="1" applyAlignment="1">
      <alignment horizontal="center" wrapText="1" readingOrder="1"/>
    </xf>
    <xf numFmtId="0" fontId="17" fillId="19" borderId="17" xfId="0" applyFont="1" applyFill="1" applyBorder="1" applyAlignment="1">
      <alignment horizontal="center" wrapText="1" readingOrder="1"/>
    </xf>
    <xf numFmtId="0" fontId="29" fillId="19" borderId="18" xfId="0" applyFont="1" applyFill="1" applyBorder="1" applyAlignment="1">
      <alignment horizontal="center" wrapText="1" readingOrder="1"/>
    </xf>
    <xf numFmtId="0" fontId="29" fillId="19" borderId="0" xfId="0" applyFont="1" applyFill="1" applyBorder="1" applyAlignment="1">
      <alignment horizontal="center" wrapText="1" readingOrder="1"/>
    </xf>
    <xf numFmtId="0" fontId="36" fillId="17" borderId="0" xfId="0" applyFont="1" applyFill="1" applyAlignment="1">
      <alignment horizontal="center" vertical="center" wrapText="1"/>
    </xf>
    <xf numFmtId="0" fontId="34" fillId="0" borderId="0" xfId="0" applyFont="1" applyAlignment="1">
      <alignment vertical="center" wrapText="1"/>
    </xf>
    <xf numFmtId="0" fontId="0" fillId="0" borderId="0" xfId="0" applyAlignment="1">
      <alignment vertical="center" wrapText="1"/>
    </xf>
    <xf numFmtId="0" fontId="40" fillId="0" borderId="0" xfId="0" applyFont="1" applyAlignment="1">
      <alignment vertical="center" wrapText="1"/>
    </xf>
    <xf numFmtId="0" fontId="32" fillId="0" borderId="0" xfId="0" applyFont="1" applyAlignment="1">
      <alignment horizontal="left" vertical="top" wrapText="1"/>
    </xf>
    <xf numFmtId="0" fontId="11" fillId="0" borderId="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7" xfId="0" applyFont="1" applyBorder="1" applyAlignment="1">
      <alignment horizontal="left" vertical="top"/>
    </xf>
    <xf numFmtId="1" fontId="11" fillId="0" borderId="3" xfId="0" applyNumberFormat="1" applyFont="1" applyBorder="1" applyAlignment="1" applyProtection="1">
      <alignment horizontal="center" vertical="center" wrapText="1"/>
      <protection locked="0"/>
    </xf>
    <xf numFmtId="1" fontId="11" fillId="0" borderId="9" xfId="0" applyNumberFormat="1" applyFont="1" applyBorder="1" applyAlignment="1" applyProtection="1">
      <alignment horizontal="center" vertical="center" wrapText="1"/>
      <protection locked="0"/>
    </xf>
    <xf numFmtId="1" fontId="11" fillId="0" borderId="8" xfId="0" applyNumberFormat="1"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5"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indent="3"/>
      <protection locked="0"/>
    </xf>
    <xf numFmtId="0" fontId="11" fillId="0" borderId="9" xfId="0" applyFont="1" applyBorder="1" applyAlignment="1" applyProtection="1">
      <alignment horizontal="left" vertical="center" indent="3"/>
      <protection locked="0"/>
    </xf>
    <xf numFmtId="0" fontId="11" fillId="0" borderId="4"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9" fillId="13" borderId="3"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0" fontId="16" fillId="0" borderId="1" xfId="0" applyFont="1" applyBorder="1" applyAlignment="1">
      <alignment horizontal="center"/>
    </xf>
    <xf numFmtId="0" fontId="26" fillId="0" borderId="1" xfId="0" applyFont="1" applyBorder="1" applyAlignment="1">
      <alignment horizontal="center" vertical="center" wrapText="1"/>
    </xf>
    <xf numFmtId="0" fontId="12" fillId="0" borderId="5" xfId="0" applyFont="1" applyBorder="1" applyAlignment="1">
      <alignment horizontal="left" vertical="top"/>
    </xf>
    <xf numFmtId="0" fontId="12" fillId="0" borderId="10" xfId="0" applyFont="1" applyBorder="1" applyAlignment="1">
      <alignment horizontal="left" vertical="top"/>
    </xf>
    <xf numFmtId="0" fontId="12" fillId="0" borderId="5" xfId="0" applyFont="1" applyBorder="1" applyAlignment="1">
      <alignment vertical="center" wrapText="1"/>
    </xf>
    <xf numFmtId="0" fontId="12" fillId="0" borderId="10" xfId="0" applyFont="1" applyBorder="1" applyAlignment="1">
      <alignment vertical="center" wrapText="1"/>
    </xf>
    <xf numFmtId="0" fontId="11" fillId="0" borderId="4"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14" fontId="18" fillId="0" borderId="1" xfId="0" applyNumberFormat="1" applyFont="1" applyBorder="1" applyAlignment="1">
      <alignment horizontal="center" vertical="center" wrapText="1"/>
    </xf>
    <xf numFmtId="0" fontId="12" fillId="0" borderId="6" xfId="0" applyFont="1" applyBorder="1" applyAlignment="1">
      <alignment vertical="center" wrapText="1"/>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2" fillId="0" borderId="6" xfId="0" applyFont="1" applyBorder="1" applyAlignment="1">
      <alignment horizontal="left" vertical="top"/>
    </xf>
    <xf numFmtId="0" fontId="17" fillId="11" borderId="11" xfId="2" applyFont="1" applyFill="1" applyBorder="1" applyAlignment="1">
      <alignment horizontal="center" vertical="top"/>
    </xf>
    <xf numFmtId="0" fontId="17" fillId="10" borderId="11" xfId="2" applyFont="1" applyFill="1" applyBorder="1" applyAlignment="1">
      <alignment horizontal="center" vertical="top"/>
    </xf>
    <xf numFmtId="0" fontId="17" fillId="9" borderId="11" xfId="2" applyFont="1" applyFill="1" applyBorder="1" applyAlignment="1">
      <alignment horizontal="center" vertical="top"/>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26" xfId="0" applyFont="1" applyFill="1" applyBorder="1" applyAlignment="1" applyProtection="1">
      <alignment vertical="center" wrapText="1"/>
      <protection locked="0"/>
    </xf>
    <xf numFmtId="0" fontId="0" fillId="0" borderId="28" xfId="0" applyFill="1" applyBorder="1" applyAlignment="1">
      <alignment vertical="center" wrapText="1"/>
    </xf>
    <xf numFmtId="0" fontId="0" fillId="0" borderId="29" xfId="0" applyFill="1" applyBorder="1" applyAlignment="1">
      <alignment vertical="center" wrapText="1"/>
    </xf>
    <xf numFmtId="170" fontId="11" fillId="0" borderId="27" xfId="0" applyNumberFormat="1" applyFont="1" applyFill="1" applyBorder="1" applyAlignment="1" applyProtection="1">
      <alignment horizontal="center" vertical="center" wrapText="1"/>
      <protection locked="0"/>
    </xf>
    <xf numFmtId="0" fontId="0" fillId="0" borderId="0" xfId="0" applyFill="1" applyBorder="1" applyAlignment="1">
      <alignment wrapText="1"/>
    </xf>
    <xf numFmtId="0" fontId="0" fillId="0" borderId="30" xfId="0" applyFill="1" applyBorder="1" applyAlignment="1">
      <alignment wrapText="1"/>
    </xf>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566">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patternType="solid">
          <bgColor theme="6" tint="0.39997558519241921"/>
        </patternFill>
      </fill>
    </dxf>
    <dxf>
      <fill>
        <patternFill patternType="solid">
          <bgColor theme="6" tint="0.39997558519241921"/>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top" readingOrder="0"/>
    </dxf>
    <dxf>
      <alignment vertical="top" readingOrder="0"/>
    </dxf>
    <dxf>
      <alignment horizontal="center" readingOrder="0"/>
    </dxf>
    <dxf>
      <alignment horizontal="center" readingOrder="0"/>
    </dxf>
    <dxf>
      <alignment horizontal="left" readingOrder="0"/>
    </dxf>
    <dxf>
      <alignment horizontal="left" readingOrder="0"/>
    </dxf>
    <dxf>
      <alignment wrapText="1" readingOrder="0"/>
    </dxf>
    <dxf>
      <alignment wrapText="1" readingOrder="0"/>
    </dxf>
    <dxf>
      <alignment wrapText="0" readingOrder="0"/>
    </dxf>
    <dxf>
      <alignment wrapText="0" readingOrder="0"/>
    </dxf>
    <dxf>
      <numFmt numFmtId="14" formatCode="0.0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2" formatCode="0.00000"/>
    </dxf>
    <dxf>
      <numFmt numFmtId="173" formatCode="0.000000"/>
    </dxf>
    <dxf>
      <numFmt numFmtId="2" formatCode="0.00"/>
    </dxf>
    <dxf>
      <numFmt numFmtId="174" formatCode="0.0"/>
    </dxf>
    <dxf>
      <numFmt numFmtId="2" formatCode="0.00"/>
    </dxf>
    <dxf>
      <numFmt numFmtId="167" formatCode="0.000"/>
    </dxf>
    <dxf>
      <numFmt numFmtId="168" formatCode="0.0000"/>
    </dxf>
    <dxf>
      <numFmt numFmtId="172" formatCode="0.00000"/>
    </dxf>
    <dxf>
      <alignment vertical="center" readingOrder="0"/>
    </dxf>
    <dxf>
      <alignment horizontal="center" readingOrder="0"/>
    </dxf>
  </dxfs>
  <tableStyles count="0" defaultTableStyle="TableStyleMedium2" defaultPivotStyle="PivotStyleLight16"/>
  <colors>
    <mruColors>
      <color rgb="FFFFCCFF"/>
      <color rgb="FFFF9999"/>
      <color rgb="FFFF99FF"/>
      <color rgb="FFCCCCFF"/>
      <color rgb="FF99CCFF"/>
      <color rgb="FF66CCFF"/>
      <color rgb="FF66FFFF"/>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Eficacia del PAA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Dinámicas!$A$44:$L$44</c:f>
              <c:strCache>
                <c:ptCount val="2"/>
                <c:pt idx="0">
                  <c:v>Enero</c:v>
                </c:pt>
                <c:pt idx="1">
                  <c:v>Febrero</c:v>
                </c:pt>
              </c:strCache>
            </c:strRef>
          </c:cat>
          <c:val>
            <c:numRef>
              <c:f>Dinámicas!$A$45:$L$45</c:f>
              <c:numCache>
                <c:formatCode>0.00%</c:formatCode>
                <c:ptCount val="12"/>
                <c:pt idx="0">
                  <c:v>1</c:v>
                </c:pt>
                <c:pt idx="1">
                  <c:v>1</c:v>
                </c:pt>
              </c:numCache>
            </c:numRef>
          </c:val>
          <c:extLst>
            <c:ext xmlns:c16="http://schemas.microsoft.com/office/drawing/2014/chart" uri="{C3380CC4-5D6E-409C-BE32-E72D297353CC}">
              <c16:uniqueId val="{00000000-CB9A-4B1E-9CD2-252F50301894}"/>
            </c:ext>
          </c:extLst>
        </c:ser>
        <c:dLbls>
          <c:showLegendKey val="0"/>
          <c:showVal val="0"/>
          <c:showCatName val="0"/>
          <c:showSerName val="0"/>
          <c:showPercent val="0"/>
          <c:showBubbleSize val="0"/>
        </c:dLbls>
        <c:gapWidth val="150"/>
        <c:shape val="cylinder"/>
        <c:axId val="118122368"/>
        <c:axId val="118123904"/>
        <c:axId val="0"/>
      </c:bar3DChart>
      <c:catAx>
        <c:axId val="118122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3904"/>
        <c:crosses val="autoZero"/>
        <c:auto val="1"/>
        <c:lblAlgn val="ctr"/>
        <c:lblOffset val="100"/>
        <c:noMultiLvlLbl val="0"/>
      </c:catAx>
      <c:valAx>
        <c:axId val="118123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2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733425</xdr:colOff>
      <xdr:row>31</xdr:row>
      <xdr:rowOff>133350</xdr:rowOff>
    </xdr:from>
    <xdr:to>
      <xdr:col>20</xdr:col>
      <xdr:colOff>714375</xdr:colOff>
      <xdr:row>46</xdr:row>
      <xdr:rowOff>171450</xdr:rowOff>
    </xdr:to>
    <xdr:graphicFrame macro="">
      <xdr:nvGraphicFramePr>
        <xdr:cNvPr id="2" name="Gráfico 1">
          <a:extLst>
            <a:ext uri="{FF2B5EF4-FFF2-40B4-BE49-F238E27FC236}">
              <a16:creationId xmlns:a16="http://schemas.microsoft.com/office/drawing/2014/main" id="{6BA9BB7B-9B5D-4D27-B543-8E86AEFB2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1</xdr:col>
      <xdr:colOff>3055142</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03.%20Plan%20Anual%20de%20Auditor&#237;as%202021%20-%20RES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A 2021 Versión 1 - Resumen"/>
      <sheetName val="Hoja2"/>
      <sheetName val="PARA PRESENTACIÓN"/>
      <sheetName val="Listas Desplegables"/>
    </sheetNames>
    <sheetDataSet>
      <sheetData sheetId="0" refreshError="1"/>
      <sheetData sheetId="1" refreshError="1"/>
      <sheetData sheetId="2" refreshError="1"/>
      <sheetData sheetId="3" refreshError="1"/>
      <sheetData sheetId="4">
        <row r="4">
          <cell r="A4" t="str">
            <v>Auditoría</v>
          </cell>
          <cell r="B4" t="str">
            <v>CRITERIO1</v>
          </cell>
        </row>
        <row r="5">
          <cell r="A5" t="str">
            <v>Adicionales</v>
          </cell>
          <cell r="B5" t="str">
            <v>CRITERIO2</v>
          </cell>
        </row>
        <row r="6">
          <cell r="A6" t="str">
            <v>Enfoque hacia la Prevención</v>
          </cell>
          <cell r="B6" t="str">
            <v>CRITERIO3</v>
          </cell>
        </row>
        <row r="7">
          <cell r="A7" t="str">
            <v>Evaluación de la Gestión del Riesgo</v>
          </cell>
          <cell r="B7" t="str">
            <v>CRITERIO4</v>
          </cell>
        </row>
        <row r="8">
          <cell r="A8" t="str">
            <v>Informes de Ley</v>
          </cell>
          <cell r="B8" t="str">
            <v>CRITERIO5</v>
          </cell>
        </row>
        <row r="9">
          <cell r="A9" t="str">
            <v>Liderazgo Estratégico</v>
          </cell>
          <cell r="B9" t="str">
            <v>CRITERIO6</v>
          </cell>
        </row>
        <row r="10">
          <cell r="A10" t="str">
            <v>Relación con entes de control externos</v>
          </cell>
          <cell r="B10" t="str">
            <v>CRITERIO7</v>
          </cell>
        </row>
        <row r="11">
          <cell r="A11" t="str">
            <v>Planes de Mejoramiento</v>
          </cell>
          <cell r="B11" t="str">
            <v>CRITERIO8</v>
          </cell>
        </row>
        <row r="19">
          <cell r="A19" t="str">
            <v>Auditor 6</v>
          </cell>
          <cell r="B19">
            <v>1</v>
          </cell>
        </row>
        <row r="20">
          <cell r="A20" t="str">
            <v>Elizabeth Sáenz Sáenz</v>
          </cell>
          <cell r="B20">
            <v>2</v>
          </cell>
        </row>
        <row r="21">
          <cell r="A21" t="str">
            <v>Kelly Serrano Rincón</v>
          </cell>
          <cell r="B21">
            <v>3</v>
          </cell>
        </row>
        <row r="22">
          <cell r="A22" t="str">
            <v>Andrea Sierra Ochoa</v>
          </cell>
          <cell r="B22">
            <v>4</v>
          </cell>
        </row>
        <row r="23">
          <cell r="A23" t="str">
            <v>Andrés Farias Pinzón</v>
          </cell>
          <cell r="B23">
            <v>5</v>
          </cell>
        </row>
        <row r="24">
          <cell r="A24" t="str">
            <v>Marcela Urrea Jaramillo</v>
          </cell>
          <cell r="B24">
            <v>6</v>
          </cell>
        </row>
        <row r="25">
          <cell r="A25" t="str">
            <v>Joan Gaitán Ferrer</v>
          </cell>
          <cell r="B25">
            <v>7</v>
          </cell>
        </row>
        <row r="26">
          <cell r="A26" t="str">
            <v>Carlos Vargas Hernández</v>
          </cell>
          <cell r="B26">
            <v>8</v>
          </cell>
        </row>
        <row r="27">
          <cell r="A27" t="str">
            <v>Ivonne Andrea Torres Cruz</v>
          </cell>
          <cell r="B27">
            <v>9</v>
          </cell>
        </row>
        <row r="139">
          <cell r="A139" t="str">
            <v>Gestión Estratégica</v>
          </cell>
        </row>
        <row r="140">
          <cell r="A140" t="str">
            <v>Prevención del Daño Antijurídico y Representación Judicial</v>
          </cell>
        </row>
        <row r="141">
          <cell r="A141" t="str">
            <v xml:space="preserve">Gestión de Comunicaciones </v>
          </cell>
        </row>
        <row r="142">
          <cell r="A142" t="str">
            <v>Gestión del Talento Humano</v>
          </cell>
        </row>
        <row r="143">
          <cell r="A143" t="str">
            <v>Gestión Tecnología de la Información y Comunicaciones</v>
          </cell>
        </row>
        <row r="144">
          <cell r="A144" t="str">
            <v>Reasentamientos Humanos</v>
          </cell>
        </row>
        <row r="145">
          <cell r="A145" t="str">
            <v>Urbanizaciones y Titulación</v>
          </cell>
        </row>
        <row r="146">
          <cell r="A146" t="str">
            <v>Mejoramiento de Barrios</v>
          </cell>
        </row>
        <row r="147">
          <cell r="A147" t="str">
            <v>Mejoramiento de Vivienda</v>
          </cell>
        </row>
        <row r="148">
          <cell r="A148" t="str">
            <v xml:space="preserve">Servicio al Ciudadano </v>
          </cell>
        </row>
        <row r="149">
          <cell r="A149" t="str">
            <v>Gestión Administrativa</v>
          </cell>
        </row>
        <row r="150">
          <cell r="A150" t="str">
            <v>Gestión Documental</v>
          </cell>
        </row>
        <row r="151">
          <cell r="A151" t="str">
            <v>Gestión Financiera</v>
          </cell>
        </row>
        <row r="152">
          <cell r="A152" t="str">
            <v>Adquisición de Bienes y Servicios</v>
          </cell>
        </row>
        <row r="153">
          <cell r="A153" t="str">
            <v>Evaluación de la Gestión</v>
          </cell>
        </row>
        <row r="154">
          <cell r="A154" t="str">
            <v>Gestión del Control Interno Disciplinario</v>
          </cell>
        </row>
        <row r="155">
          <cell r="A155" t="str">
            <v>Todos los Procesos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wlett-Packard Company" refreshedDate="44258.36539097222" createdVersion="6" refreshedVersion="6" minRefreshableVersion="3" recordCount="208">
  <cacheSource type="worksheet">
    <worksheetSource ref="A18:AJ226" sheet="PAA 2021 Versión 2"/>
  </cacheSource>
  <cacheFields count="36">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1">
      <sharedItems containsString="0" containsBlank="1" containsNumber="1" minValue="1E-3" maxValue="0.03"/>
    </cacheField>
    <cacheField name="Fecha  de Cierre de la Actividad " numFmtId="169">
      <sharedItems containsNonDate="0" containsDate="1" containsString="0" containsBlank="1" minDate="2021-01-05T00:00:00" maxDate="2021-03-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1.9999999999999997E-2"/>
    </cacheField>
    <cacheField name="diferencia" numFmtId="10">
      <sharedItems containsSemiMixedTypes="0" containsString="0" containsNumber="1" minValue="0" maxValue="0.03"/>
    </cacheField>
    <cacheField name="TERMINA MES" numFmtId="41">
      <sharedItems containsSemiMixedTypes="0" containsString="0" containsNumber="1" containsInteger="1" minValue="1" maxValue="12" count="12">
        <n v="1"/>
        <n v="12"/>
        <n v="2"/>
        <n v="3"/>
        <n v="4"/>
        <n v="9"/>
        <n v="5"/>
        <n v="6"/>
        <n v="8"/>
        <n v="7"/>
        <n v="10"/>
        <n v="11"/>
      </sharedItems>
    </cacheField>
    <cacheField name="días" numFmtId="41">
      <sharedItems containsString="0" containsBlank="1" containsNumber="1" containsInteger="1" minValue="2" maxValue="340"/>
    </cacheField>
    <cacheField name="28-feb-2021" numFmtId="41">
      <sharedItems containsString="0" containsBlank="1" containsNumber="1" containsInteger="1" minValue="-304" maxValue="55"/>
    </cacheField>
    <cacheField name="%" numFmtId="10">
      <sharedItems containsString="0" containsBlank="1" containsNumber="1" minValue="-91.333333333333329" maxValue="0.79661016949152541"/>
    </cacheField>
    <cacheField name="lo que debería llevar" numFmtId="10">
      <sharedItems containsString="0" containsBlank="1" containsNumber="1" minValue="-0.29666666666666669" maxValue="1.0063291139240507E-2"/>
    </cacheField>
    <cacheField name="Eficacia" numFmtId="0">
      <sharedItems containsString="0" containsBlank="1" containsNumber="1" minValue="-5.4132911392405069E-3" maxValue="4.0000000000000001E-3"/>
    </cacheField>
    <cacheField name="ESTADO" numFmtId="0">
      <sharedItems containsBlank="1" count="5">
        <s v="CUMPLIDA"/>
        <s v="EN EJECUCIÓN"/>
        <m/>
        <s v="ATRASADA"/>
        <s v="SE ELIMI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s v="Informe de seguimiento a la Sostenibilidad Contable - Resolución DDC-00003 del 05 de diciembre de 2018 - corte al 30Sep2020"/>
    <s v="Gestión Financiera"/>
    <s v="Apoyo"/>
    <s v="Ivonne Andrea Torres Cruz_x000a_Asesora de Control Interno"/>
    <s v="Marcela Urrea Jaramillo"/>
    <s v="Subdirector Financiero"/>
    <d v="2020-12-09T00:00:00"/>
    <d v="2021-01-08T00:00:0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x v="0"/>
    <m/>
    <m/>
    <m/>
    <m/>
    <m/>
    <x v="0"/>
  </r>
  <r>
    <x v="1"/>
    <s v="Revisión y formulación 2021 del Plan Anticorrucpión y de Atención al Ciudadano y Mapa de Riesgos por proceso y de corrupción - proceso de Evaluación de la Gestión"/>
    <s v="Evaluación de la Gestión"/>
    <s v="Seguimiento y Evaluación"/>
    <s v="Ivonne Andrea Torres Cruz_x000a_Asesora de Control Interno"/>
    <s v="Kelly Serrano Rincón"/>
    <s v="Asesor de Control Interno"/>
    <d v="2020-12-09T00:00:00"/>
    <d v="2021-01-21T00:00:00"/>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x v="0"/>
    <m/>
    <m/>
    <m/>
    <m/>
    <m/>
    <x v="0"/>
  </r>
  <r>
    <x v="2"/>
    <s v="Seguimiento al Plan de Acción de Gestión - Plan Anual de Auditorías - FUSS - Parágrafo 1, Artículo 38 - Decreto 807 de 2019"/>
    <s v="Evaluación de la Gestión"/>
    <s v="Seguimiento y Evaluación"/>
    <s v="Ivonne Andrea Torres Cruz_x000a_Asesora de Control Interno"/>
    <s v="Andrés Farias Pinzón"/>
    <s v="Asesor de Control Interno"/>
    <d v="2020-12-22T00:00:00"/>
    <d v="2021-01-05T00:00:00"/>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x v="0"/>
    <m/>
    <m/>
    <m/>
    <m/>
    <m/>
    <x v="0"/>
  </r>
  <r>
    <x v="1"/>
    <s v="Evaluación Matriz de riesgos de corrupción y por proceso 2020. Decreto 124 de 2016"/>
    <s v="Todos los Procesos"/>
    <s v="Todos los Procesos"/>
    <s v="Ivonne Andrea Torres Cruz_x000a_Asesora de Control Interno"/>
    <s v="Kelly Serrano Rinc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x v="0"/>
    <m/>
    <m/>
    <m/>
    <m/>
    <m/>
    <x v="0"/>
  </r>
  <r>
    <x v="1"/>
    <s v="Evaluación Plan Anticorrupción y de Atención al Ciudadano 2020. Decreto 124 de 2016"/>
    <s v="Todos los Procesos"/>
    <s v="Todos los Procesos"/>
    <s v="Ivonne Andrea Torres Cruz_x000a_Asesora de Control Interno"/>
    <s v="Andrés Farias Pinz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x v="0"/>
    <m/>
    <m/>
    <m/>
    <m/>
    <m/>
    <x v="0"/>
  </r>
  <r>
    <x v="3"/>
    <s v="Evaluación independiente del estado del Sistema de Control Interno. Artículo 9 Ley 1474 de 2011, modificado por el Artículo 156 del Decreto Nacional 2106 de 2019. Circular Externa 100-006 de 2019. Elaborado según metodología del DAFP"/>
    <s v="Todos los Procesos"/>
    <s v="Todos los Procesos"/>
    <s v="Ivonne Andrea Torres Cruz_x000a_Asesora de Control Interno"/>
    <s v="Kelly Serrano Rincón"/>
    <s v="Líderes de Cada Proceso"/>
    <d v="2020-12-29T00:00:00"/>
    <d v="2021-01-22T00:00:00"/>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x v="0"/>
    <m/>
    <m/>
    <m/>
    <m/>
    <m/>
    <x v="0"/>
  </r>
  <r>
    <x v="3"/>
    <s v="Elaborar informe de cumplimiento del plan de trabajo del Comité Institucional de Coordinación de Control Interno - CICCI 2020 para entregar a los miembros del comité"/>
    <s v="Evaluación de la Gestión"/>
    <s v="Seguimiento y Evaluación"/>
    <s v="Ivonne Andrea Torres Cruz_x000a_Asesora de Control Interno"/>
    <s v="Joan Gaitán Ferrer"/>
    <s v="Asesor de Control Interno"/>
    <d v="2021-01-04T00:00:00"/>
    <d v="2021-01-06T00:00:00"/>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x v="0"/>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Prevención del Daño Antijurídico y Representación Judicial"/>
    <s v="Estratégico"/>
    <s v="Ivonne Andrea Torres Cruz_x000a_Asesora de Control Interno"/>
    <s v="Joan Gaitán Ferrer"/>
    <s v="Director Jurídico "/>
    <d v="2021-01-04T00:00:00"/>
    <d v="2021-01-07T00:00:00"/>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x v="0"/>
    <m/>
    <m/>
    <m/>
    <m/>
    <m/>
    <x v="0"/>
  </r>
  <r>
    <x v="0"/>
    <s v="Revisión del informe de gestión judicial, según los términos del Artículo 30 de la Resolución 104 de 2018"/>
    <s v="Prevención del Daño Antijurídico y Representación Judicial"/>
    <s v="Estratégico"/>
    <s v="Ivonne Andrea Torres Cruz_x000a_Asesora de Control Interno"/>
    <s v="Andrea Sierra Ochoa"/>
    <s v="Director Jurídico "/>
    <d v="2021-01-04T00:00:00"/>
    <d v="2021-01-08T00:00:0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x v="0"/>
    <m/>
    <m/>
    <m/>
    <m/>
    <m/>
    <x v="0"/>
  </r>
  <r>
    <x v="2"/>
    <s v="Trámite de cuentas de ACI"/>
    <s v="Evaluación de la Gestión"/>
    <s v="Seguimiento y Evaluación"/>
    <s v="Ivonne Andrea Torres Cruz_x000a_Asesora de Control Interno"/>
    <s v="Andrés Farias Pinzón"/>
    <s v="Asesor de Control Interno"/>
    <d v="2021-01-04T00:00:00"/>
    <d v="2021-01-08T00:00:0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x v="0"/>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1-04T00:00:00"/>
    <d v="2021-01-12T00:00:00"/>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x v="0"/>
    <m/>
    <m/>
    <m/>
    <m/>
    <m/>
    <x v="0"/>
  </r>
  <r>
    <x v="4"/>
    <s v="Informe cuenta mensual SIVICOF"/>
    <s v="Gestión Financiera"/>
    <s v="Apoyo"/>
    <s v="Ivonne Andrea Torres Cruz_x000a_Asesora de Control Interno"/>
    <s v="Carlos Vargas Hernández"/>
    <s v="Subdirector Financiero"/>
    <d v="2021-01-04T00:00:00"/>
    <d v="2021-01-13T00:00:00"/>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x v="0"/>
    <m/>
    <m/>
    <m/>
    <m/>
    <m/>
    <x v="0"/>
  </r>
  <r>
    <x v="0"/>
    <s v="Informe presupuestal a Personería"/>
    <s v="Gestión Financiera"/>
    <s v="Apoyo"/>
    <s v="Ivonne Andrea Torres Cruz_x000a_Asesora de Control Interno"/>
    <s v="Elizabeth Sáenz Sáenz"/>
    <s v="Subdirector Financiero"/>
    <d v="2021-01-04T00:00:00"/>
    <d v="2021-01-13T00:00:00"/>
    <m/>
    <m/>
    <m/>
    <m/>
    <m/>
    <m/>
    <m/>
    <m/>
    <m/>
    <m/>
    <m/>
    <m/>
    <s v="Informe"/>
    <n v="1E-3"/>
    <d v="2021-01-15T00:00:00"/>
    <s v="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x v="0"/>
    <m/>
    <m/>
    <m/>
    <m/>
    <m/>
    <x v="0"/>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Andrés Farias Pinzón"/>
    <s v="Líderes de Cada Proceso"/>
    <d v="2021-01-04T00:00:00"/>
    <d v="2021-01-18T00:00:00"/>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x v="0"/>
    <m/>
    <m/>
    <m/>
    <m/>
    <m/>
    <x v="0"/>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Andrea Sierra Ochoa"/>
    <s v="Asesor de Control Interno"/>
    <d v="2021-01-04T00:00:00"/>
    <d v="2021-12-10T00:00:0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_x000a_2. DP: de representantes de empresas que trabajan para la ETB y aunque se revisó no se ha cerrado el Orfeo.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_x000a_5. DP personería por no dar respuesta a solicitud de beneficiario de REAS, la petición se hizo el 18Nov2020 y la Rta la dieron el 26Nov 2020. El radicado de entrada es: 202117000009192 SINPROC 113893 del 2020._x000a_6. 202117000011252 Solic inf  rta DPC 158-21 y 179-21 caja de honor_x000a_7. DP 202116000009853 indagación preliminar N° 268 del 23Feb. Rta 202111200010823 del 26Feb"/>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_x000a_2. DP: de representantes de empresas que trabajan para la ETB y aunque se revisó no se ha cerrado el Orfeo.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_x000a_5. DP personería por no dar respuesta a solicitud de beneficiario de REAS, la petición se hizo el 18Nov2020 y la Rta la dieron el 26Nov 2020. El radicado de entrada es: 202117000009192 SINPROC 113893 del 2020._x000a_6. 202117000011252 Solic inf  rta DPC 158-21 y 179-21 caja de honor_x000a_7. DP 202116000009853 indagación preliminar N° 268 del 23Feb. Rta 202111200010823 del 26Feb"/>
    <s v="Asignación de actividad"/>
    <n v="1E-4"/>
    <n v="1.9E-3"/>
    <x v="1"/>
    <n v="340"/>
    <n v="55"/>
    <n v="0.16176470588235295"/>
    <n v="3.2352941176470591E-4"/>
    <n v="-2.2352941176470592E-4"/>
    <x v="1"/>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Auditor 6"/>
    <s v="Asesor de Control Interno"/>
    <d v="2021-01-04T00:00:00"/>
    <d v="2021-12-10T00:00:00"/>
    <m/>
    <m/>
    <m/>
    <m/>
    <m/>
    <m/>
    <m/>
    <m/>
    <m/>
    <m/>
    <m/>
    <m/>
    <s v="Memorandos y/o Oficios"/>
    <n v="2E-3"/>
    <m/>
    <m/>
    <s v="No hay otro auditor, por lo tanto esta actividad no se ha desarrollado para esta persona"/>
    <m/>
    <n v="0"/>
    <n v="2E-3"/>
    <x v="1"/>
    <n v="340"/>
    <n v="55"/>
    <n v="0.16176470588235295"/>
    <n v="3.2352941176470591E-4"/>
    <m/>
    <x v="2"/>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Carlos Vargas Hernández"/>
    <s v="Asesor de Control Interno"/>
    <d v="2021-01-04T00:00:00"/>
    <d v="2021-12-10T00:00:00"/>
    <m/>
    <m/>
    <m/>
    <m/>
    <m/>
    <m/>
    <m/>
    <m/>
    <m/>
    <m/>
    <m/>
    <m/>
    <s v="Memorandos y/o Oficios"/>
    <n v="2E-3"/>
    <m/>
    <s v="1. DP: traslado de la Contraloría Dir sectorial Gob sobre líneas de crédito. Se solicitó información a Reas, Vivienda, Financiera y OAP para dar rta el 03Feb2021. 202111200005383 lineas de crédito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2021-2876  Traslado por competencia del Derecho de Petición de Venacom - líneas de crédito. Rta 202111200016191 del 10Feb_x000a_8. DP: 202117000019902 fecha entrega Arbolea Santa Teresita del 22Feb - no se ha contestado"/>
    <s v="1. DP: traslado de la Contraloría Dir sectorial Gob sobre líneas de crédito. Se solicitó información a Reas, Vivienda, Financiera y OAP para dar rta el 03Feb2021. 202111200005383 lineas de crédito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2021-2876  Traslado por competencia del Derecho de Petición de Venacom - líneas de crédito. Rta 202111200016191 del 10Feb_x000a_8. DP: 202117000019902 fecha entrega Arbolea Santa Teresita del 22Feb - no se ha contestado"/>
    <s v="Asignación de actividad"/>
    <n v="1E-4"/>
    <n v="1.9E-3"/>
    <x v="1"/>
    <n v="340"/>
    <n v="55"/>
    <n v="0.16176470588235295"/>
    <n v="3.2352941176470591E-4"/>
    <n v="-2.2352941176470592E-4"/>
    <x v="1"/>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Joan Gaitán Ferrer"/>
    <s v="Asesor de Control Interno"/>
    <d v="2021-01-04T00:00:00"/>
    <d v="2021-12-10T00:00:00"/>
    <m/>
    <m/>
    <m/>
    <m/>
    <m/>
    <m/>
    <m/>
    <m/>
    <m/>
    <m/>
    <m/>
    <m/>
    <s v="Memorandos y/o Oficios"/>
    <n v="2E-3"/>
    <m/>
    <s v="1. Requerimiento contraloría sobre contrato 459 de 2014, llegó el 02Mar y aún no tiene Rta"/>
    <s v="1. Requerimiento contraloría sobre contrato 459 de 2014, llegó el 02Mar y aún no tiene Rta"/>
    <s v="Asignación de actividad"/>
    <n v="1E-4"/>
    <n v="1.9E-3"/>
    <x v="1"/>
    <n v="340"/>
    <n v="55"/>
    <n v="0.16176470588235295"/>
    <n v="3.2352941176470591E-4"/>
    <n v="-2.2352941176470592E-4"/>
    <x v="1"/>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Kelly Serrano Rincón"/>
    <s v="Asesor de Control Interno"/>
    <d v="2021-01-04T00:00:00"/>
    <d v="2021-12-10T00:00:00"/>
    <m/>
    <m/>
    <m/>
    <m/>
    <m/>
    <m/>
    <m/>
    <m/>
    <m/>
    <m/>
    <m/>
    <m/>
    <s v="Memorandos y/o Oficios"/>
    <n v="1E-3"/>
    <m/>
    <m/>
    <s v="1. DP: La veeduría solicitó diligenciar encuesta sobre los temas a capacitar a los jefes OCI en 2021. Elizabeth e IATC diligenciaron el formulario de google con la información que dieron todos los auditores."/>
    <s v="Asignación de actividad"/>
    <n v="5.0000000000000002E-5"/>
    <n v="9.5E-4"/>
    <x v="1"/>
    <n v="340"/>
    <n v="55"/>
    <n v="0.16176470588235295"/>
    <n v="1.6176470588235295E-4"/>
    <n v="-1.1176470588235296E-4"/>
    <x v="1"/>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Marcela Urrea Jaramillo"/>
    <s v="Asesor de Control Interno"/>
    <d v="2021-01-04T00:00:00"/>
    <d v="2021-12-10T00:00:00"/>
    <m/>
    <m/>
    <m/>
    <m/>
    <m/>
    <m/>
    <m/>
    <m/>
    <m/>
    <m/>
    <m/>
    <m/>
    <s v="Memorandos y/o Oficios"/>
    <n v="1E-3"/>
    <m/>
    <s v="1. DP de exfuncionaria, que se le contestó el 31Dic2020, ella dio respuesta el 21ene2021 entregando documentos que están para trámite de entrega en la Subdirección Administrativa. Ruta: \\10.216.160.201\control interno\2020\00. APOYO\10. DP\73. Graciela"/>
    <s v="1. DP de exfuncionaria, que se le contestó el 31Dic2020, ella dio respuesta el 21ene2021 entregando documentos que están para trámite de entrega en la Subdirección Administrativa. Ruta: \\10.216.160.201\control interno\2020\00. APOYO\10. DP\73. Graciela"/>
    <s v="Asignación de actividad"/>
    <n v="5.0000000000000002E-5"/>
    <n v="9.5E-4"/>
    <x v="1"/>
    <n v="340"/>
    <n v="55"/>
    <n v="0.16176470588235295"/>
    <n v="1.6176470588235295E-4"/>
    <n v="-1.1176470588235296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1-01-04T00:00:00"/>
    <d v="2021-12-10T00:00:0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
    <s v="Planeación del trabajo"/>
    <n v="3.7500000000000001E-4"/>
    <n v="2.1250000000000002E-3"/>
    <x v="1"/>
    <n v="340"/>
    <n v="55"/>
    <n v="0.16176470588235295"/>
    <n v="4.0441176470588236E-4"/>
    <n v="-2.941176470588235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Carlos Vargas Hernández"/>
    <s v="Líderes de Cada Proceso"/>
    <d v="2021-01-04T00:00:00"/>
    <d v="2021-12-10T00:00:00"/>
    <m/>
    <m/>
    <m/>
    <m/>
    <m/>
    <m/>
    <m/>
    <m/>
    <m/>
    <m/>
    <m/>
    <m/>
    <s v="Acta"/>
    <n v="2.5000000000000001E-3"/>
    <m/>
    <m/>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
    <s v="Planeación del trabajo"/>
    <n v="3.7500000000000001E-4"/>
    <n v="2.1250000000000002E-3"/>
    <x v="1"/>
    <n v="340"/>
    <n v="55"/>
    <n v="0.16176470588235295"/>
    <n v="4.0441176470588236E-4"/>
    <n v="-2.941176470588235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Kelly Serrano Rincón"/>
    <s v="Líderes de Cada Proceso"/>
    <d v="2021-01-04T00:00:00"/>
    <d v="2021-12-10T00:00:00"/>
    <m/>
    <m/>
    <m/>
    <m/>
    <m/>
    <m/>
    <m/>
    <m/>
    <m/>
    <m/>
    <m/>
    <m/>
    <s v="Acta"/>
    <n v="2.5000000000000001E-3"/>
    <m/>
    <m/>
    <s v="04Ene: Comité directivo_x000a_29Ene: Comité directivo donde se aprobaron los 12 planes del Dec 612"/>
    <s v="Planeación del trabajo"/>
    <n v="3.7500000000000001E-4"/>
    <n v="2.1250000000000002E-3"/>
    <x v="1"/>
    <n v="340"/>
    <n v="55"/>
    <n v="0.16176470588235295"/>
    <n v="4.0441176470588236E-4"/>
    <n v="-2.941176470588235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1-01-04T00:00:00"/>
    <d v="2021-12-10T00:00:00"/>
    <m/>
    <m/>
    <m/>
    <m/>
    <m/>
    <m/>
    <m/>
    <m/>
    <m/>
    <m/>
    <m/>
    <m/>
    <s v="Acta"/>
    <n v="2.5000000000000001E-3"/>
    <m/>
    <m/>
    <s v="18Ene: Instancia técnica de bienes inmuebles_x000a_28Ene: Comité de seguimiento financiero donde expusieron estados de Tesorería de dic2020; rendimientos financieros bancos; Informe de gestión del comité año 2020; Avance embargo UGPP y cronograma de reuniones CSF 2021._x000a_04Feb: Mesa de trabajo para la gestión de bienes muebles. Temas: Socialización marco normativo de operación de la instancia de apoyo técnico y Presentación del informe de indicios de deterioro de bienes muebles_x000a_18Feb: Comité de seguimiento financiero donde expusieron el caso del embargo de la UGPP, estado de tesorería y el informe de excedentes financieros_x000a_26Feb: Comité Distrital de Auditoría - CDA : Revisión, priorización y definición de temas a abordar en los CDA durante la vigencia 2021"/>
    <s v="Planeación del trabajo"/>
    <n v="3.7500000000000001E-4"/>
    <n v="2.1250000000000002E-3"/>
    <x v="1"/>
    <n v="340"/>
    <n v="55"/>
    <n v="0.16176470588235295"/>
    <n v="4.0441176470588236E-4"/>
    <n v="-2.941176470588235E-5"/>
    <x v="1"/>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1-05T00:00:00"/>
    <d v="2021-01-27T00:00:00"/>
    <m/>
    <m/>
    <m/>
    <m/>
    <m/>
    <m/>
    <m/>
    <m/>
    <m/>
    <m/>
    <m/>
    <m/>
    <s v="Informe"/>
    <n v="7.4999999999999997E-3"/>
    <d v="2021-01-29T00:00:00"/>
    <s v="202111200000613 del 06ene2021 Solicitud Información_x000a_202111200005403 del 29Ene2021 entrega del informe y publicación en la página web de la entidad_x000a_Ruta: \\10.216.160.201\control interno\2021\19.04 INF.  DE GESTIÓN\AUSTERIDAD\IV TRIM 2020"/>
    <s v="Se solicitó la información a la cual dieron respuesta y el informe se elaboró y fue entregado al los destinatarios con el memorando 202111200005403 del 29Ene2021. Se verificó su publicación en la página web de la entidad"/>
    <s v="Informe - Publicación (web,intranet y/o carpeta de calidad)"/>
    <n v="7.4999999999999989E-3"/>
    <n v="0"/>
    <x v="0"/>
    <m/>
    <m/>
    <m/>
    <m/>
    <m/>
    <x v="0"/>
  </r>
  <r>
    <x v="0"/>
    <s v="Informe de seguimiento a la Sostenibilidad Contable - Resolución DDC-00003 del 05 de diciembre de 2018 - corte al 31Dic2020"/>
    <s v="Gestión Financiera"/>
    <s v="Apoyo"/>
    <s v="Ivonne Andrea Torres Cruz_x000a_Asesora de Control Interno"/>
    <s v="Carlos Vargas Hernández"/>
    <s v="Subdirector Financiero"/>
    <d v="2021-01-05T00:00:00"/>
    <d v="2021-02-26T00:00:00"/>
    <m/>
    <m/>
    <m/>
    <m/>
    <m/>
    <m/>
    <m/>
    <m/>
    <m/>
    <m/>
    <m/>
    <m/>
    <s v="Informe"/>
    <n v="3.0000000000000001E-3"/>
    <d v="2021-02-26T00:00:00"/>
    <s v="Ruta: \\10.216.160.201\control interno\2021\19.04 INF.  DE GESTIÓN\MNC\4to Trim 2020_x000a_Ruta: \\10.216.160.201\control interno\2021\19.04 INF.  DE GESTIÓN\CONTROL INTERNO CONTABLE\05. Informes"/>
    <s v="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_x000a_Se cumplió con la misma información de la evaluación del sistema de control interno contable, informe qiue fue entregado al director general y Subdirectora Financiera el 26Feb (202111200010613)"/>
    <s v="Informe - Publicación (web,intranet y/o carpeta de calidad)"/>
    <n v="2.9999999999999996E-3"/>
    <n v="0"/>
    <x v="2"/>
    <m/>
    <m/>
    <m/>
    <m/>
    <m/>
    <x v="0"/>
  </r>
  <r>
    <x v="2"/>
    <s v="Elaborar el informe de la Oficina de Control Interno vigencia 2020 - documento CBN 1038"/>
    <s v="Evaluación de la Gestión"/>
    <s v="Seguimiento y Evaluación"/>
    <s v="Ivonne Andrea Torres Cruz_x000a_Asesora de Control Interno"/>
    <s v="Joan Gaitán Ferrer"/>
    <s v="Asesor de Control Interno"/>
    <d v="2021-01-06T00:00:00"/>
    <d v="2021-01-18T00:00:00"/>
    <m/>
    <m/>
    <m/>
    <m/>
    <m/>
    <m/>
    <m/>
    <m/>
    <m/>
    <m/>
    <m/>
    <m/>
    <s v="Informe"/>
    <n v="1.2E-2"/>
    <d v="2021-01-31T00:00:00"/>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Entrega, publicación o socialización de resultados"/>
    <n v="1.2E-2"/>
    <n v="0"/>
    <x v="0"/>
    <m/>
    <m/>
    <m/>
    <m/>
    <m/>
    <x v="0"/>
  </r>
  <r>
    <x v="3"/>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1-01-06T00:00:00"/>
    <d v="2021-03-26T00:00:00"/>
    <m/>
    <m/>
    <m/>
    <m/>
    <m/>
    <m/>
    <m/>
    <m/>
    <m/>
    <m/>
    <m/>
    <m/>
    <s v="Matriz"/>
    <n v="1.4999999999999999E-2"/>
    <m/>
    <s v="Ruta: \\10.216.160.201\control interno\2021\19.04 INF.  DE GESTIÓN\EVALUACIÓN POR DEPENDENCIAS 2020"/>
    <s v="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 Falta que la OAP haga entrega de los reportes de segplan del anterior PDD y que la contratista sea vinculada de nuevo a la entidad"/>
    <s v="Planeación - Comunicación de envío"/>
    <n v="4.6499999999999996E-3"/>
    <n v="1.035E-2"/>
    <x v="3"/>
    <n v="79"/>
    <n v="53"/>
    <n v="0.67088607594936711"/>
    <n v="1.0063291139240507E-2"/>
    <n v="-5.4132911392405069E-3"/>
    <x v="3"/>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01-08T00:00:00"/>
    <d v="2021-01-28T00:00:00"/>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x v="0"/>
    <m/>
    <m/>
    <m/>
    <m/>
    <m/>
    <x v="0"/>
  </r>
  <r>
    <x v="3"/>
    <s v="Diseñar el plan de acción de Comité Institucional de Coordinación de Control Interno - CICCI 2021 y entregarlo a los miembros del comité para su revisión y posterior aprobación"/>
    <s v="Evaluación de la Gestión"/>
    <s v="Seguimiento y Evaluación"/>
    <s v="Ivonne Andrea Torres Cruz_x000a_Asesora de Control Interno"/>
    <s v="Joan Gaitán Ferrer"/>
    <s v="Asesor de Control Interno"/>
    <d v="2021-01-12T00:00:00"/>
    <d v="2021-01-18T00:00:00"/>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x v="0"/>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1-12T00:00:00"/>
    <d v="2021-02-08T00:00:00"/>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x v="2"/>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s v="Servicio al Ciudadano "/>
    <s v="Misional"/>
    <s v="Ivonne Andrea Torres Cruz_x000a_Asesora de Control Interno"/>
    <s v="Marcela Urrea Jaramillo"/>
    <s v="Director de Gestión Corporativa y CID"/>
    <d v="2021-01-12T00:00:00"/>
    <d v="2021-03-12T00:00:00"/>
    <m/>
    <m/>
    <m/>
    <m/>
    <m/>
    <m/>
    <m/>
    <m/>
    <m/>
    <m/>
    <m/>
    <m/>
    <s v="Informe"/>
    <n v="2.5000000000000001E-3"/>
    <m/>
    <s v="Ruta: \\10.216.160.201\control interno\2021\19.04 INF.  DE GESTIÓN\PQRDS\01. II Sem 2020"/>
    <s v="Se solicitó la información, la cual fue entregada con oportunidad. La contratista quedó sin contrato, por lo que la elaboración del informe se reanudó el 10Feb, actualmente el informe está en elaboración"/>
    <s v="Informe preliminar - Elaboración"/>
    <n v="1.8E-3"/>
    <n v="7.000000000000001E-4"/>
    <x v="3"/>
    <n v="59"/>
    <n v="47"/>
    <n v="0.79661016949152541"/>
    <n v="1.9915254237288134E-3"/>
    <n v="-1.9152542372881344E-4"/>
    <x v="3"/>
  </r>
  <r>
    <x v="2"/>
    <s v="Contratación 2021 contratistas ACI: Elaborar los estudios previos de los contratos de control interno, revisión de los documentos de los contratistas, radicación de las carpetas y apoyo en la suscripción de los contratos"/>
    <s v="Evaluación de la Gestión"/>
    <s v="Seguimiento y Evaluación"/>
    <s v="Ivonne Andrea Torres Cruz_x000a_Asesora de Control Interno"/>
    <s v="Joan Gaitán Ferrer"/>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x v="2"/>
    <m/>
    <m/>
    <m/>
    <m/>
    <m/>
    <x v="0"/>
  </r>
  <r>
    <x v="2"/>
    <s v="Contratación 2021 contratistas ACI: Elaborar los estudios previos de los contratos de control interno, verificación de la entrega y aprobación de la póliza y elaboración de las actas de inicio y cargue en el sistema secop"/>
    <s v="Evaluación de la Gestión"/>
    <s v="Seguimiento y Evaluación"/>
    <s v="Ivonne Andrea Torres Cruz_x000a_Asesora de Control Interno"/>
    <s v="Andrea Sierra Ochoa"/>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x v="2"/>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s v="Todos los Procesos"/>
    <s v="Todos los Procesos"/>
    <s v="Ivonne Andrea Torres Cruz_x000a_Asesora de Control Interno"/>
    <s v="Carlos Vargas Hernández"/>
    <s v="Líderes de Cada Proceso"/>
    <d v="2021-01-15T00:00:00"/>
    <d v="2021-02-15T00:00:00"/>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x v="2"/>
    <m/>
    <m/>
    <m/>
    <m/>
    <m/>
    <x v="0"/>
  </r>
  <r>
    <x v="0"/>
    <s v="Formulación Plan Anual de Auditorías - Parágrafo 1 Artículo 38 - Decreto 807 de 2019"/>
    <s v="Evaluación de la Gestión"/>
    <s v="Seguimiento y Evaluación"/>
    <s v="Ivonne Andrea Torres Cruz_x000a_Asesora de Control Interno"/>
    <s v="Joan Gaitán Ferrer"/>
    <s v="Asesor de Control Interno"/>
    <d v="2021-01-18T00:00:00"/>
    <d v="2021-01-28T00:00:00"/>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x v="0"/>
    <m/>
    <m/>
    <m/>
    <m/>
    <m/>
    <x v="0"/>
  </r>
  <r>
    <x v="2"/>
    <s v="Formulación de la Gestión por Procesos - Indicadores de Gestión - FUSS - Proceso Evaluación de la Gestión"/>
    <s v="Evaluación de la Gestión"/>
    <s v="Seguimiento y Evaluación"/>
    <s v="Ivonne Andrea Torres Cruz_x000a_Asesora de Control Interno"/>
    <s v="Joan Gaitán Ferrer"/>
    <s v="Asesor de Control Interno"/>
    <d v="2021-01-19T00:00:00"/>
    <d v="2021-01-26T00:00:00"/>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x v="0"/>
    <m/>
    <m/>
    <m/>
    <m/>
    <m/>
    <x v="0"/>
  </r>
  <r>
    <x v="4"/>
    <s v="Elaborar Informe cuenta anual SIVICOF: CB-0402S - Plan de mejoramiento - Seguimiento Entidad"/>
    <s v="Todos los Procesos"/>
    <s v="Todos los Procesos"/>
    <s v="Ivonne Andrea Torres Cruz_x000a_Asesora de Control Interno"/>
    <s v="Carlos Vargas Hernández"/>
    <s v="Líderes de Cada Proceso"/>
    <d v="2021-01-19T00:00:00"/>
    <d v="2021-02-15T00:00:00"/>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x v="2"/>
    <m/>
    <m/>
    <m/>
    <m/>
    <m/>
    <x v="0"/>
  </r>
  <r>
    <x v="4"/>
    <s v="Elaborar Informe cuenta anual SIVICOF: CBN-1015 - Informe de Austeridad en el Gasto"/>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x v="2"/>
    <m/>
    <m/>
    <m/>
    <m/>
    <m/>
    <x v="0"/>
  </r>
  <r>
    <x v="4"/>
    <s v="Elaborar Informe cuenta anual SIVICOF: CBN-1016 - Informe sobre Detrimentos Patrimoniales"/>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x v="2"/>
    <m/>
    <m/>
    <m/>
    <m/>
    <m/>
    <x v="0"/>
  </r>
  <r>
    <x v="4"/>
    <s v="Elaborar Informe cuenta anual SIVICOF: CBN-1021 - Informe de Auditoría Externa"/>
    <s v="Evaluación de la Gestión"/>
    <s v="Seguimiento y Evaluación"/>
    <s v="Ivonne Andrea Torres Cruz_x000a_Asesora de Control Interno"/>
    <s v="Carlos Vargas Hernández"/>
    <s v="Asesor de Control Intern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x v="2"/>
    <m/>
    <m/>
    <m/>
    <m/>
    <m/>
    <x v="0"/>
  </r>
  <r>
    <x v="4"/>
    <s v="Elaborar Informe cuenta anual SIVICOF: CBN-1107 - Plan de Contingencia Institucional"/>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x v="2"/>
    <m/>
    <m/>
    <m/>
    <m/>
    <m/>
    <x v="0"/>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1-27T00:00:00"/>
    <d v="2021-02-02T00:00:00"/>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x v="2"/>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1-28T00:00:00"/>
    <d v="2021-02-02T00:00:00"/>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x v="2"/>
    <m/>
    <m/>
    <m/>
    <m/>
    <m/>
    <x v="0"/>
  </r>
  <r>
    <x v="2"/>
    <s v="Trámite de cuentas de ACI"/>
    <s v="Evaluación de la Gestión"/>
    <s v="Seguimiento y Evaluación"/>
    <s v="Ivonne Andrea Torres Cruz_x000a_Asesora de Control Interno"/>
    <s v="Andrés Farias Pinzón"/>
    <s v="Asesor de Control Interno"/>
    <d v="2021-02-01T00:00:00"/>
    <d v="2021-02-04T00:00:0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x v="2"/>
    <m/>
    <m/>
    <m/>
    <m/>
    <m/>
    <x v="0"/>
  </r>
  <r>
    <x v="4"/>
    <s v="Informe cuenta mensual SIVICOF"/>
    <s v="Adquisición de Bienes y Servicios"/>
    <s v="Apoyo"/>
    <s v="Ivonne Andrea Torres Cruz_x000a_Asesora de Control Interno"/>
    <s v="Carlos Vargas Hernández"/>
    <s v="Director de Gestión Corporativa y CID"/>
    <d v="2021-02-01T00:00:00"/>
    <d v="2021-02-09T00:00:00"/>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x v="2"/>
    <m/>
    <m/>
    <m/>
    <m/>
    <m/>
    <x v="0"/>
  </r>
  <r>
    <x v="0"/>
    <s v="Informe presupuestal a Personería"/>
    <s v="Gestión Financiera"/>
    <s v="Apoyo"/>
    <s v="Ivonne Andrea Torres Cruz_x000a_Asesora de Control Interno"/>
    <s v="Elizabeth Sáenz Sáenz"/>
    <s v="Subdirector Financiero"/>
    <d v="2021-02-01T00:00:00"/>
    <d v="2021-02-09T00:00:00"/>
    <m/>
    <m/>
    <m/>
    <m/>
    <m/>
    <m/>
    <m/>
    <m/>
    <m/>
    <m/>
    <m/>
    <m/>
    <s v="Informe"/>
    <n v="1E-3"/>
    <d v="2021-02-10T00:00:00"/>
    <s v="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Entrega a ente de control y copia en Control Interno"/>
    <n v="1E-3"/>
    <n v="0"/>
    <x v="2"/>
    <m/>
    <m/>
    <m/>
    <m/>
    <m/>
    <x v="0"/>
  </r>
  <r>
    <x v="6"/>
    <s v="Asesoría en la formulación de planes de mejoramiento internos y en la modificación de las acciones ya propuestas"/>
    <s v="Evaluación de la Gestión"/>
    <s v="Seguimiento y Evaluación"/>
    <s v="Ivonne Andrea Torres Cruz_x000a_Asesora de Control Interno"/>
    <s v="Kelly Serrano Rincón"/>
    <s v="Asesor de Control Interno"/>
    <d v="2021-02-01T00:00:00"/>
    <d v="2021-12-10T00:00:00"/>
    <m/>
    <m/>
    <m/>
    <m/>
    <m/>
    <m/>
    <m/>
    <m/>
    <m/>
    <m/>
    <m/>
    <m/>
    <s v="Matriz"/>
    <n v="7.4999999999999997E-3"/>
    <m/>
    <m/>
    <m/>
    <m/>
    <n v="0"/>
    <n v="7.4999999999999997E-3"/>
    <x v="1"/>
    <n v="312"/>
    <n v="27"/>
    <n v="8.6538461538461536E-2"/>
    <n v="6.4903846153846153E-4"/>
    <m/>
    <x v="2"/>
  </r>
  <r>
    <x v="6"/>
    <s v="Asesoría en la formulación de planes de mejoramiento internos y en la modificación de las acciones ya propuestas"/>
    <s v="Evaluación de la Gestión"/>
    <s v="Seguimiento y Evaluación"/>
    <s v="Ivonne Andrea Torres Cruz_x000a_Asesora de Control Interno"/>
    <s v="Marcela Urrea Jaramillo"/>
    <s v="Asesor de Control Interno"/>
    <d v="2021-02-01T00:00:00"/>
    <d v="2021-12-10T00:00:00"/>
    <m/>
    <m/>
    <m/>
    <m/>
    <m/>
    <m/>
    <m/>
    <m/>
    <m/>
    <m/>
    <m/>
    <m/>
    <s v="Matriz"/>
    <n v="7.4999999999999997E-3"/>
    <m/>
    <m/>
    <m/>
    <m/>
    <n v="0"/>
    <n v="7.4999999999999997E-3"/>
    <x v="1"/>
    <n v="312"/>
    <n v="27"/>
    <n v="8.6538461538461536E-2"/>
    <n v="6.4903846153846153E-4"/>
    <m/>
    <x v="2"/>
  </r>
  <r>
    <x v="2"/>
    <s v="Realizar evaluación 2020 y concertación 2021 planta fija"/>
    <s v="Evaluación de la Gestión"/>
    <s v="Seguimiento y Evaluación"/>
    <s v="Ivonne Andrea Torres Cruz_x000a_Asesora de Control Interno"/>
    <s v="Elizabeth Sáenz Sáenz"/>
    <s v="Asesor de Control Interno"/>
    <d v="2021-02-03T00:00:00"/>
    <d v="2021-02-22T00:00:00"/>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x v="2"/>
    <m/>
    <m/>
    <m/>
    <m/>
    <m/>
    <x v="0"/>
  </r>
  <r>
    <x v="0"/>
    <s v="Control Interno Contable CBN - 1019 durante la vigencia 2020. Resolución 193 de 2016 de la CGN; Resolución Reglamentaria 11 de 2014 de la Contraloría de Bogotá, modificada por la Resolución Reglamentaria 23 de 2016."/>
    <s v="Gestión Financiera"/>
    <s v="Apoyo"/>
    <s v="Ivonne Andrea Torres Cruz_x000a_Asesora de Control Interno"/>
    <s v="Carlos Vargas Hernández"/>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x v="2"/>
    <m/>
    <m/>
    <m/>
    <m/>
    <m/>
    <x v="0"/>
  </r>
  <r>
    <x v="0"/>
    <s v="Control Interno Contable CBN - 1019 durante la vigencia 2020.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x v="2"/>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2-14T00:00:00"/>
    <d v="2021-03-05T00:00:00"/>
    <m/>
    <m/>
    <m/>
    <m/>
    <m/>
    <m/>
    <m/>
    <m/>
    <m/>
    <m/>
    <m/>
    <m/>
    <s v="Acta"/>
    <n v="2.5000000000000001E-3"/>
    <m/>
    <s v="Ruta: \\10.216.160.201\control interno\2021\02.01 ACTAS COMITE C. I\02. 24Feb2021"/>
    <s v="Se planeó el comité, los puntos y se hizo la convocatoria para el 24Feb2021 por correo del 15Feb. Se realizó mesa de trabajo para determinar lo que sería presentado en las diapositivas, se revisión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uén los temas que no se han terminado con corte a enero y febrero._x000a_Se elaboró la presentación y se realizó la sesión del comité el 24Feb2021. el acta no se ha elaborado por lo que la actividad esteá retrasada."/>
    <s v="Informe - Revisión por ACI"/>
    <n v="2.2500000000000003E-3"/>
    <n v="2.4999999999999979E-4"/>
    <x v="3"/>
    <n v="19"/>
    <n v="14"/>
    <n v="0.73684210526315785"/>
    <n v="1.8421052631578947E-3"/>
    <n v="4.0789473684210557E-4"/>
    <x v="3"/>
  </r>
  <r>
    <x v="4"/>
    <s v="Informe cuenta anual SIVICOF. Cargue del informe de control interno contable - CBN - 1019"/>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2E-3"/>
    <n v="0"/>
    <x v="2"/>
    <m/>
    <m/>
    <m/>
    <m/>
    <m/>
    <x v="0"/>
  </r>
  <r>
    <x v="4"/>
    <s v="Subir al CHIP el informe de Evaluación del Sistema de Control Interno Contable CBN - 1019"/>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x v="2"/>
    <m/>
    <m/>
    <m/>
    <m/>
    <m/>
    <x v="0"/>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2-24T00:00:00"/>
    <d v="2021-03-02T00:00:00"/>
    <m/>
    <m/>
    <m/>
    <m/>
    <m/>
    <m/>
    <m/>
    <m/>
    <m/>
    <m/>
    <m/>
    <m/>
    <s v="Matriz"/>
    <n v="3.0000000000000001E-3"/>
    <m/>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s v="Ejecución de la acción planteada"/>
    <n v="2.3999999999999998E-3"/>
    <n v="6.0000000000000027E-4"/>
    <x v="3"/>
    <n v="6"/>
    <n v="4"/>
    <n v="0.66666666666666663"/>
    <n v="2E-3"/>
    <n v="3.9999999999999975E-4"/>
    <x v="1"/>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2-25T00:00:00"/>
    <d v="2021-03-02T00:00:00"/>
    <m/>
    <m/>
    <m/>
    <m/>
    <m/>
    <m/>
    <m/>
    <m/>
    <m/>
    <m/>
    <m/>
    <m/>
    <s v="Correo electrónico"/>
    <n v="1E-3"/>
    <m/>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 v="Revisión de respuesta y soportes"/>
    <n v="8.0000000000000004E-4"/>
    <n v="1.9999999999999998E-4"/>
    <x v="3"/>
    <n v="5"/>
    <n v="3"/>
    <n v="0.6"/>
    <n v="5.9999999999999995E-4"/>
    <n v="2.0000000000000009E-4"/>
    <x v="1"/>
  </r>
  <r>
    <x v="0"/>
    <s v="Evaluación del desempeño institucional a través del Furag según lineamientos del DAFP"/>
    <s v="Todos los Procesos"/>
    <s v="Todos los Procesos"/>
    <s v="Ivonne Andrea Torres Cruz_x000a_Asesora de Control Interno"/>
    <s v="Joan Gaitán Ferrer"/>
    <s v="Líderes de Cada Proceso"/>
    <d v="2021-02-25T00:00:00"/>
    <d v="2021-03-25T00:00:00"/>
    <m/>
    <m/>
    <m/>
    <m/>
    <m/>
    <m/>
    <m/>
    <m/>
    <m/>
    <m/>
    <m/>
    <m/>
    <s v="Certificado"/>
    <n v="0.02"/>
    <m/>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 v="Planeación - Definir metodología y cronograma de trabajo"/>
    <n v="3.0000000000000001E-3"/>
    <n v="1.7000000000000001E-2"/>
    <x v="3"/>
    <n v="28"/>
    <n v="3"/>
    <n v="0.10714285714285714"/>
    <n v="2.142857142857143E-3"/>
    <n v="8.571428571428571E-4"/>
    <x v="1"/>
  </r>
  <r>
    <x v="2"/>
    <s v="Trámite de cuentas de ACI"/>
    <s v="Evaluación de la Gestión"/>
    <s v="Seguimiento y Evaluación"/>
    <s v="Ivonne Andrea Torres Cruz_x000a_Asesora de Control Interno"/>
    <s v="Joan Gaitán Ferrer"/>
    <s v="Asesor de Control Interno"/>
    <d v="2021-03-02T00:00:00"/>
    <d v="2021-03-04T00:00:00"/>
    <m/>
    <m/>
    <m/>
    <m/>
    <m/>
    <m/>
    <m/>
    <m/>
    <m/>
    <m/>
    <m/>
    <m/>
    <s v="Reporte"/>
    <n v="3.0000000000000001E-3"/>
    <m/>
    <m/>
    <m/>
    <m/>
    <n v="0"/>
    <n v="3.0000000000000001E-3"/>
    <x v="3"/>
    <n v="2"/>
    <n v="-2"/>
    <n v="-1"/>
    <n v="-3.0000000000000001E-3"/>
    <m/>
    <x v="2"/>
  </r>
  <r>
    <x v="4"/>
    <s v="Informe cuenta mensual SIVICOF"/>
    <s v="Gestión Financiera"/>
    <s v="Apoyo"/>
    <s v="Ivonne Andrea Torres Cruz_x000a_Asesora de Control Interno"/>
    <s v="Carlos Vargas Hernández"/>
    <s v="Subdirector Financiero"/>
    <d v="2021-03-02T00:00:00"/>
    <d v="2021-03-09T00:00:00"/>
    <m/>
    <m/>
    <m/>
    <m/>
    <m/>
    <m/>
    <m/>
    <m/>
    <m/>
    <m/>
    <m/>
    <m/>
    <s v="Certificado"/>
    <n v="1E-3"/>
    <m/>
    <m/>
    <m/>
    <m/>
    <n v="0"/>
    <n v="1E-3"/>
    <x v="3"/>
    <n v="7"/>
    <n v="-2"/>
    <n v="-0.2857142857142857"/>
    <n v="-2.8571428571428568E-4"/>
    <m/>
    <x v="2"/>
  </r>
  <r>
    <x v="0"/>
    <s v="Informe presupuestal a Personería"/>
    <s v="Gestión Financiera"/>
    <s v="Apoyo"/>
    <s v="Ivonne Andrea Torres Cruz_x000a_Asesora de Control Interno"/>
    <s v="Elizabeth Sáenz Sáenz"/>
    <s v="Subdirector Financiero"/>
    <d v="2021-03-02T00:00:00"/>
    <d v="2021-03-09T00:00:00"/>
    <m/>
    <m/>
    <m/>
    <m/>
    <m/>
    <m/>
    <m/>
    <m/>
    <m/>
    <m/>
    <m/>
    <m/>
    <s v="Informe"/>
    <n v="1E-3"/>
    <m/>
    <m/>
    <m/>
    <m/>
    <n v="0"/>
    <n v="1E-3"/>
    <x v="3"/>
    <n v="7"/>
    <n v="-2"/>
    <n v="-0.2857142857142857"/>
    <n v="-2.8571428571428568E-4"/>
    <m/>
    <x v="2"/>
  </r>
  <r>
    <x v="6"/>
    <s v="Seguimiento al Plan de Mejoramiento Interno - Artículo 5 del Decreto 371 de 2010"/>
    <s v="Todos los Procesos"/>
    <s v="Todos los Procesos"/>
    <s v="Ivonne Andrea Torres Cruz_x000a_Asesora de Control Interno"/>
    <s v="Kelly Serrano Rincón"/>
    <s v="Líderes de Cada Proceso"/>
    <d v="2021-03-02T00:00:00"/>
    <d v="2021-03-17T00:00:00"/>
    <m/>
    <m/>
    <m/>
    <m/>
    <m/>
    <m/>
    <m/>
    <m/>
    <m/>
    <m/>
    <m/>
    <m/>
    <s v="Matriz"/>
    <n v="0.03"/>
    <m/>
    <m/>
    <m/>
    <m/>
    <n v="0"/>
    <n v="0.03"/>
    <x v="3"/>
    <n v="15"/>
    <n v="-2"/>
    <n v="-0.13333333333333333"/>
    <n v="-4.0000000000000001E-3"/>
    <n v="4.0000000000000001E-3"/>
    <x v="3"/>
  </r>
  <r>
    <x v="1"/>
    <s v="Revisar la formulación de las actividades del PAAC en el primer seguimiento y generar las alertas respectivas."/>
    <s v="Todos los Procesos"/>
    <s v="Todos los Procesos"/>
    <s v="Ivonne Andrea Torres Cruz_x000a_Asesora de Control Interno"/>
    <s v="Kelly Serrano Rincón"/>
    <s v="Líderes de Cada Proceso"/>
    <d v="2021-03-02T00:00:00"/>
    <d v="2021-04-15T00:00:00"/>
    <m/>
    <m/>
    <m/>
    <m/>
    <m/>
    <m/>
    <m/>
    <m/>
    <m/>
    <m/>
    <m/>
    <m/>
    <s v="Informe"/>
    <n v="5.0000000000000001E-3"/>
    <m/>
    <m/>
    <m/>
    <m/>
    <n v="0"/>
    <n v="5.0000000000000001E-3"/>
    <x v="4"/>
    <n v="44"/>
    <n v="-2"/>
    <n v="-4.5454545454545456E-2"/>
    <n v="-2.2727272727272727E-4"/>
    <n v="2.2727272727272727E-4"/>
    <x v="3"/>
  </r>
  <r>
    <x v="0"/>
    <s v="Evaluar el proceso de Rendición de Cuentas (Audiencia Pública u otra alternativa)"/>
    <s v="Gestión Estratégica"/>
    <s v="Estratégico"/>
    <s v="Ivonne Andrea Torres Cruz_x000a_Asesora de Control Interno"/>
    <s v="Andrea Sierra Ochoa"/>
    <s v="Jefe Oficina Asesora de Planeación "/>
    <d v="2021-03-02T00:00:00"/>
    <d v="2021-04-28T00:00:00"/>
    <m/>
    <m/>
    <m/>
    <m/>
    <m/>
    <m/>
    <m/>
    <m/>
    <m/>
    <m/>
    <m/>
    <m/>
    <s v="Informe"/>
    <n v="0.01"/>
    <m/>
    <m/>
    <m/>
    <m/>
    <n v="0"/>
    <n v="0.01"/>
    <x v="4"/>
    <n v="57"/>
    <n v="-2"/>
    <n v="-3.5087719298245612E-2"/>
    <n v="-3.5087719298245611E-4"/>
    <m/>
    <x v="2"/>
  </r>
  <r>
    <x v="0"/>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ea Sierra Ochoa"/>
    <s v="Jefe Oficina de Tecnologías de la Información y las Comunicaciones"/>
    <d v="2021-03-08T00:00:00"/>
    <d v="2021-03-19T00:00:00"/>
    <m/>
    <m/>
    <m/>
    <m/>
    <m/>
    <m/>
    <m/>
    <m/>
    <m/>
    <m/>
    <m/>
    <m/>
    <s v="Reporte"/>
    <n v="5.0000000000000001E-3"/>
    <m/>
    <m/>
    <m/>
    <m/>
    <n v="0"/>
    <n v="5.0000000000000001E-3"/>
    <x v="3"/>
    <n v="11"/>
    <n v="-8"/>
    <n v="-0.72727272727272729"/>
    <n v="-3.6363636363636364E-3"/>
    <m/>
    <x v="2"/>
  </r>
  <r>
    <x v="2"/>
    <s v="Revisión y mantenimiento al botón de transparencia - Ley 1712 de 2014 numeral 7 a cargo de control interno"/>
    <s v="Evaluación de la Gestión"/>
    <s v="Seguimiento y Evaluación"/>
    <s v="Ivonne Andrea Torres Cruz_x000a_Asesora de Control Interno"/>
    <s v="Joan Gaitán Ferrer"/>
    <s v="Asesor de Control Interno"/>
    <d v="2021-03-08T00:00:00"/>
    <d v="2021-03-19T00:00:00"/>
    <m/>
    <m/>
    <m/>
    <m/>
    <m/>
    <m/>
    <m/>
    <m/>
    <m/>
    <m/>
    <m/>
    <m/>
    <s v="Reporte"/>
    <n v="5.0000000000000001E-3"/>
    <m/>
    <m/>
    <m/>
    <m/>
    <n v="0"/>
    <n v="5.0000000000000001E-3"/>
    <x v="3"/>
    <n v="11"/>
    <n v="-8"/>
    <n v="-0.72727272727272729"/>
    <n v="-3.6363636363636364E-3"/>
    <m/>
    <x v="2"/>
  </r>
  <r>
    <x v="7"/>
    <s v="Auditoría Proceso de Urbanizaciones y Titulación_x000a_Revisión de Riesgos"/>
    <s v="Urbanizaciones y Titulación"/>
    <s v="Misional"/>
    <s v="Ivonne Andrea Torres Cruz_x000a_Asesora de Control Interno"/>
    <s v="Kelly Serrano Rincón"/>
    <s v="Director de Urbanizaciones y Titulación"/>
    <d v="2021-03-15T00:00:00"/>
    <d v="2021-03-25T00:00:00"/>
    <m/>
    <m/>
    <m/>
    <m/>
    <m/>
    <m/>
    <m/>
    <m/>
    <m/>
    <m/>
    <m/>
    <m/>
    <s v="Informe"/>
    <n v="3.7499999999999999E-3"/>
    <m/>
    <m/>
    <m/>
    <m/>
    <n v="0"/>
    <n v="3.7499999999999999E-3"/>
    <x v="3"/>
    <n v="10"/>
    <n v="-15"/>
    <n v="-1.5"/>
    <n v="-5.6249999999999998E-3"/>
    <m/>
    <x v="2"/>
  </r>
  <r>
    <x v="7"/>
    <s v="Auditoría Proceso de Urbanizaciones y Titulación_x000a_Decreto 371 de 2010 - Artículo 2 - de los procesos de contratación en el distrito capital"/>
    <s v="Adquisición de Bienes y Servicios"/>
    <s v="Apoyo"/>
    <s v="Ivonne Andrea Torres Cruz_x000a_Asesora de Control Interno"/>
    <s v="Andrea Sierra Ochoa"/>
    <s v="Director de Gestión Corporativa y CID"/>
    <d v="2021-03-15T00:00:00"/>
    <d v="2021-04-05T00:00:00"/>
    <m/>
    <m/>
    <m/>
    <m/>
    <m/>
    <m/>
    <m/>
    <m/>
    <m/>
    <m/>
    <m/>
    <m/>
    <s v="Informe"/>
    <n v="5.0000000000000001E-3"/>
    <m/>
    <m/>
    <m/>
    <m/>
    <n v="0"/>
    <n v="5.0000000000000001E-3"/>
    <x v="4"/>
    <n v="21"/>
    <n v="-15"/>
    <n v="-0.7142857142857143"/>
    <n v="-3.5714285714285718E-3"/>
    <n v="3.5714285714285718E-3"/>
    <x v="3"/>
  </r>
  <r>
    <x v="7"/>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3-15T00:00:00"/>
    <d v="2021-04-08T00:00:00"/>
    <m/>
    <m/>
    <m/>
    <m/>
    <m/>
    <m/>
    <m/>
    <m/>
    <m/>
    <m/>
    <m/>
    <m/>
    <s v="Informe"/>
    <n v="2.5000000000000001E-3"/>
    <m/>
    <m/>
    <m/>
    <m/>
    <n v="0"/>
    <n v="2.5000000000000001E-3"/>
    <x v="4"/>
    <n v="24"/>
    <n v="-15"/>
    <n v="-0.625"/>
    <n v="-1.5625000000000001E-3"/>
    <m/>
    <x v="2"/>
  </r>
  <r>
    <x v="7"/>
    <s v="Auditoría Proceso de Urbanizaciones y Titulación_x000a_Expedientes del proceso - procedimientos del proceso"/>
    <s v="Urbanizaciones y Titulación"/>
    <s v="Misional"/>
    <s v="Ivonne Andrea Torres Cruz_x000a_Asesora de Control Interno"/>
    <s v="Marcela Urrea Jaramillo"/>
    <s v="Director de Urbanizaciones y Titulación"/>
    <d v="2021-03-15T00:00:00"/>
    <d v="2021-04-08T00:00:00"/>
    <m/>
    <m/>
    <m/>
    <m/>
    <m/>
    <m/>
    <m/>
    <m/>
    <m/>
    <m/>
    <m/>
    <m/>
    <s v="Informe"/>
    <n v="5.0000000000000001E-3"/>
    <m/>
    <m/>
    <m/>
    <m/>
    <n v="0"/>
    <n v="5.0000000000000001E-3"/>
    <x v="4"/>
    <n v="24"/>
    <n v="-15"/>
    <n v="-0.625"/>
    <n v="-3.1250000000000002E-3"/>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3-15T00:00:00"/>
    <d v="2021-04-12T00:00:00"/>
    <m/>
    <m/>
    <m/>
    <m/>
    <m/>
    <m/>
    <m/>
    <m/>
    <m/>
    <m/>
    <m/>
    <m/>
    <s v="Acta"/>
    <n v="2.5000000000000001E-3"/>
    <m/>
    <m/>
    <m/>
    <m/>
    <n v="0"/>
    <n v="2.5000000000000001E-3"/>
    <x v="4"/>
    <n v="28"/>
    <n v="-15"/>
    <n v="-0.5357142857142857"/>
    <n v="-1.3392857142857143E-3"/>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Andrea Sierra Ochoa"/>
    <s v="Asesor de Control Interno"/>
    <d v="2021-03-15T00:00:00"/>
    <d v="2021-09-15T00:00:00"/>
    <m/>
    <m/>
    <m/>
    <m/>
    <m/>
    <m/>
    <m/>
    <m/>
    <m/>
    <m/>
    <m/>
    <m/>
    <s v="Acta"/>
    <n v="3.0000000000000001E-3"/>
    <m/>
    <m/>
    <m/>
    <m/>
    <n v="0"/>
    <n v="3.0000000000000001E-3"/>
    <x v="5"/>
    <n v="184"/>
    <n v="-15"/>
    <n v="-8.1521739130434784E-2"/>
    <n v="-2.4456521739130437E-4"/>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Auditor 6"/>
    <s v="Asesor de Control Interno"/>
    <d v="2021-03-15T00:00:00"/>
    <d v="2021-09-15T00:00:00"/>
    <m/>
    <m/>
    <m/>
    <m/>
    <m/>
    <m/>
    <m/>
    <m/>
    <m/>
    <m/>
    <m/>
    <m/>
    <s v="Acta"/>
    <n v="3.0000000000000001E-3"/>
    <m/>
    <m/>
    <m/>
    <m/>
    <n v="0"/>
    <n v="3.0000000000000001E-3"/>
    <x v="5"/>
    <n v="184"/>
    <n v="-15"/>
    <n v="-8.1521739130434784E-2"/>
    <n v="-2.4456521739130437E-4"/>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Carlos Vargas Hernández"/>
    <s v="Asesor de Control Interno"/>
    <d v="2021-03-15T00:00:00"/>
    <d v="2021-09-15T00:00:00"/>
    <m/>
    <m/>
    <m/>
    <m/>
    <m/>
    <m/>
    <m/>
    <m/>
    <m/>
    <m/>
    <m/>
    <m/>
    <s v="Acta"/>
    <n v="3.0000000000000001E-3"/>
    <m/>
    <m/>
    <m/>
    <m/>
    <n v="0"/>
    <n v="3.0000000000000001E-3"/>
    <x v="5"/>
    <n v="184"/>
    <n v="-15"/>
    <n v="-8.1521739130434784E-2"/>
    <n v="-2.4456521739130437E-4"/>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Joan Gaitán Ferrer"/>
    <s v="Asesor de Control Interno"/>
    <d v="2021-03-15T00:00:00"/>
    <d v="2021-09-15T00:00:00"/>
    <m/>
    <m/>
    <m/>
    <m/>
    <m/>
    <m/>
    <m/>
    <m/>
    <m/>
    <m/>
    <m/>
    <m/>
    <s v="Acta"/>
    <n v="3.0000000000000001E-3"/>
    <m/>
    <m/>
    <m/>
    <m/>
    <n v="0"/>
    <n v="3.0000000000000001E-3"/>
    <x v="5"/>
    <n v="184"/>
    <n v="-15"/>
    <n v="-8.1521739130434784E-2"/>
    <n v="-2.4456521739130437E-4"/>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Kelly Serrano Rincón"/>
    <s v="Asesor de Control Interno"/>
    <d v="2021-03-15T00:00:00"/>
    <d v="2021-09-15T00:00:00"/>
    <m/>
    <m/>
    <m/>
    <m/>
    <m/>
    <m/>
    <m/>
    <m/>
    <m/>
    <m/>
    <m/>
    <m/>
    <s v="Acta"/>
    <n v="3.0000000000000001E-3"/>
    <m/>
    <m/>
    <m/>
    <m/>
    <n v="0"/>
    <n v="3.0000000000000001E-3"/>
    <x v="5"/>
    <n v="184"/>
    <n v="-15"/>
    <n v="-8.1521739130434784E-2"/>
    <n v="-2.4456521739130437E-4"/>
    <m/>
    <x v="2"/>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Marcela Urrea Jaramillo"/>
    <s v="Asesor de Control Interno"/>
    <d v="2021-03-15T00:00:00"/>
    <d v="2021-09-15T00:00:00"/>
    <m/>
    <m/>
    <m/>
    <m/>
    <m/>
    <m/>
    <m/>
    <m/>
    <m/>
    <m/>
    <m/>
    <m/>
    <s v="Acta"/>
    <n v="3.0000000000000001E-3"/>
    <m/>
    <m/>
    <m/>
    <m/>
    <n v="0"/>
    <n v="3.0000000000000001E-3"/>
    <x v="5"/>
    <n v="184"/>
    <n v="-15"/>
    <n v="-8.1521739130434784E-2"/>
    <n v="-2.4456521739130437E-4"/>
    <m/>
    <x v="2"/>
  </r>
  <r>
    <x v="7"/>
    <s v="Verificar el cierre de 2020 y la constitución y el adecuado manejo de los recursos de la caja menor de la vigencia 2021 de la Caja de la Vivienda Popular, en lo relacionado con la delegación de gastos y el manejo de los mismos."/>
    <s v="Gestión Administrativa"/>
    <s v="Apoyo"/>
    <s v="Ivonne Andrea Torres Cruz_x000a_Asesora de Control Interno"/>
    <s v="Carlos Vargas Hernández"/>
    <s v="Subdirector Administrativo"/>
    <d v="2021-03-19T00:00:00"/>
    <d v="2021-04-16T00:00:00"/>
    <m/>
    <m/>
    <m/>
    <m/>
    <m/>
    <m/>
    <m/>
    <m/>
    <m/>
    <m/>
    <m/>
    <m/>
    <s v="Informe"/>
    <n v="5.0000000000000001E-3"/>
    <m/>
    <m/>
    <m/>
    <m/>
    <n v="0"/>
    <n v="5.0000000000000001E-3"/>
    <x v="4"/>
    <n v="28"/>
    <n v="-19"/>
    <n v="-0.6785714285714286"/>
    <n v="-3.3928571428571432E-3"/>
    <m/>
    <x v="2"/>
  </r>
  <r>
    <x v="4"/>
    <s v="Recibir, analizar y dar trámite a las solicitudes de modificación de las acciones del plan de mejoramiento de la contraloría"/>
    <s v="Evaluación de la Gestión"/>
    <s v="Seguimiento y Evaluación"/>
    <s v="Ivonne Andrea Torres Cruz_x000a_Asesora de Control Interno"/>
    <s v="Carlos Vargas Hernández"/>
    <s v="Asesor de Control Interno"/>
    <d v="2021-03-23T00:00:00"/>
    <d v="2021-03-30T00:00:00"/>
    <m/>
    <m/>
    <m/>
    <m/>
    <m/>
    <m/>
    <m/>
    <m/>
    <m/>
    <m/>
    <m/>
    <m/>
    <s v="Certificado"/>
    <n v="2E-3"/>
    <m/>
    <m/>
    <m/>
    <m/>
    <n v="0"/>
    <n v="2E-3"/>
    <x v="3"/>
    <n v="7"/>
    <n v="-23"/>
    <n v="-3.2857142857142856"/>
    <n v="-6.5714285714285709E-3"/>
    <m/>
    <x v="2"/>
  </r>
  <r>
    <x v="7"/>
    <s v="Auditoría Proceso de Mejoramiento de Barrios_x000a_Revisión de Riesgos"/>
    <s v="Mejoramiento de Barrios"/>
    <s v="Misional"/>
    <s v="Ivonne Andrea Torres Cruz_x000a_Asesora de Control Interno"/>
    <s v="Kelly Serrano Rincón"/>
    <s v="Director de Mejoramiento de Barrios"/>
    <d v="2021-03-26T00:00:00"/>
    <d v="2021-04-08T00:00:00"/>
    <m/>
    <m/>
    <m/>
    <m/>
    <m/>
    <m/>
    <m/>
    <m/>
    <m/>
    <m/>
    <m/>
    <m/>
    <s v="Informe"/>
    <n v="0.01"/>
    <m/>
    <m/>
    <m/>
    <m/>
    <n v="0"/>
    <n v="0.01"/>
    <x v="4"/>
    <n v="13"/>
    <n v="-26"/>
    <n v="-2"/>
    <n v="-0.02"/>
    <m/>
    <x v="2"/>
  </r>
  <r>
    <x v="7"/>
    <s v="Seguimiento a los procesos judiciales - SIPROJ - del 01Ene2020 al 28Feb2021"/>
    <s v="Prevención del Daño Antijurídico y Representación Judicial"/>
    <s v="Estratégico"/>
    <s v="Ivonne Andrea Torres Cruz_x000a_Asesora de Control Interno"/>
    <s v="Andrea Sierra Ochoa"/>
    <s v="Director Jurídico "/>
    <d v="2021-03-26T00:00:00"/>
    <d v="2021-05-03T00:00:00"/>
    <m/>
    <m/>
    <m/>
    <m/>
    <m/>
    <m/>
    <m/>
    <m/>
    <m/>
    <m/>
    <m/>
    <m/>
    <s v="Informe"/>
    <n v="5.0000000000000001E-3"/>
    <m/>
    <m/>
    <m/>
    <m/>
    <n v="0"/>
    <n v="5.0000000000000001E-3"/>
    <x v="6"/>
    <n v="38"/>
    <n v="-26"/>
    <n v="-0.68421052631578949"/>
    <n v="-3.4210526315789475E-3"/>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3-29T00:00:00"/>
    <d v="2021-04-06T00:00:00"/>
    <m/>
    <m/>
    <m/>
    <m/>
    <m/>
    <m/>
    <m/>
    <m/>
    <m/>
    <m/>
    <m/>
    <m/>
    <s v="Matriz"/>
    <n v="3.0000000000000001E-3"/>
    <m/>
    <m/>
    <m/>
    <m/>
    <n v="0"/>
    <n v="3.0000000000000001E-3"/>
    <x v="4"/>
    <n v="8"/>
    <n v="-29"/>
    <n v="-3.625"/>
    <n v="-1.0875000000000001E-2"/>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3-30T00:00:00"/>
    <d v="2021-04-06T00:00:00"/>
    <m/>
    <m/>
    <m/>
    <m/>
    <m/>
    <m/>
    <m/>
    <m/>
    <m/>
    <m/>
    <m/>
    <m/>
    <s v="Correo electrónico"/>
    <n v="1E-3"/>
    <m/>
    <m/>
    <m/>
    <m/>
    <n v="0"/>
    <n v="1E-3"/>
    <x v="4"/>
    <n v="7"/>
    <n v="-30"/>
    <n v="-4.2857142857142856"/>
    <n v="-4.2857142857142859E-3"/>
    <m/>
    <x v="2"/>
  </r>
  <r>
    <x v="2"/>
    <s v="Trámite de cuentas de ACI"/>
    <s v="Evaluación de la Gestión"/>
    <s v="Seguimiento y Evaluación"/>
    <s v="Ivonne Andrea Torres Cruz_x000a_Asesora de Control Interno"/>
    <s v="Joan Gaitán Ferrer"/>
    <s v="Asesor de Control Interno"/>
    <d v="2021-04-05T00:00:00"/>
    <d v="2021-04-08T00:00:00"/>
    <m/>
    <m/>
    <m/>
    <m/>
    <m/>
    <m/>
    <m/>
    <m/>
    <m/>
    <m/>
    <m/>
    <m/>
    <s v="Reporte"/>
    <n v="3.0000000000000001E-3"/>
    <m/>
    <m/>
    <m/>
    <m/>
    <n v="0"/>
    <n v="3.0000000000000001E-3"/>
    <x v="4"/>
    <n v="3"/>
    <n v="-36"/>
    <n v="-12"/>
    <n v="-3.6000000000000004E-2"/>
    <m/>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4-05T00:00:00"/>
    <d v="2021-04-09T00:00:00"/>
    <m/>
    <m/>
    <m/>
    <m/>
    <m/>
    <m/>
    <m/>
    <m/>
    <m/>
    <m/>
    <m/>
    <m/>
    <s v="Matriz"/>
    <n v="3.0000000000000001E-3"/>
    <m/>
    <m/>
    <m/>
    <m/>
    <n v="0"/>
    <n v="3.0000000000000001E-3"/>
    <x v="4"/>
    <n v="4"/>
    <n v="-36"/>
    <n v="-9"/>
    <n v="-2.7E-2"/>
    <m/>
    <x v="2"/>
  </r>
  <r>
    <x v="4"/>
    <s v="Informe cuenta mensual SIVICOF"/>
    <s v="Adquisición de Bienes y Servicios"/>
    <s v="Apoyo"/>
    <s v="Ivonne Andrea Torres Cruz_x000a_Asesora de Control Interno"/>
    <s v="Carlos Vargas Hernández"/>
    <s v="Director de Gestión Corporativa y CID"/>
    <d v="2021-04-05T00:00:00"/>
    <d v="2021-04-13T00:00:00"/>
    <m/>
    <m/>
    <m/>
    <m/>
    <m/>
    <m/>
    <m/>
    <m/>
    <m/>
    <m/>
    <m/>
    <m/>
    <s v="Certificado"/>
    <n v="1E-3"/>
    <m/>
    <m/>
    <m/>
    <m/>
    <n v="0"/>
    <n v="1E-3"/>
    <x v="4"/>
    <n v="8"/>
    <n v="-36"/>
    <n v="-4.5"/>
    <n v="-4.5000000000000005E-3"/>
    <m/>
    <x v="2"/>
  </r>
  <r>
    <x v="0"/>
    <s v="Informe presupuestal a Personería"/>
    <s v="Gestión Financiera"/>
    <s v="Apoyo"/>
    <s v="Ivonne Andrea Torres Cruz_x000a_Asesora de Control Interno"/>
    <s v="Elizabeth Sáenz Sáenz"/>
    <s v="Subdirector Financiero"/>
    <d v="2021-04-05T00:00:00"/>
    <d v="2021-04-13T00:00:00"/>
    <m/>
    <m/>
    <m/>
    <m/>
    <m/>
    <m/>
    <m/>
    <m/>
    <m/>
    <m/>
    <m/>
    <m/>
    <s v="Informe"/>
    <n v="1E-3"/>
    <m/>
    <m/>
    <m/>
    <m/>
    <n v="0"/>
    <n v="1E-3"/>
    <x v="4"/>
    <n v="8"/>
    <n v="-36"/>
    <n v="-4.5"/>
    <n v="-4.5000000000000005E-3"/>
    <m/>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4-05T00:00:00"/>
    <d v="2021-04-23T00:00:00"/>
    <m/>
    <m/>
    <m/>
    <m/>
    <m/>
    <m/>
    <m/>
    <m/>
    <m/>
    <m/>
    <m/>
    <m/>
    <s v="Informe"/>
    <n v="7.4999999999999997E-3"/>
    <m/>
    <m/>
    <m/>
    <m/>
    <n v="0"/>
    <n v="7.4999999999999997E-3"/>
    <x v="4"/>
    <n v="18"/>
    <n v="-36"/>
    <n v="-2"/>
    <n v="-1.4999999999999999E-2"/>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4-05T00:00:00"/>
    <d v="2021-04-23T00:00:00"/>
    <m/>
    <m/>
    <m/>
    <m/>
    <m/>
    <m/>
    <m/>
    <m/>
    <m/>
    <m/>
    <m/>
    <m/>
    <s v="Acta"/>
    <n v="5.0000000000000001E-3"/>
    <m/>
    <m/>
    <m/>
    <m/>
    <n v="0"/>
    <n v="5.0000000000000001E-3"/>
    <x v="4"/>
    <n v="18"/>
    <n v="-36"/>
    <n v="-2"/>
    <n v="-0.01"/>
    <m/>
    <x v="2"/>
  </r>
  <r>
    <x v="0"/>
    <s v="Informe de seguimiento a la Sostenibilidad Contable - Resolución DDC-00003 del 05 de diciembre de 2018 - corte al 31Mar2021"/>
    <s v="Gestión Financiera"/>
    <s v="Apoyo"/>
    <s v="Ivonne Andrea Torres Cruz_x000a_Asesora de Control Interno"/>
    <s v="Marcela Urrea Jaramillo"/>
    <s v="Subdirector Financiero"/>
    <d v="2021-04-05T00:00:00"/>
    <d v="2021-04-30T00:00:00"/>
    <m/>
    <m/>
    <m/>
    <m/>
    <m/>
    <m/>
    <m/>
    <m/>
    <m/>
    <m/>
    <m/>
    <m/>
    <s v="Informe"/>
    <n v="3.0000000000000001E-3"/>
    <m/>
    <m/>
    <m/>
    <m/>
    <n v="0"/>
    <n v="3.0000000000000001E-3"/>
    <x v="4"/>
    <n v="25"/>
    <n v="-36"/>
    <n v="-1.44"/>
    <n v="-4.3200000000000001E-3"/>
    <m/>
    <x v="2"/>
  </r>
  <r>
    <x v="7"/>
    <s v="Auditoría Proceso de Mejoramiento de Vivienda_x000a_Revisión de Riesgos"/>
    <s v="Mejoramiento de Vivienda"/>
    <s v="Misional"/>
    <s v="Ivonne Andrea Torres Cruz_x000a_Asesora de Control Interno"/>
    <s v="Kelly Serrano Rincón"/>
    <s v="Director de Mejoramiento de Vivienda"/>
    <d v="2021-04-09T00:00:00"/>
    <d v="2021-04-20T00:00:00"/>
    <m/>
    <m/>
    <m/>
    <m/>
    <m/>
    <m/>
    <m/>
    <m/>
    <m/>
    <m/>
    <m/>
    <m/>
    <s v="Informe"/>
    <n v="0.01"/>
    <m/>
    <m/>
    <m/>
    <m/>
    <n v="0"/>
    <n v="0.01"/>
    <x v="4"/>
    <n v="11"/>
    <n v="-40"/>
    <n v="-3.6363636363636362"/>
    <n v="-3.6363636363636362E-2"/>
    <m/>
    <x v="2"/>
  </r>
  <r>
    <x v="0"/>
    <s v="Informe Directiva 003 de 2013 Alcaldía Mayor de Bogotá"/>
    <s v="Gestión Administrativa"/>
    <s v="Apoyo"/>
    <s v="Ivonne Andrea Torres Cruz_x000a_Asesora de Control Interno"/>
    <s v="Marcela Urrea Jaramillo"/>
    <s v="Subdirector Administrativo"/>
    <d v="2021-04-13T00:00:00"/>
    <d v="2021-05-13T00:00:00"/>
    <m/>
    <m/>
    <m/>
    <m/>
    <m/>
    <m/>
    <m/>
    <m/>
    <m/>
    <m/>
    <m/>
    <m/>
    <s v="Informe"/>
    <n v="0.01"/>
    <m/>
    <m/>
    <m/>
    <m/>
    <n v="0"/>
    <n v="0.01"/>
    <x v="6"/>
    <n v="30"/>
    <n v="-44"/>
    <n v="-1.4666666666666666"/>
    <n v="-1.4666666666666666E-2"/>
    <m/>
    <x v="2"/>
  </r>
  <r>
    <x v="7"/>
    <s v="Auditoría Proceso de Reasentamientos Humanos_x000a_Revisión de Riesgos"/>
    <s v="Reasentamientos Humanos"/>
    <s v="Misional"/>
    <s v="Ivonne Andrea Torres Cruz_x000a_Asesora de Control Interno"/>
    <s v="Kelly Serrano Rincón"/>
    <s v="Director de Reasentamientos Humanos"/>
    <d v="2021-04-21T00:00:00"/>
    <d v="2021-04-30T00:00:00"/>
    <m/>
    <m/>
    <m/>
    <m/>
    <m/>
    <m/>
    <m/>
    <m/>
    <m/>
    <m/>
    <m/>
    <m/>
    <s v="Informe"/>
    <n v="3.7499999999999999E-3"/>
    <m/>
    <m/>
    <m/>
    <m/>
    <n v="0"/>
    <n v="3.7499999999999999E-3"/>
    <x v="4"/>
    <n v="9"/>
    <n v="-52"/>
    <n v="-5.7777777777777777"/>
    <n v="-2.1666666666666664E-2"/>
    <m/>
    <x v="2"/>
  </r>
  <r>
    <x v="1"/>
    <s v="Seguimiento Matriz de riesgos de corrupción y por proceso 2021"/>
    <s v="Todos los Procesos"/>
    <s v="Todos los Procesos"/>
    <s v="Ivonne Andrea Torres Cruz_x000a_Asesora de Control Interno"/>
    <s v="Kelly Serrano Rincón"/>
    <s v="Líderes de Cada Proceso"/>
    <d v="2021-04-26T00:00:00"/>
    <d v="2021-05-14T00:00:00"/>
    <m/>
    <m/>
    <m/>
    <m/>
    <m/>
    <m/>
    <m/>
    <m/>
    <m/>
    <m/>
    <m/>
    <m/>
    <s v="Informe"/>
    <n v="1.6E-2"/>
    <m/>
    <m/>
    <m/>
    <m/>
    <n v="0"/>
    <n v="1.6E-2"/>
    <x v="6"/>
    <n v="18"/>
    <n v="-57"/>
    <n v="-3.1666666666666665"/>
    <n v="-5.0666666666666665E-2"/>
    <m/>
    <x v="2"/>
  </r>
  <r>
    <x v="1"/>
    <s v="Seguimiento Plan Anticorrupción y de Atención al Ciudadano 2021. Decreto 124 de 2016"/>
    <s v="Todos los Procesos"/>
    <s v="Todos los Procesos"/>
    <s v="Ivonne Andrea Torres Cruz_x000a_Asesora de Control Interno"/>
    <s v="Kelly Serrano Rincón"/>
    <s v="Líderes de Cada Proceso"/>
    <d v="2021-04-26T00:00:00"/>
    <d v="2021-05-14T00:00:00"/>
    <m/>
    <m/>
    <m/>
    <m/>
    <m/>
    <m/>
    <m/>
    <m/>
    <m/>
    <m/>
    <m/>
    <m/>
    <s v="Informe"/>
    <n v="1.6E-2"/>
    <m/>
    <m/>
    <m/>
    <m/>
    <n v="0"/>
    <n v="1.6E-2"/>
    <x v="6"/>
    <n v="18"/>
    <n v="-57"/>
    <n v="-3.1666666666666665"/>
    <n v="-5.0666666666666665E-2"/>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4-28T00:00:00"/>
    <d v="2021-05-04T00:00:00"/>
    <m/>
    <m/>
    <m/>
    <m/>
    <m/>
    <m/>
    <m/>
    <m/>
    <m/>
    <m/>
    <m/>
    <m/>
    <s v="Matriz"/>
    <n v="3.0000000000000001E-3"/>
    <m/>
    <m/>
    <m/>
    <m/>
    <n v="0"/>
    <n v="3.0000000000000001E-3"/>
    <x v="6"/>
    <n v="6"/>
    <n v="-59"/>
    <n v="-9.8333333333333339"/>
    <n v="-2.9500000000000002E-2"/>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4-29T00:00:00"/>
    <d v="2021-05-04T00:00:00"/>
    <m/>
    <m/>
    <m/>
    <m/>
    <m/>
    <m/>
    <m/>
    <m/>
    <m/>
    <m/>
    <m/>
    <m/>
    <s v="Correo electrónico"/>
    <n v="1E-3"/>
    <m/>
    <m/>
    <m/>
    <m/>
    <n v="0"/>
    <n v="1E-3"/>
    <x v="6"/>
    <n v="5"/>
    <n v="-60"/>
    <n v="-12"/>
    <n v="-1.2E-2"/>
    <m/>
    <x v="2"/>
  </r>
  <r>
    <x v="2"/>
    <s v="Trámite de cuentas de ACI"/>
    <s v="Evaluación de la Gestión"/>
    <s v="Seguimiento y Evaluación"/>
    <s v="Ivonne Andrea Torres Cruz_x000a_Asesora de Control Interno"/>
    <s v="Joan Gaitán Ferrer"/>
    <s v="Asesor de Control Interno"/>
    <d v="2021-05-03T00:00:00"/>
    <d v="2021-05-06T00:00:00"/>
    <m/>
    <m/>
    <m/>
    <m/>
    <m/>
    <m/>
    <m/>
    <m/>
    <m/>
    <m/>
    <m/>
    <m/>
    <s v="Reporte"/>
    <n v="3.0000000000000001E-3"/>
    <m/>
    <m/>
    <m/>
    <m/>
    <n v="0"/>
    <n v="3.0000000000000001E-3"/>
    <x v="6"/>
    <n v="3"/>
    <n v="-64"/>
    <n v="-21.333333333333332"/>
    <n v="-6.4000000000000001E-2"/>
    <m/>
    <x v="2"/>
  </r>
  <r>
    <x v="4"/>
    <s v="Informe cuenta mensual SIVICOF"/>
    <s v="Gestión Financiera"/>
    <s v="Apoyo"/>
    <s v="Ivonne Andrea Torres Cruz_x000a_Asesora de Control Interno"/>
    <s v="Carlos Vargas Hernández"/>
    <s v="Subdirector Financiero"/>
    <d v="2021-05-03T00:00:00"/>
    <d v="2021-05-11T00:00:00"/>
    <m/>
    <m/>
    <m/>
    <m/>
    <m/>
    <m/>
    <m/>
    <m/>
    <m/>
    <m/>
    <m/>
    <m/>
    <s v="Certificado"/>
    <n v="1E-3"/>
    <m/>
    <m/>
    <m/>
    <m/>
    <n v="0"/>
    <n v="1E-3"/>
    <x v="6"/>
    <n v="8"/>
    <n v="-64"/>
    <n v="-8"/>
    <n v="-8.0000000000000002E-3"/>
    <m/>
    <x v="2"/>
  </r>
  <r>
    <x v="0"/>
    <s v="Informe presupuestal a Personería"/>
    <s v="Gestión Financiera"/>
    <s v="Apoyo"/>
    <s v="Ivonne Andrea Torres Cruz_x000a_Asesora de Control Interno"/>
    <s v="Elizabeth Sáenz Sáenz"/>
    <s v="Subdirector Financiero"/>
    <d v="2021-05-03T00:00:00"/>
    <d v="2021-05-11T00:00:00"/>
    <m/>
    <m/>
    <m/>
    <m/>
    <m/>
    <m/>
    <m/>
    <m/>
    <m/>
    <m/>
    <m/>
    <m/>
    <s v="Informe"/>
    <n v="1E-3"/>
    <m/>
    <m/>
    <m/>
    <m/>
    <n v="0"/>
    <n v="1E-3"/>
    <x v="6"/>
    <n v="8"/>
    <n v="-64"/>
    <n v="-8"/>
    <n v="-8.0000000000000002E-3"/>
    <m/>
    <x v="2"/>
  </r>
  <r>
    <x v="7"/>
    <s v="Auditoría a la aplicación de las políticas contables por parte de los procesos de Gestión Financiera y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64"/>
    <n v="-1.103448275862069"/>
    <n v="-1.3793103448275863E-3"/>
    <m/>
    <x v="2"/>
  </r>
  <r>
    <x v="7"/>
    <s v="Auditoría a la aplicación de las políticas contables por parte de los procesos de Gestión Financiera y de Urbanizaciones y Titulación"/>
    <s v="Gestión Financiera"/>
    <s v="Apoyo"/>
    <s v="Ivonne Andrea Torres Cruz_x000a_Asesora de Control Interno"/>
    <s v="Carlos Vargas Hernández"/>
    <s v="Subdirector Financiero"/>
    <d v="2021-05-03T00:00:00"/>
    <d v="2021-06-30T00:00:00"/>
    <m/>
    <m/>
    <m/>
    <m/>
    <m/>
    <m/>
    <m/>
    <m/>
    <m/>
    <m/>
    <m/>
    <m/>
    <s v="Informe"/>
    <n v="1.25E-3"/>
    <m/>
    <m/>
    <m/>
    <m/>
    <n v="0"/>
    <n v="1.25E-3"/>
    <x v="7"/>
    <n v="58"/>
    <n v="-64"/>
    <n v="-1.103448275862069"/>
    <n v="-1.3793103448275863E-3"/>
    <m/>
    <x v="2"/>
  </r>
  <r>
    <x v="7"/>
    <s v="Auditoría a la cartera generada por el Proceso de Urbanizaciones y Titulación"/>
    <s v="Gestión Financiera"/>
    <s v="Apoyo"/>
    <s v="Ivonne Andrea Torres Cruz_x000a_Asesora de Control Interno"/>
    <s v="Carlos Vargas Hernández"/>
    <s v="Subdirector Financiero"/>
    <d v="2021-05-03T00:00:00"/>
    <d v="2021-06-30T00:00:00"/>
    <m/>
    <m/>
    <m/>
    <m/>
    <m/>
    <m/>
    <m/>
    <m/>
    <m/>
    <m/>
    <m/>
    <m/>
    <s v="Informe"/>
    <n v="1.25E-3"/>
    <m/>
    <m/>
    <m/>
    <m/>
    <n v="0"/>
    <n v="1.25E-3"/>
    <x v="7"/>
    <n v="58"/>
    <n v="-64"/>
    <n v="-1.103448275862069"/>
    <n v="-1.3793103448275863E-3"/>
    <m/>
    <x v="2"/>
  </r>
  <r>
    <x v="7"/>
    <s v="Auditoría a la cartera generada por el Proceso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64"/>
    <n v="-1.103448275862069"/>
    <n v="-1.3793103448275863E-3"/>
    <m/>
    <x v="2"/>
  </r>
  <r>
    <x v="7"/>
    <s v="Auditoría a los inventarios de bienes inmuebles reportados por el Proceso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64"/>
    <n v="-1.103448275862069"/>
    <n v="-1.3793103448275863E-3"/>
    <m/>
    <x v="2"/>
  </r>
  <r>
    <x v="7"/>
    <s v="Auditoría a los inventarios de bienes inmuebles reportados por el Proceso de Urbanizaciones y Titulación"/>
    <s v="Gestión Administrativa"/>
    <s v="Apoyo"/>
    <s v="Ivonne Andrea Torres Cruz_x000a_Asesora de Control Interno"/>
    <s v="Carlos Vargas Hernández"/>
    <s v="Subdirector Administrativo"/>
    <d v="2021-05-03T00:00:00"/>
    <d v="2021-06-30T00:00:00"/>
    <m/>
    <m/>
    <m/>
    <m/>
    <m/>
    <m/>
    <m/>
    <m/>
    <m/>
    <m/>
    <m/>
    <m/>
    <s v="Informe"/>
    <n v="1.25E-3"/>
    <m/>
    <m/>
    <m/>
    <m/>
    <n v="0"/>
    <n v="1.25E-3"/>
    <x v="7"/>
    <n v="58"/>
    <n v="-64"/>
    <n v="-1.103448275862069"/>
    <n v="-1.3793103448275863E-3"/>
    <m/>
    <x v="2"/>
  </r>
  <r>
    <x v="7"/>
    <s v="Auditoría Proceso de Gestión del Talento Humano_x000a_Cobro de las Incapacidades reportadas por los funcionarios del proceso de Urbanizaciones y Titulación"/>
    <s v="Gestión del Talento Humano"/>
    <s v="Apoyo"/>
    <s v="Ivonne Andrea Torres Cruz_x000a_Asesora de Control Interno"/>
    <s v="Carlos Vargas Hernández"/>
    <s v="Subdirector Administrativo"/>
    <d v="2021-05-03T00:00:00"/>
    <d v="2021-06-30T00:00:00"/>
    <m/>
    <m/>
    <m/>
    <m/>
    <m/>
    <m/>
    <m/>
    <m/>
    <m/>
    <m/>
    <m/>
    <m/>
    <s v="Informe"/>
    <n v="1.25E-3"/>
    <m/>
    <m/>
    <m/>
    <m/>
    <n v="0"/>
    <n v="1.25E-3"/>
    <x v="7"/>
    <n v="58"/>
    <n v="-64"/>
    <n v="-1.103448275862069"/>
    <n v="-1.3793103448275863E-3"/>
    <m/>
    <x v="2"/>
  </r>
  <r>
    <x v="7"/>
    <s v="Auditoría Proceso de Mejoramiento de Barrios_x000a_Cumplimiento metas del PDD y Proyecto de inversión - Presupuesto - FUSS - Plan Anual de Adquisidores - Indicadores"/>
    <s v="Mejoramiento de Barrios"/>
    <s v="Misional"/>
    <s v="Ivonne Andrea Torres Cruz_x000a_Asesora de Control Interno"/>
    <s v="Carlos Vargas Hernández"/>
    <s v="Director de Mejoramiento de Barrios"/>
    <d v="2021-05-03T00:00:00"/>
    <d v="2021-06-30T00:00:00"/>
    <m/>
    <m/>
    <m/>
    <m/>
    <m/>
    <m/>
    <m/>
    <m/>
    <m/>
    <m/>
    <m/>
    <m/>
    <s v="Informe"/>
    <n v="5.0000000000000001E-3"/>
    <m/>
    <m/>
    <m/>
    <m/>
    <n v="0"/>
    <n v="5.0000000000000001E-3"/>
    <x v="7"/>
    <n v="58"/>
    <n v="-64"/>
    <n v="-1.103448275862069"/>
    <n v="-5.5172413793103453E-3"/>
    <m/>
    <x v="2"/>
  </r>
  <r>
    <x v="7"/>
    <s v="Auditoría Proceso de Mejoramiento de Barrios_x000a_Decreto 371 de 2010 - Artículo 2 - de los procesos de contratación en el distrito capital"/>
    <s v="Adquisición de Bienes y Servicios"/>
    <s v="Apoyo"/>
    <s v="Ivonne Andrea Torres Cruz_x000a_Asesora de Control Interno"/>
    <s v="Andrea Sierra Ochoa"/>
    <s v="Director de Gestión Corporativa y CID"/>
    <d v="2021-05-04T00:00:00"/>
    <d v="2021-06-09T00:00:00"/>
    <m/>
    <m/>
    <m/>
    <m/>
    <m/>
    <m/>
    <m/>
    <m/>
    <m/>
    <m/>
    <m/>
    <m/>
    <s v="Informe"/>
    <n v="5.0000000000000001E-3"/>
    <m/>
    <m/>
    <m/>
    <m/>
    <n v="0"/>
    <n v="5.0000000000000001E-3"/>
    <x v="7"/>
    <n v="36"/>
    <n v="-65"/>
    <n v="-1.8055555555555556"/>
    <n v="-9.0277777777777787E-3"/>
    <m/>
    <x v="2"/>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Joan Gaitán Ferrer"/>
    <s v="Líderes de Cada Proceso"/>
    <d v="2021-05-11T00:00:00"/>
    <d v="2021-05-15T00:00:00"/>
    <m/>
    <m/>
    <m/>
    <m/>
    <m/>
    <m/>
    <m/>
    <m/>
    <m/>
    <m/>
    <m/>
    <m/>
    <s v="Reporte"/>
    <n v="5.0000000000000001E-3"/>
    <m/>
    <m/>
    <m/>
    <m/>
    <n v="0"/>
    <n v="5.0000000000000001E-3"/>
    <x v="6"/>
    <n v="4"/>
    <n v="-72"/>
    <n v="-18"/>
    <n v="-0.09"/>
    <m/>
    <x v="2"/>
  </r>
  <r>
    <x v="7"/>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5-14T00:00:00"/>
    <d v="2021-06-15T00:00:00"/>
    <m/>
    <m/>
    <m/>
    <m/>
    <m/>
    <m/>
    <m/>
    <m/>
    <m/>
    <m/>
    <m/>
    <m/>
    <s v="Informe"/>
    <n v="5.0000000000000001E-3"/>
    <m/>
    <m/>
    <m/>
    <m/>
    <n v="0"/>
    <n v="5.0000000000000001E-3"/>
    <x v="7"/>
    <n v="32"/>
    <n v="-75"/>
    <n v="-2.34375"/>
    <n v="-1.171875E-2"/>
    <m/>
    <x v="2"/>
  </r>
  <r>
    <x v="7"/>
    <s v="Auditoría Proceso de Mejoramiento de Barrios_x000a_Expedientes del proceso - procedimientos del proceso"/>
    <s v="Mejoramiento de Barrios"/>
    <s v="Misional"/>
    <s v="Ivonne Andrea Torres Cruz_x000a_Asesora de Control Interno"/>
    <s v="Marcela Urrea Jaramillo"/>
    <s v="Director de Mejoramiento de Barrios"/>
    <d v="2021-05-14T00:00:00"/>
    <d v="2021-06-15T00:00:00"/>
    <m/>
    <m/>
    <m/>
    <m/>
    <m/>
    <m/>
    <m/>
    <m/>
    <m/>
    <m/>
    <m/>
    <m/>
    <s v="Informe"/>
    <n v="5.0000000000000001E-3"/>
    <m/>
    <m/>
    <m/>
    <m/>
    <n v="0"/>
    <n v="5.0000000000000001E-3"/>
    <x v="7"/>
    <n v="32"/>
    <n v="-75"/>
    <n v="-2.34375"/>
    <n v="-1.171875E-2"/>
    <m/>
    <x v="2"/>
  </r>
  <r>
    <x v="7"/>
    <s v="Auditoría Proceso de Urbanizaciones y Titulación_x000a_Cumplimiento metas del PDD y Proyecto de inversión - Presupuesto - FUSS - Plan Anual de Adquisidores - Indicadores"/>
    <s v="Urbanizaciones y Titulación"/>
    <s v="Misional"/>
    <s v="Ivonne Andrea Torres Cruz_x000a_Asesora de Control Interno"/>
    <s v="Kelly Serrano Rincón"/>
    <s v="Director de Urbanizaciones y Titulación"/>
    <d v="2021-05-18T00:00:00"/>
    <d v="2021-06-11T00:00:00"/>
    <m/>
    <m/>
    <m/>
    <m/>
    <m/>
    <m/>
    <m/>
    <m/>
    <m/>
    <m/>
    <m/>
    <m/>
    <s v="Informe"/>
    <n v="5.0000000000000001E-3"/>
    <m/>
    <m/>
    <m/>
    <m/>
    <n v="0"/>
    <n v="5.0000000000000001E-3"/>
    <x v="7"/>
    <n v="24"/>
    <n v="-79"/>
    <n v="-3.2916666666666665"/>
    <n v="-1.6458333333333332E-2"/>
    <m/>
    <x v="2"/>
  </r>
  <r>
    <x v="2"/>
    <s v="Diseño y gestión de capacitaciones para el fortalecimiento y aplicación del principio de autocontrol  "/>
    <s v="Todos los Procesos"/>
    <s v="Todos los Procesos"/>
    <s v="Ivonne Andrea Torres Cruz_x000a_Asesora de Control Interno"/>
    <s v="Kelly Serrano Rincón"/>
    <s v="Líderes de Cada Proceso"/>
    <d v="2021-05-18T00:00:00"/>
    <d v="2021-09-30T00:00:00"/>
    <m/>
    <m/>
    <m/>
    <m/>
    <m/>
    <m/>
    <m/>
    <m/>
    <m/>
    <m/>
    <m/>
    <m/>
    <s v="Presentación"/>
    <n v="1.2E-2"/>
    <m/>
    <m/>
    <m/>
    <m/>
    <n v="0"/>
    <n v="1.2E-2"/>
    <x v="5"/>
    <n v="135"/>
    <n v="-79"/>
    <n v="-0.58518518518518514"/>
    <n v="-7.0222222222222222E-3"/>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5-26T00:00:00"/>
    <d v="2021-06-02T00:00:00"/>
    <m/>
    <m/>
    <m/>
    <m/>
    <m/>
    <m/>
    <m/>
    <m/>
    <m/>
    <m/>
    <m/>
    <m/>
    <s v="Matriz"/>
    <n v="3.0000000000000001E-3"/>
    <m/>
    <m/>
    <m/>
    <m/>
    <n v="0"/>
    <n v="3.0000000000000001E-3"/>
    <x v="7"/>
    <n v="7"/>
    <n v="-87"/>
    <n v="-12.428571428571429"/>
    <n v="-3.728571428571429E-2"/>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5-28T00:00:00"/>
    <d v="2021-06-02T00:00:00"/>
    <m/>
    <m/>
    <m/>
    <m/>
    <m/>
    <m/>
    <m/>
    <m/>
    <m/>
    <m/>
    <m/>
    <m/>
    <s v="Correo electrónico"/>
    <n v="1E-3"/>
    <m/>
    <m/>
    <m/>
    <m/>
    <n v="0"/>
    <n v="1E-3"/>
    <x v="7"/>
    <n v="5"/>
    <n v="-89"/>
    <n v="-17.8"/>
    <n v="-1.78E-2"/>
    <m/>
    <x v="2"/>
  </r>
  <r>
    <x v="2"/>
    <s v="Trámite de cuentas de ACI"/>
    <s v="Evaluación de la Gestión"/>
    <s v="Seguimiento y Evaluación"/>
    <s v="Ivonne Andrea Torres Cruz_x000a_Asesora de Control Interno"/>
    <s v="Joan Gaitán Ferrer"/>
    <s v="Asesor de Control Interno"/>
    <d v="2021-06-01T00:00:00"/>
    <d v="2021-06-04T00:00:00"/>
    <m/>
    <m/>
    <m/>
    <m/>
    <m/>
    <m/>
    <m/>
    <m/>
    <m/>
    <m/>
    <m/>
    <m/>
    <s v="Reporte"/>
    <n v="3.0000000000000001E-3"/>
    <m/>
    <m/>
    <m/>
    <m/>
    <n v="0"/>
    <n v="3.0000000000000001E-3"/>
    <x v="7"/>
    <n v="3"/>
    <n v="-93"/>
    <n v="-31"/>
    <n v="-9.2999999999999999E-2"/>
    <m/>
    <x v="2"/>
  </r>
  <r>
    <x v="4"/>
    <s v="Informe cuenta mensual SIVICOF"/>
    <s v="Adquisición de Bienes y Servicios"/>
    <s v="Apoyo"/>
    <s v="Ivonne Andrea Torres Cruz_x000a_Asesora de Control Interno"/>
    <s v="Carlos Vargas Hernández"/>
    <s v="Director de Gestión Corporativa y CID"/>
    <d v="2021-06-01T00:00:00"/>
    <d v="2021-06-10T00:00:00"/>
    <m/>
    <m/>
    <m/>
    <m/>
    <m/>
    <m/>
    <m/>
    <m/>
    <m/>
    <m/>
    <m/>
    <m/>
    <s v="Certificado"/>
    <n v="1E-3"/>
    <m/>
    <m/>
    <m/>
    <m/>
    <n v="0"/>
    <n v="1E-3"/>
    <x v="7"/>
    <n v="9"/>
    <n v="-93"/>
    <n v="-10.333333333333334"/>
    <n v="-1.0333333333333335E-2"/>
    <m/>
    <x v="2"/>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s v="Evaluación de la Gestión"/>
    <s v="Seguimiento y Evaluación"/>
    <s v="Ivonne Andrea Torres Cruz_x000a_Asesora de Control Interno"/>
    <s v="Andrea Sierra Ochoa"/>
    <s v="Asesor de Control Interno"/>
    <d v="2021-06-01T00:00:00"/>
    <d v="2021-08-31T00:00:00"/>
    <m/>
    <m/>
    <m/>
    <m/>
    <m/>
    <m/>
    <m/>
    <m/>
    <m/>
    <m/>
    <m/>
    <m/>
    <s v="Piezas comunicativas y presentación"/>
    <n v="1.0999999999999999E-2"/>
    <m/>
    <m/>
    <m/>
    <m/>
    <n v="0"/>
    <n v="1.0999999999999999E-2"/>
    <x v="8"/>
    <n v="91"/>
    <n v="-93"/>
    <n v="-1.0219780219780219"/>
    <n v="-1.1241758241758239E-2"/>
    <m/>
    <x v="2"/>
  </r>
  <r>
    <x v="0"/>
    <s v="Informe presupuestal a Personería"/>
    <s v="Gestión Financiera"/>
    <s v="Apoyo"/>
    <s v="Ivonne Andrea Torres Cruz_x000a_Asesora de Control Interno"/>
    <s v="Elizabeth Sáenz Sáenz"/>
    <s v="Subdirector Financiero"/>
    <d v="2021-06-04T00:00:00"/>
    <d v="2021-06-10T00:00:00"/>
    <m/>
    <m/>
    <m/>
    <m/>
    <m/>
    <m/>
    <m/>
    <m/>
    <m/>
    <m/>
    <m/>
    <m/>
    <s v="Informe"/>
    <n v="1E-3"/>
    <m/>
    <m/>
    <m/>
    <m/>
    <n v="0"/>
    <n v="1E-3"/>
    <x v="7"/>
    <n v="6"/>
    <n v="-96"/>
    <n v="-16"/>
    <n v="-1.6E-2"/>
    <m/>
    <x v="2"/>
  </r>
  <r>
    <x v="0"/>
    <s v="Revisión por la Dirección ISO 9001:2015 - información a cargo de control interno"/>
    <s v="Gestión Estratégica"/>
    <s v="Estratégico"/>
    <s v="Ivonne Andrea Torres Cruz_x000a_Asesora de Control Interno"/>
    <s v="Joan Gaitán Ferrer"/>
    <s v="Jefe Oficina Asesora de Planeación "/>
    <d v="2021-06-08T00:00:00"/>
    <d v="2021-06-25T00:00:00"/>
    <m/>
    <m/>
    <m/>
    <m/>
    <m/>
    <m/>
    <m/>
    <m/>
    <m/>
    <m/>
    <m/>
    <m/>
    <s v="Informe"/>
    <n v="0.01"/>
    <m/>
    <m/>
    <m/>
    <m/>
    <n v="0"/>
    <n v="0.01"/>
    <x v="7"/>
    <n v="17"/>
    <n v="-100"/>
    <n v="-5.882352941176471"/>
    <n v="-5.8823529411764712E-2"/>
    <m/>
    <x v="2"/>
  </r>
  <r>
    <x v="7"/>
    <s v="Auditoría Proceso de Mejoramiento de Vivienda_x000a_Decreto 371 de 2010 - Artículo 2 - de los procesos de contratación en el distrito capital"/>
    <s v="Adquisición de Bienes y Servicios"/>
    <s v="Apoyo"/>
    <s v="Ivonne Andrea Torres Cruz_x000a_Asesora de Control Interno"/>
    <s v="Andrea Sierra Ochoa"/>
    <s v="Director de Gestión Corporativa y CID"/>
    <d v="2021-06-10T00:00:00"/>
    <d v="2021-07-16T00:00:00"/>
    <m/>
    <m/>
    <m/>
    <m/>
    <m/>
    <m/>
    <m/>
    <m/>
    <m/>
    <m/>
    <m/>
    <m/>
    <s v="Informe"/>
    <n v="5.0000000000000001E-3"/>
    <m/>
    <m/>
    <m/>
    <m/>
    <n v="0"/>
    <n v="5.0000000000000001E-3"/>
    <x v="9"/>
    <n v="36"/>
    <n v="-102"/>
    <n v="-2.8333333333333335"/>
    <n v="-1.4166666666666668E-2"/>
    <m/>
    <x v="2"/>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06-15T00:00:00"/>
    <d v="2021-07-02T00:00:00"/>
    <m/>
    <m/>
    <m/>
    <m/>
    <m/>
    <m/>
    <m/>
    <m/>
    <m/>
    <m/>
    <m/>
    <m/>
    <s v="Matriz"/>
    <n v="0.02"/>
    <m/>
    <m/>
    <m/>
    <m/>
    <n v="0"/>
    <n v="0.02"/>
    <x v="9"/>
    <n v="17"/>
    <n v="-107"/>
    <n v="-6.2941176470588234"/>
    <n v="-0.12588235294117647"/>
    <m/>
    <x v="2"/>
  </r>
  <r>
    <x v="6"/>
    <s v="Seguimiento al Plan de Mejoramiento Interno - Artículo 5 del Decreto 371 de 2010"/>
    <s v="Todos los Procesos"/>
    <s v="Todos los Procesos"/>
    <s v="Ivonne Andrea Torres Cruz_x000a_Asesora de Control Interno"/>
    <s v="Kelly Serrano Rincón"/>
    <s v="Líderes de Cada Proceso"/>
    <d v="2021-06-15T00:00:00"/>
    <d v="2021-07-02T00:00:00"/>
    <m/>
    <m/>
    <m/>
    <m/>
    <m/>
    <m/>
    <m/>
    <m/>
    <m/>
    <m/>
    <m/>
    <m/>
    <s v="Matriz"/>
    <n v="0.02"/>
    <m/>
    <m/>
    <m/>
    <m/>
    <n v="0"/>
    <n v="0.02"/>
    <x v="9"/>
    <n v="17"/>
    <n v="-107"/>
    <n v="-6.2941176470588234"/>
    <n v="-0.12588235294117647"/>
    <m/>
    <x v="2"/>
  </r>
  <r>
    <x v="2"/>
    <s v="Diseñar, preparar, aplicar, tabular y realizar informe con oportunidades de mejora de la implementación y aplicación del estatuto interno del auditor y del código de ética del auditor"/>
    <s v="Todos los Procesos"/>
    <s v="Todos los Procesos"/>
    <s v="Ivonne Andrea Torres Cruz_x000a_Asesora de Control Interno"/>
    <s v="Joan Gaitán Ferrer"/>
    <s v="Líderes de Cada Proceso"/>
    <d v="2021-06-15T00:00:00"/>
    <d v="2021-07-15T00:00:00"/>
    <m/>
    <m/>
    <m/>
    <m/>
    <m/>
    <m/>
    <m/>
    <m/>
    <m/>
    <m/>
    <m/>
    <m/>
    <s v="Informe"/>
    <n v="5.0000000000000001E-3"/>
    <m/>
    <m/>
    <m/>
    <m/>
    <n v="0"/>
    <n v="5.0000000000000001E-3"/>
    <x v="9"/>
    <n v="30"/>
    <n v="-107"/>
    <n v="-3.5666666666666669"/>
    <n v="-1.7833333333333336E-2"/>
    <m/>
    <x v="2"/>
  </r>
  <r>
    <x v="7"/>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6-16T00:00:00"/>
    <d v="2021-07-16T00:00:00"/>
    <m/>
    <m/>
    <m/>
    <m/>
    <m/>
    <m/>
    <m/>
    <m/>
    <m/>
    <m/>
    <m/>
    <m/>
    <s v="Informe"/>
    <n v="2.5000000000000001E-3"/>
    <m/>
    <m/>
    <m/>
    <m/>
    <n v="0"/>
    <n v="2.5000000000000001E-3"/>
    <x v="9"/>
    <n v="30"/>
    <n v="-108"/>
    <n v="-3.6"/>
    <n v="-9.0000000000000011E-3"/>
    <m/>
    <x v="2"/>
  </r>
  <r>
    <x v="7"/>
    <s v="Auditoría Proceso de Mejoramiento de Vivienda_x000a_Expedientes del proceso - procedimientos del proceso"/>
    <s v="Mejoramiento de Vivienda"/>
    <s v="Misional"/>
    <s v="Ivonne Andrea Torres Cruz_x000a_Asesora de Control Interno"/>
    <s v="Marcela Urrea Jaramillo"/>
    <s v="Director de Mejoramiento de Vivienda"/>
    <d v="2021-06-16T00:00:00"/>
    <d v="2021-07-16T00:00:00"/>
    <m/>
    <m/>
    <m/>
    <m/>
    <m/>
    <m/>
    <m/>
    <m/>
    <m/>
    <m/>
    <m/>
    <m/>
    <s v="Informe"/>
    <n v="5.0000000000000001E-3"/>
    <m/>
    <m/>
    <m/>
    <m/>
    <n v="0"/>
    <n v="5.0000000000000001E-3"/>
    <x v="9"/>
    <n v="30"/>
    <n v="-108"/>
    <n v="-3.6"/>
    <n v="-1.8000000000000002E-2"/>
    <m/>
    <x v="2"/>
  </r>
  <r>
    <x v="3"/>
    <s v="Evaluación independiente del estado del Sistema de Control Interno. Artículo 9 Ley 1474 de 2011, modificado por el Artículo 156 del Decreto Nacional 2106 de 2019. Circular Externa 100-006 de 2019. Elaborado según metodología del DAFP"/>
    <s v="Todos los Procesos"/>
    <s v="Todos los Procesos"/>
    <s v="Ivonne Andrea Torres Cruz_x000a_Asesora de Control Interno"/>
    <s v="Kelly Serrano Rincón"/>
    <s v="Líderes de Cada Proceso"/>
    <d v="2021-06-28T00:00:00"/>
    <d v="2021-07-28T00:00:00"/>
    <m/>
    <m/>
    <m/>
    <m/>
    <m/>
    <m/>
    <m/>
    <m/>
    <m/>
    <m/>
    <m/>
    <m/>
    <s v="Matriz"/>
    <n v="1.4999999999999999E-2"/>
    <m/>
    <m/>
    <m/>
    <m/>
    <n v="0"/>
    <n v="1.4999999999999999E-2"/>
    <x v="9"/>
    <n v="30"/>
    <n v="-120"/>
    <n v="-4"/>
    <n v="-0.06"/>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Prevención del Daño Antijurídico y Representación Judicial"/>
    <s v="Estratégico"/>
    <s v="Ivonne Andrea Torres Cruz_x000a_Asesora de Control Interno"/>
    <s v="Joan Gaitán Ferrer"/>
    <s v="Director Jurídico "/>
    <d v="2021-06-29T00:00:00"/>
    <d v="2021-07-02T00:00:00"/>
    <m/>
    <m/>
    <m/>
    <m/>
    <m/>
    <m/>
    <m/>
    <m/>
    <m/>
    <m/>
    <m/>
    <m/>
    <s v="Correo electrónico"/>
    <n v="1E-3"/>
    <m/>
    <m/>
    <m/>
    <m/>
    <n v="0"/>
    <n v="1E-3"/>
    <x v="9"/>
    <n v="3"/>
    <n v="-121"/>
    <n v="-40.333333333333336"/>
    <n v="-4.0333333333333339E-2"/>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6-29T00:00:00"/>
    <d v="2021-07-02T00:00:00"/>
    <m/>
    <m/>
    <m/>
    <m/>
    <m/>
    <m/>
    <m/>
    <m/>
    <m/>
    <m/>
    <m/>
    <m/>
    <s v="Matriz"/>
    <n v="3.0000000000000001E-3"/>
    <m/>
    <m/>
    <m/>
    <m/>
    <n v="0"/>
    <n v="3.0000000000000001E-3"/>
    <x v="9"/>
    <n v="3"/>
    <n v="-121"/>
    <n v="-40.333333333333336"/>
    <n v="-0.12100000000000001"/>
    <m/>
    <x v="2"/>
  </r>
  <r>
    <x v="2"/>
    <s v="Trámite de cuentas de ACI"/>
    <s v="Evaluación de la Gestión"/>
    <s v="Seguimiento y Evaluación"/>
    <s v="Ivonne Andrea Torres Cruz_x000a_Asesora de Control Interno"/>
    <s v="Joan Gaitán Ferrer"/>
    <s v="Asesor de Control Interno"/>
    <d v="2021-07-01T00:00:00"/>
    <d v="2021-07-07T00:00:00"/>
    <m/>
    <m/>
    <m/>
    <m/>
    <m/>
    <m/>
    <m/>
    <m/>
    <m/>
    <m/>
    <m/>
    <m/>
    <s v="Reporte"/>
    <n v="3.0000000000000001E-3"/>
    <m/>
    <m/>
    <m/>
    <m/>
    <n v="0"/>
    <n v="3.0000000000000001E-3"/>
    <x v="9"/>
    <n v="6"/>
    <n v="-123"/>
    <n v="-20.5"/>
    <n v="-6.1499999999999999E-2"/>
    <m/>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7-01T00:00:00"/>
    <d v="2021-07-08T00:00:00"/>
    <m/>
    <m/>
    <m/>
    <m/>
    <m/>
    <m/>
    <m/>
    <m/>
    <m/>
    <m/>
    <m/>
    <m/>
    <s v="Matriz"/>
    <n v="3.0000000000000001E-3"/>
    <m/>
    <m/>
    <m/>
    <m/>
    <n v="0"/>
    <n v="3.0000000000000001E-3"/>
    <x v="9"/>
    <n v="7"/>
    <n v="-123"/>
    <n v="-17.571428571428573"/>
    <n v="-5.271428571428572E-2"/>
    <m/>
    <x v="2"/>
  </r>
  <r>
    <x v="0"/>
    <s v="Revisión del informe de gestión judicial, según los términos del Artículo 30 de la Resolución 104 de 2018"/>
    <s v="Prevención del Daño Antijurídico y Representación Judicial"/>
    <s v="Estratégico"/>
    <s v="Ivonne Andrea Torres Cruz_x000a_Asesora de Control Interno"/>
    <s v="Andrea Sierra Ochoa"/>
    <s v="Director Jurídico "/>
    <d v="2021-07-01T00:00:00"/>
    <d v="2021-07-09T00:00:00"/>
    <m/>
    <m/>
    <m/>
    <m/>
    <m/>
    <m/>
    <m/>
    <m/>
    <m/>
    <m/>
    <m/>
    <m/>
    <s v="Informe"/>
    <n v="2.5000000000000001E-3"/>
    <m/>
    <m/>
    <m/>
    <m/>
    <n v="0"/>
    <n v="2.5000000000000001E-3"/>
    <x v="9"/>
    <n v="8"/>
    <n v="-123"/>
    <n v="-15.375"/>
    <n v="-3.8437499999999999E-2"/>
    <m/>
    <x v="2"/>
  </r>
  <r>
    <x v="4"/>
    <s v="Informe cuenta mensual SIVICOF"/>
    <s v="Gestión Financiera"/>
    <s v="Apoyo"/>
    <s v="Ivonne Andrea Torres Cruz_x000a_Asesora de Control Interno"/>
    <s v="Carlos Vargas Hernández"/>
    <s v="Subdirector Financiero"/>
    <d v="2021-07-01T00:00:00"/>
    <d v="2021-07-12T00:00:00"/>
    <m/>
    <m/>
    <m/>
    <m/>
    <m/>
    <m/>
    <m/>
    <m/>
    <m/>
    <m/>
    <m/>
    <m/>
    <s v="Certificado"/>
    <n v="1E-3"/>
    <m/>
    <m/>
    <m/>
    <m/>
    <n v="0"/>
    <n v="1E-3"/>
    <x v="9"/>
    <n v="11"/>
    <n v="-123"/>
    <n v="-11.181818181818182"/>
    <n v="-1.1181818181818182E-2"/>
    <m/>
    <x v="2"/>
  </r>
  <r>
    <x v="0"/>
    <s v="Informe presupuestal a Personería"/>
    <s v="Gestión Financiera"/>
    <s v="Apoyo"/>
    <s v="Ivonne Andrea Torres Cruz_x000a_Asesora de Control Interno"/>
    <s v="Elizabeth Sáenz Sáenz"/>
    <s v="Subdirector Financiero"/>
    <d v="2021-07-01T00:00:00"/>
    <d v="2021-07-12T00:00:00"/>
    <m/>
    <m/>
    <m/>
    <m/>
    <m/>
    <m/>
    <m/>
    <m/>
    <m/>
    <m/>
    <m/>
    <m/>
    <s v="Informe"/>
    <n v="1E-3"/>
    <m/>
    <m/>
    <m/>
    <m/>
    <n v="0"/>
    <n v="1E-3"/>
    <x v="9"/>
    <n v="11"/>
    <n v="-123"/>
    <n v="-11.181818181818182"/>
    <n v="-1.1181818181818182E-2"/>
    <m/>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7-01T00:00:00"/>
    <d v="2021-07-23T00:00:00"/>
    <m/>
    <m/>
    <m/>
    <m/>
    <m/>
    <m/>
    <m/>
    <m/>
    <m/>
    <m/>
    <m/>
    <m/>
    <s v="Informe"/>
    <n v="7.4999999999999997E-3"/>
    <m/>
    <m/>
    <m/>
    <m/>
    <n v="0"/>
    <n v="7.4999999999999997E-3"/>
    <x v="9"/>
    <n v="22"/>
    <n v="-123"/>
    <n v="-5.5909090909090908"/>
    <n v="-4.1931818181818181E-2"/>
    <m/>
    <x v="2"/>
  </r>
  <r>
    <x v="0"/>
    <s v="Informe de seguimiento a la Sostenibilidad Contable - Resolución DDC-00003 del 05 de diciembre de 2018 - corte al 30Jun2021"/>
    <s v="Gestión Financiera"/>
    <s v="Apoyo"/>
    <s v="Ivonne Andrea Torres Cruz_x000a_Asesora de Control Interno"/>
    <s v="Marcela Urrea Jaramillo"/>
    <s v="Subdirector Financiero"/>
    <d v="2021-07-01T00:00:00"/>
    <d v="2021-07-28T00:00:00"/>
    <m/>
    <m/>
    <m/>
    <m/>
    <m/>
    <m/>
    <m/>
    <m/>
    <m/>
    <m/>
    <m/>
    <m/>
    <s v="Informe"/>
    <n v="3.0000000000000001E-3"/>
    <m/>
    <m/>
    <m/>
    <m/>
    <n v="0"/>
    <n v="3.0000000000000001E-3"/>
    <x v="9"/>
    <n v="27"/>
    <n v="-123"/>
    <n v="-4.5555555555555554"/>
    <n v="-1.3666666666666666E-2"/>
    <m/>
    <x v="2"/>
  </r>
  <r>
    <x v="7"/>
    <s v="Informe PQR's - Ley 1474 de 2011"/>
    <s v="Servicio al Ciudadano "/>
    <s v="Misional"/>
    <s v="Ivonne Andrea Torres Cruz_x000a_Asesora de Control Interno"/>
    <s v="Marcela Urrea Jaramillo"/>
    <s v="Director de Gestión Corporativa y CID"/>
    <d v="2021-07-01T00:00:00"/>
    <d v="2021-07-28T00:00:00"/>
    <m/>
    <m/>
    <m/>
    <m/>
    <m/>
    <m/>
    <m/>
    <m/>
    <m/>
    <m/>
    <m/>
    <m/>
    <s v="Informe"/>
    <n v="2.5000000000000001E-3"/>
    <m/>
    <m/>
    <m/>
    <m/>
    <n v="0"/>
    <n v="2.5000000000000001E-3"/>
    <x v="9"/>
    <n v="27"/>
    <n v="-123"/>
    <n v="-4.5555555555555554"/>
    <n v="-1.1388888888888889E-2"/>
    <m/>
    <x v="2"/>
  </r>
  <r>
    <x v="7"/>
    <s v="Auditoría Proceso de Mejoramiento de Vivienda_x000a_Cumplimiento metas del PDD y Proyecto de inversión - Presupuesto - FUSS - Plan Anual de Adquisidores - Indicadores"/>
    <s v="Mejoramiento de Vivienda"/>
    <s v="Misional"/>
    <s v="Ivonne Andrea Torres Cruz_x000a_Asesora de Control Interno"/>
    <s v="Carlos Vargas Hernández"/>
    <s v="Director de Mejoramiento de Vivienda"/>
    <d v="2021-07-01T00:00:00"/>
    <d v="2021-08-30T00:00:00"/>
    <m/>
    <m/>
    <m/>
    <m/>
    <m/>
    <m/>
    <m/>
    <m/>
    <m/>
    <m/>
    <m/>
    <m/>
    <s v="Informe"/>
    <n v="5.0000000000000001E-3"/>
    <m/>
    <m/>
    <m/>
    <m/>
    <n v="0"/>
    <n v="5.0000000000000001E-3"/>
    <x v="8"/>
    <n v="60"/>
    <n v="-123"/>
    <n v="-2.0499999999999998"/>
    <n v="-1.0249999999999999E-2"/>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7-19T00:00:00"/>
    <d v="2021-07-30T00:00:00"/>
    <m/>
    <m/>
    <m/>
    <m/>
    <m/>
    <m/>
    <m/>
    <m/>
    <m/>
    <m/>
    <m/>
    <m/>
    <s v="Acta"/>
    <n v="5.0000000000000001E-3"/>
    <m/>
    <m/>
    <m/>
    <m/>
    <n v="0"/>
    <n v="5.0000000000000001E-3"/>
    <x v="9"/>
    <n v="11"/>
    <n v="-141"/>
    <n v="-12.818181818181818"/>
    <n v="-6.4090909090909087E-2"/>
    <m/>
    <x v="2"/>
  </r>
  <r>
    <x v="5"/>
    <s v="Realizar los trámites pertinentes para lograr el cierre de los expedientes contractuales de los contratistas supervisados por control interno, cuya garantía ya haya vencido"/>
    <s v="Evaluación de la Gestión"/>
    <s v="Seguimiento y Evaluación"/>
    <s v="Ivonne Andrea Torres Cruz_x000a_Asesora de Control Interno"/>
    <s v="Andrea Sierra Ochoa"/>
    <s v="Asesor de Control Interno"/>
    <d v="2021-07-19T00:00:00"/>
    <d v="2021-08-13T00:00:00"/>
    <m/>
    <m/>
    <m/>
    <m/>
    <m/>
    <m/>
    <m/>
    <m/>
    <m/>
    <m/>
    <m/>
    <m/>
    <s v="Acta"/>
    <n v="1.4999999999999999E-2"/>
    <m/>
    <m/>
    <m/>
    <m/>
    <n v="0"/>
    <n v="1.4999999999999999E-2"/>
    <x v="8"/>
    <n v="25"/>
    <n v="-141"/>
    <n v="-5.64"/>
    <n v="-8.4599999999999995E-2"/>
    <m/>
    <x v="2"/>
  </r>
  <r>
    <x v="7"/>
    <s v="Auditoría Proceso de Reasentamientos Humanos_x000a_Decreto 371 de 2010 - Artículo 2 - de los procesos de contratación en el distrito capital"/>
    <s v="Adquisición de Bienes y Servicios"/>
    <s v="Apoyo"/>
    <s v="Ivonne Andrea Torres Cruz_x000a_Asesora de Control Interno"/>
    <s v="Andrea Sierra Ochoa"/>
    <s v="Director de Gestión Corporativa y CID"/>
    <d v="2021-07-19T00:00:00"/>
    <d v="2021-08-24T00:00:00"/>
    <m/>
    <m/>
    <m/>
    <m/>
    <m/>
    <m/>
    <m/>
    <m/>
    <m/>
    <m/>
    <m/>
    <m/>
    <s v="Informe"/>
    <n v="5.0000000000000001E-3"/>
    <m/>
    <m/>
    <m/>
    <m/>
    <n v="0"/>
    <n v="5.0000000000000001E-3"/>
    <x v="8"/>
    <n v="36"/>
    <n v="-141"/>
    <n v="-3.9166666666666665"/>
    <n v="-1.9583333333333335E-2"/>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7-28T00:00:00"/>
    <d v="2021-08-03T00:00:00"/>
    <m/>
    <m/>
    <m/>
    <m/>
    <m/>
    <m/>
    <m/>
    <m/>
    <m/>
    <m/>
    <m/>
    <m/>
    <s v="Matriz"/>
    <n v="3.0000000000000001E-3"/>
    <m/>
    <m/>
    <m/>
    <m/>
    <n v="0"/>
    <n v="3.0000000000000001E-3"/>
    <x v="8"/>
    <n v="6"/>
    <n v="-150"/>
    <n v="-25"/>
    <n v="-7.4999999999999997E-2"/>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7-29T00:00:00"/>
    <d v="2021-08-03T00:00:00"/>
    <m/>
    <m/>
    <m/>
    <m/>
    <m/>
    <m/>
    <m/>
    <m/>
    <m/>
    <m/>
    <m/>
    <m/>
    <s v="Correo electrónico"/>
    <n v="1E-3"/>
    <m/>
    <m/>
    <m/>
    <m/>
    <n v="0"/>
    <n v="1E-3"/>
    <x v="8"/>
    <n v="5"/>
    <n v="-151"/>
    <n v="-30.2"/>
    <n v="-3.0200000000000001E-2"/>
    <m/>
    <x v="2"/>
  </r>
  <r>
    <x v="4"/>
    <s v="Atención Auditoría de Desempeño 1: Cód 60: Proyecto La Arboleda Santa Teresita - Contrato de obra civil CPS -PCVN--3-1-30589-045/2015, suscrito con la Fiduciaria Bogotá y Odicco Ltda."/>
    <s v="Urbanizaciones y Titulación"/>
    <s v="Misional"/>
    <s v="Ivonne Andrea Torres Cruz_x000a_Asesora de Control Interno"/>
    <s v="Carlos Vargas Hernández"/>
    <s v="Director de Urbanizaciones y Titulación"/>
    <d v="2021-07-30T00:00:00"/>
    <d v="2021-10-26T00:00:00"/>
    <m/>
    <m/>
    <m/>
    <m/>
    <m/>
    <m/>
    <m/>
    <m/>
    <m/>
    <m/>
    <m/>
    <m/>
    <s v="Correo electrónico - Oficios"/>
    <n v="0.01"/>
    <m/>
    <m/>
    <m/>
    <m/>
    <n v="0"/>
    <n v="0.01"/>
    <x v="10"/>
    <n v="88"/>
    <n v="-152"/>
    <n v="-1.7272727272727273"/>
    <n v="-1.7272727272727273E-2"/>
    <m/>
    <x v="2"/>
  </r>
  <r>
    <x v="2"/>
    <s v="Trámite de cuentas de ACI"/>
    <s v="Evaluación de la Gestión"/>
    <s v="Seguimiento y Evaluación"/>
    <s v="Ivonne Andrea Torres Cruz_x000a_Asesora de Control Interno"/>
    <s v="Joan Gaitán Ferrer"/>
    <s v="Asesor de Control Interno"/>
    <d v="2021-08-02T00:00:00"/>
    <d v="2021-08-05T00:00:00"/>
    <m/>
    <m/>
    <m/>
    <m/>
    <m/>
    <m/>
    <m/>
    <m/>
    <m/>
    <m/>
    <m/>
    <m/>
    <s v="Reporte"/>
    <n v="3.0000000000000001E-3"/>
    <m/>
    <m/>
    <m/>
    <m/>
    <n v="0"/>
    <n v="3.0000000000000001E-3"/>
    <x v="8"/>
    <n v="3"/>
    <n v="-155"/>
    <n v="-51.666666666666664"/>
    <n v="-0.155"/>
    <m/>
    <x v="2"/>
  </r>
  <r>
    <x v="4"/>
    <s v="Informe cuenta mensual SIVICOF"/>
    <s v="Adquisición de Bienes y Servicios"/>
    <s v="Apoyo"/>
    <s v="Ivonne Andrea Torres Cruz_x000a_Asesora de Control Interno"/>
    <s v="Carlos Vargas Hernández"/>
    <s v="Director de Gestión Corporativa y CID"/>
    <d v="2021-08-02T00:00:00"/>
    <d v="2021-08-10T00:00:00"/>
    <m/>
    <m/>
    <m/>
    <m/>
    <m/>
    <m/>
    <m/>
    <m/>
    <m/>
    <m/>
    <m/>
    <m/>
    <s v="Certificado"/>
    <n v="1E-3"/>
    <m/>
    <m/>
    <m/>
    <m/>
    <n v="0"/>
    <n v="1E-3"/>
    <x v="8"/>
    <n v="8"/>
    <n v="-155"/>
    <n v="-19.375"/>
    <n v="-1.9375E-2"/>
    <m/>
    <x v="2"/>
  </r>
  <r>
    <x v="0"/>
    <s v="Informe presupuestal a Personería"/>
    <s v="Gestión Financiera"/>
    <s v="Apoyo"/>
    <s v="Ivonne Andrea Torres Cruz_x000a_Asesora de Control Interno"/>
    <s v="Elizabeth Sáenz Sáenz"/>
    <s v="Subdirector Financiero"/>
    <d v="2021-08-02T00:00:00"/>
    <d v="2021-08-10T00:00:00"/>
    <m/>
    <m/>
    <m/>
    <m/>
    <m/>
    <m/>
    <m/>
    <m/>
    <m/>
    <m/>
    <m/>
    <m/>
    <s v="Informe"/>
    <n v="1E-3"/>
    <m/>
    <m/>
    <m/>
    <m/>
    <n v="0"/>
    <n v="1E-3"/>
    <x v="8"/>
    <n v="8"/>
    <n v="-155"/>
    <n v="-19.375"/>
    <n v="-1.9375E-2"/>
    <m/>
    <x v="2"/>
  </r>
  <r>
    <x v="7"/>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8-02T00:00:00"/>
    <d v="2021-08-30T00:00:00"/>
    <m/>
    <m/>
    <m/>
    <m/>
    <m/>
    <m/>
    <m/>
    <m/>
    <m/>
    <m/>
    <m/>
    <m/>
    <s v="Informe"/>
    <n v="2.5000000000000001E-3"/>
    <m/>
    <m/>
    <m/>
    <m/>
    <n v="0"/>
    <n v="2.5000000000000001E-3"/>
    <x v="8"/>
    <n v="28"/>
    <n v="-155"/>
    <n v="-5.5357142857142856"/>
    <n v="-1.3839285714285714E-2"/>
    <m/>
    <x v="2"/>
  </r>
  <r>
    <x v="7"/>
    <s v="Auditoría Proceso de Mejoramiento de Vivienda_x000a_Recursos del Convenio con la SDHT"/>
    <s v="Mejoramiento de Vivienda"/>
    <s v="Misional"/>
    <s v="Ivonne Andrea Torres Cruz_x000a_Asesora de Control Interno"/>
    <s v="Carlos Vargas Hernández"/>
    <s v="Director de Mejoramiento de Vivienda"/>
    <d v="2021-08-02T00:00:00"/>
    <d v="2021-09-30T00:00:00"/>
    <m/>
    <m/>
    <m/>
    <m/>
    <m/>
    <m/>
    <m/>
    <m/>
    <m/>
    <m/>
    <m/>
    <m/>
    <s v="Informe"/>
    <n v="2.5000000000000001E-3"/>
    <m/>
    <m/>
    <m/>
    <m/>
    <n v="0"/>
    <n v="2.5000000000000001E-3"/>
    <x v="5"/>
    <n v="59"/>
    <n v="-155"/>
    <n v="-2.6271186440677967"/>
    <n v="-6.5677966101694921E-3"/>
    <m/>
    <x v="2"/>
  </r>
  <r>
    <x v="7"/>
    <s v="Auditoría Proceso de Reasentamientos Humanos_x000a_Expedientes del proceso - Relocalización Transitoria"/>
    <s v="Reasentamientos Humanos"/>
    <s v="Misional"/>
    <s v="Ivonne Andrea Torres Cruz_x000a_Asesora de Control Interno"/>
    <s v="Marcela Urrea Jaramillo"/>
    <s v="Director de Reasentamientos Humanos"/>
    <d v="2021-08-02T00:00:00"/>
    <d v="2021-10-28T00:00:00"/>
    <m/>
    <m/>
    <m/>
    <m/>
    <m/>
    <m/>
    <m/>
    <m/>
    <m/>
    <m/>
    <m/>
    <m/>
    <s v="Informe"/>
    <n v="5.0000000000000001E-3"/>
    <m/>
    <m/>
    <m/>
    <m/>
    <n v="0"/>
    <n v="5.0000000000000001E-3"/>
    <x v="10"/>
    <n v="87"/>
    <n v="-155"/>
    <n v="-1.7816091954022988"/>
    <n v="-8.9080459770114941E-3"/>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8-17T00:00:00"/>
    <d v="2021-08-31T00:00:00"/>
    <m/>
    <m/>
    <m/>
    <m/>
    <m/>
    <m/>
    <m/>
    <m/>
    <m/>
    <m/>
    <m/>
    <m/>
    <s v="Acta"/>
    <n v="5.0000000000000001E-3"/>
    <m/>
    <m/>
    <m/>
    <m/>
    <n v="0"/>
    <n v="5.0000000000000001E-3"/>
    <x v="8"/>
    <n v="14"/>
    <n v="-170"/>
    <n v="-12.142857142857142"/>
    <n v="-6.0714285714285714E-2"/>
    <m/>
    <x v="2"/>
  </r>
  <r>
    <x v="1"/>
    <s v="Seguimiento al Comité de Conciliación del 01Ene2020 al 30Jun2021"/>
    <s v="Prevención del Daño Antijurídico y Representación Judicial"/>
    <s v="Estratégico"/>
    <s v="Ivonne Andrea Torres Cruz_x000a_Asesora de Control Interno"/>
    <s v="Andrea Sierra Ochoa"/>
    <s v="Director Jurídico "/>
    <d v="2021-08-17T00:00:00"/>
    <d v="2021-09-29T00:00:00"/>
    <m/>
    <m/>
    <m/>
    <m/>
    <m/>
    <m/>
    <m/>
    <m/>
    <m/>
    <m/>
    <m/>
    <m/>
    <s v="Informe"/>
    <n v="5.0000000000000001E-3"/>
    <m/>
    <m/>
    <m/>
    <m/>
    <n v="0"/>
    <n v="5.0000000000000001E-3"/>
    <x v="5"/>
    <n v="43"/>
    <n v="-170"/>
    <n v="-3.9534883720930232"/>
    <n v="-1.9767441860465116E-2"/>
    <m/>
    <x v="2"/>
  </r>
  <r>
    <x v="1"/>
    <s v="Seguimiento Matriz de riesgos de corrupción y por proceso 2021"/>
    <s v="Todos los Procesos"/>
    <s v="Todos los Procesos"/>
    <s v="Ivonne Andrea Torres Cruz_x000a_Asesora de Control Interno"/>
    <s v="Kelly Serrano Rincón"/>
    <s v="Líderes de Cada Proceso"/>
    <d v="2021-08-25T00:00:00"/>
    <d v="2021-09-14T00:00:00"/>
    <m/>
    <m/>
    <m/>
    <m/>
    <m/>
    <m/>
    <m/>
    <m/>
    <m/>
    <m/>
    <m/>
    <m/>
    <s v="Informe"/>
    <n v="1.6E-2"/>
    <m/>
    <m/>
    <m/>
    <m/>
    <n v="0"/>
    <n v="1.6E-2"/>
    <x v="5"/>
    <n v="20"/>
    <n v="-178"/>
    <n v="-8.9"/>
    <n v="-0.1424"/>
    <m/>
    <x v="2"/>
  </r>
  <r>
    <x v="1"/>
    <s v="Seguimiento Plan Anticorrupción y de Atención al Ciudadano 2021. Decreto 124 de 2016"/>
    <s v="Todos los Procesos"/>
    <s v="Todos los Procesos"/>
    <s v="Ivonne Andrea Torres Cruz_x000a_Asesora de Control Interno"/>
    <s v="Kelly Serrano Rincón"/>
    <s v="Líderes de Cada Proceso"/>
    <d v="2021-08-25T00:00:00"/>
    <d v="2021-09-14T00:00:00"/>
    <m/>
    <m/>
    <m/>
    <m/>
    <m/>
    <m/>
    <m/>
    <m/>
    <m/>
    <m/>
    <m/>
    <m/>
    <s v="Informe"/>
    <n v="1.4999999999999999E-2"/>
    <m/>
    <m/>
    <m/>
    <m/>
    <n v="0"/>
    <n v="1.4999999999999999E-2"/>
    <x v="5"/>
    <n v="20"/>
    <n v="-178"/>
    <n v="-8.9"/>
    <n v="-0.13350000000000001"/>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8-27T00:00:00"/>
    <d v="2021-09-02T00:00:00"/>
    <m/>
    <m/>
    <m/>
    <m/>
    <m/>
    <m/>
    <m/>
    <m/>
    <m/>
    <m/>
    <m/>
    <m/>
    <s v="Matriz"/>
    <n v="3.0000000000000001E-3"/>
    <m/>
    <m/>
    <m/>
    <m/>
    <n v="0"/>
    <n v="3.0000000000000001E-3"/>
    <x v="5"/>
    <n v="6"/>
    <n v="-180"/>
    <n v="-30"/>
    <n v="-0.09"/>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8-30T00:00:00"/>
    <d v="2021-09-02T00:00:00"/>
    <m/>
    <m/>
    <m/>
    <m/>
    <m/>
    <m/>
    <m/>
    <m/>
    <m/>
    <m/>
    <m/>
    <m/>
    <s v="Correo electrónico"/>
    <n v="1E-3"/>
    <m/>
    <m/>
    <m/>
    <m/>
    <n v="0"/>
    <n v="1E-3"/>
    <x v="5"/>
    <n v="3"/>
    <n v="-183"/>
    <n v="-61"/>
    <n v="-6.0999999999999999E-2"/>
    <m/>
    <x v="2"/>
  </r>
  <r>
    <x v="2"/>
    <s v="Trámite de cuentas de ACI"/>
    <s v="Evaluación de la Gestión"/>
    <s v="Seguimiento y Evaluación"/>
    <s v="Ivonne Andrea Torres Cruz_x000a_Asesora de Control Interno"/>
    <s v="Joan Gaitán Ferrer"/>
    <s v="Asesor de Control Interno"/>
    <d v="2021-09-01T00:00:00"/>
    <d v="2021-09-06T00:00:00"/>
    <m/>
    <m/>
    <m/>
    <m/>
    <m/>
    <m/>
    <m/>
    <m/>
    <m/>
    <m/>
    <m/>
    <m/>
    <s v="Reporte"/>
    <n v="3.0000000000000001E-3"/>
    <m/>
    <m/>
    <m/>
    <m/>
    <n v="0"/>
    <n v="3.0000000000000001E-3"/>
    <x v="5"/>
    <n v="5"/>
    <n v="-185"/>
    <n v="-37"/>
    <n v="-0.111"/>
    <m/>
    <x v="2"/>
  </r>
  <r>
    <x v="4"/>
    <s v="Informe cuenta mensual SIVICOF"/>
    <s v="Gestión Financiera"/>
    <s v="Apoyo"/>
    <s v="Ivonne Andrea Torres Cruz_x000a_Asesora de Control Interno"/>
    <s v="Carlos Vargas Hernández"/>
    <s v="Subdirector Financiero"/>
    <d v="2021-09-01T00:00:00"/>
    <d v="2021-09-09T00:00:00"/>
    <m/>
    <m/>
    <m/>
    <m/>
    <m/>
    <m/>
    <m/>
    <m/>
    <m/>
    <m/>
    <m/>
    <m/>
    <s v="Certificado"/>
    <n v="1E-3"/>
    <m/>
    <m/>
    <m/>
    <m/>
    <n v="0"/>
    <n v="1E-3"/>
    <x v="5"/>
    <n v="8"/>
    <n v="-185"/>
    <n v="-23.125"/>
    <n v="-2.3125E-2"/>
    <m/>
    <x v="2"/>
  </r>
  <r>
    <x v="0"/>
    <s v="Informe presupuestal a Personería"/>
    <s v="Gestión Financiera"/>
    <s v="Apoyo"/>
    <s v="Ivonne Andrea Torres Cruz_x000a_Asesora de Control Interno"/>
    <s v="Elizabeth Sáenz Sáenz"/>
    <s v="Subdirector Financiero"/>
    <d v="2021-09-01T00:00:00"/>
    <d v="2021-09-09T00:00:00"/>
    <m/>
    <m/>
    <m/>
    <m/>
    <m/>
    <m/>
    <m/>
    <m/>
    <m/>
    <m/>
    <m/>
    <m/>
    <s v="Informe"/>
    <n v="1E-3"/>
    <m/>
    <m/>
    <m/>
    <m/>
    <n v="0"/>
    <n v="1E-3"/>
    <x v="5"/>
    <n v="8"/>
    <n v="-185"/>
    <n v="-23.125"/>
    <n v="-2.3125E-2"/>
    <m/>
    <x v="2"/>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Joan Gaitán Ferrer"/>
    <s v="Líderes de Cada Proceso"/>
    <d v="2021-09-01T00:00:00"/>
    <d v="2021-09-10T00:00:00"/>
    <m/>
    <m/>
    <m/>
    <m/>
    <m/>
    <m/>
    <m/>
    <m/>
    <m/>
    <m/>
    <m/>
    <m/>
    <s v="Reporte"/>
    <n v="5.0000000000000001E-3"/>
    <m/>
    <m/>
    <m/>
    <m/>
    <n v="0"/>
    <n v="5.0000000000000001E-3"/>
    <x v="5"/>
    <n v="9"/>
    <n v="-185"/>
    <n v="-20.555555555555557"/>
    <n v="-0.10277777777777779"/>
    <m/>
    <x v="2"/>
  </r>
  <r>
    <x v="7"/>
    <s v="Auditoría Proceso de Reasentamientos Humanos_x000a_Cumplimiento metas del PDD y Proyecto de inversión - Presupuesto - FUSS - Plan Anual de Adquisidores - Indicadores"/>
    <s v="Reasentamientos Humanos"/>
    <s v="Misional"/>
    <s v="Ivonne Andrea Torres Cruz_x000a_Asesora de Control Interno"/>
    <s v="Carlos Vargas Hernández"/>
    <s v="Director de Reasentamientos Humanos"/>
    <d v="2021-09-01T00:00:00"/>
    <d v="2021-09-30T00:00:00"/>
    <m/>
    <m/>
    <m/>
    <m/>
    <m/>
    <m/>
    <m/>
    <m/>
    <m/>
    <m/>
    <m/>
    <m/>
    <s v="Informe"/>
    <n v="5.0000000000000001E-3"/>
    <m/>
    <m/>
    <m/>
    <m/>
    <n v="0"/>
    <n v="5.0000000000000001E-3"/>
    <x v="5"/>
    <n v="29"/>
    <n v="-185"/>
    <n v="-6.3793103448275863"/>
    <n v="-3.1896551724137932E-2"/>
    <m/>
    <x v="2"/>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s v="Evaluación de la Gestión"/>
    <s v="Seguimiento y Evaluación"/>
    <s v="Ivonne Andrea Torres Cruz_x000a_Asesora de Control Interno"/>
    <s v="Andrea Sierra Ochoa"/>
    <s v="Asesor de Control Interno"/>
    <d v="2021-09-15T00:00:00"/>
    <d v="2021-10-15T00:00:00"/>
    <m/>
    <m/>
    <m/>
    <m/>
    <m/>
    <m/>
    <m/>
    <m/>
    <m/>
    <m/>
    <m/>
    <m/>
    <s v="Reporte"/>
    <n v="0.01"/>
    <m/>
    <m/>
    <m/>
    <m/>
    <n v="0"/>
    <n v="0.01"/>
    <x v="10"/>
    <n v="30"/>
    <n v="-199"/>
    <n v="-6.6333333333333337"/>
    <n v="-6.6333333333333341E-2"/>
    <m/>
    <x v="2"/>
  </r>
  <r>
    <x v="7"/>
    <s v="Seguimiento al plan de implementación del MIPG"/>
    <s v="Gestión Estratégica"/>
    <s v="Estratégico"/>
    <s v="Ivonne Andrea Torres Cruz_x000a_Asesora de Control Interno"/>
    <s v="Kelly Serrano Rincón"/>
    <s v="Jefe Oficina Asesora de Planeación "/>
    <d v="2021-09-15T00:00:00"/>
    <d v="2021-10-15T00:00:00"/>
    <m/>
    <m/>
    <m/>
    <m/>
    <m/>
    <m/>
    <m/>
    <m/>
    <m/>
    <m/>
    <m/>
    <m/>
    <s v="Informe"/>
    <n v="5.0000000000000001E-3"/>
    <m/>
    <m/>
    <m/>
    <m/>
    <n v="0"/>
    <n v="5.0000000000000001E-3"/>
    <x v="10"/>
    <n v="30"/>
    <n v="-199"/>
    <n v="-6.6333333333333337"/>
    <n v="-3.3166666666666671E-2"/>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9-28T00:00:00"/>
    <d v="2021-10-04T00:00:00"/>
    <m/>
    <m/>
    <m/>
    <m/>
    <m/>
    <m/>
    <m/>
    <m/>
    <m/>
    <m/>
    <m/>
    <m/>
    <s v="Matriz"/>
    <n v="3.0000000000000001E-3"/>
    <m/>
    <m/>
    <m/>
    <m/>
    <n v="0"/>
    <n v="3.0000000000000001E-3"/>
    <x v="10"/>
    <n v="6"/>
    <n v="-212"/>
    <n v="-35.333333333333336"/>
    <n v="-0.10600000000000001"/>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9-29T00:00:00"/>
    <d v="2021-10-04T00:00:00"/>
    <m/>
    <m/>
    <m/>
    <m/>
    <m/>
    <m/>
    <m/>
    <m/>
    <m/>
    <m/>
    <m/>
    <m/>
    <s v="Correo electrónico"/>
    <n v="1E-3"/>
    <m/>
    <m/>
    <m/>
    <m/>
    <n v="0"/>
    <n v="1E-3"/>
    <x v="10"/>
    <n v="5"/>
    <n v="-213"/>
    <n v="-42.6"/>
    <n v="-4.2599999999999999E-2"/>
    <m/>
    <x v="2"/>
  </r>
  <r>
    <x v="2"/>
    <s v="Trámite de cuentas de ACI"/>
    <s v="Evaluación de la Gestión"/>
    <s v="Seguimiento y Evaluación"/>
    <s v="Ivonne Andrea Torres Cruz_x000a_Asesora de Control Interno"/>
    <s v="Joan Gaitán Ferrer"/>
    <s v="Asesor de Control Interno"/>
    <d v="2021-10-01T00:00:00"/>
    <d v="2021-10-06T00:00:00"/>
    <m/>
    <m/>
    <m/>
    <m/>
    <m/>
    <m/>
    <m/>
    <m/>
    <m/>
    <m/>
    <m/>
    <m/>
    <s v="Reporte"/>
    <n v="3.0000000000000001E-3"/>
    <m/>
    <m/>
    <m/>
    <m/>
    <n v="0"/>
    <n v="3.0000000000000001E-3"/>
    <x v="10"/>
    <n v="5"/>
    <n v="-215"/>
    <n v="-43"/>
    <n v="-0.129"/>
    <m/>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10-01T00:00:00"/>
    <d v="2021-10-07T00:00:00"/>
    <m/>
    <m/>
    <m/>
    <m/>
    <m/>
    <m/>
    <m/>
    <m/>
    <m/>
    <m/>
    <m/>
    <m/>
    <s v="Matriz"/>
    <n v="3.0000000000000001E-3"/>
    <m/>
    <m/>
    <m/>
    <m/>
    <n v="0"/>
    <n v="3.0000000000000001E-3"/>
    <x v="10"/>
    <n v="6"/>
    <n v="-215"/>
    <n v="-35.833333333333336"/>
    <n v="-0.10750000000000001"/>
    <m/>
    <x v="2"/>
  </r>
  <r>
    <x v="4"/>
    <s v="Informe cuenta mensual SIVICOF"/>
    <s v="Adquisición de Bienes y Servicios"/>
    <s v="Apoyo"/>
    <s v="Ivonne Andrea Torres Cruz_x000a_Asesora de Control Interno"/>
    <s v="Carlos Vargas Hernández"/>
    <s v="Director de Gestión Corporativa y CID"/>
    <d v="2021-10-01T00:00:00"/>
    <d v="2021-10-11T00:00:00"/>
    <m/>
    <m/>
    <m/>
    <m/>
    <m/>
    <m/>
    <m/>
    <m/>
    <m/>
    <m/>
    <m/>
    <m/>
    <s v="Certificado"/>
    <n v="1E-3"/>
    <m/>
    <m/>
    <m/>
    <m/>
    <n v="0"/>
    <n v="1E-3"/>
    <x v="10"/>
    <n v="10"/>
    <n v="-215"/>
    <n v="-21.5"/>
    <n v="-2.1500000000000002E-2"/>
    <m/>
    <x v="2"/>
  </r>
  <r>
    <x v="0"/>
    <s v="Informe presupuestal a Personería"/>
    <s v="Gestión Financiera"/>
    <s v="Apoyo"/>
    <s v="Ivonne Andrea Torres Cruz_x000a_Asesora de Control Interno"/>
    <s v="Elizabeth Sáenz Sáenz"/>
    <s v="Subdirector Financiero"/>
    <d v="2021-10-01T00:00:00"/>
    <d v="2021-10-11T00:00:00"/>
    <m/>
    <m/>
    <m/>
    <m/>
    <m/>
    <m/>
    <m/>
    <m/>
    <m/>
    <m/>
    <m/>
    <m/>
    <s v="Informe"/>
    <n v="1E-3"/>
    <m/>
    <m/>
    <m/>
    <m/>
    <n v="0"/>
    <n v="1E-3"/>
    <x v="10"/>
    <n v="10"/>
    <n v="-215"/>
    <n v="-21.5"/>
    <n v="-2.1500000000000002E-2"/>
    <m/>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Marcela Urrea Jaramillo"/>
    <s v="Subdirector Administrativo"/>
    <d v="2021-10-01T00:00:00"/>
    <d v="2021-10-28T00:00:00"/>
    <m/>
    <m/>
    <m/>
    <m/>
    <m/>
    <m/>
    <m/>
    <m/>
    <m/>
    <m/>
    <m/>
    <m/>
    <s v="Informe"/>
    <n v="7.4999999999999997E-3"/>
    <m/>
    <m/>
    <m/>
    <m/>
    <n v="0"/>
    <n v="7.4999999999999997E-3"/>
    <x v="10"/>
    <n v="27"/>
    <n v="-215"/>
    <n v="-7.9629629629629628"/>
    <n v="-5.9722222222222218E-2"/>
    <m/>
    <x v="2"/>
  </r>
  <r>
    <x v="0"/>
    <s v="Informe de seguimiento a la Sostenibilidad Contable - Resolución DDC-00003 del 05 de diciembre de 2018 - corte al 30Sep2021"/>
    <s v="Gestión Financiera"/>
    <s v="Apoyo"/>
    <s v="Ivonne Andrea Torres Cruz_x000a_Asesora de Control Interno"/>
    <s v="Marcela Urrea Jaramillo"/>
    <s v="Subdirector Financiero"/>
    <d v="2021-10-01T00:00:00"/>
    <d v="2021-10-28T00:00:00"/>
    <m/>
    <m/>
    <m/>
    <m/>
    <m/>
    <m/>
    <m/>
    <m/>
    <m/>
    <m/>
    <m/>
    <m/>
    <s v="Informe"/>
    <n v="2E-3"/>
    <m/>
    <m/>
    <m/>
    <m/>
    <n v="0"/>
    <n v="2E-3"/>
    <x v="10"/>
    <n v="27"/>
    <n v="-215"/>
    <n v="-7.9629629629629628"/>
    <n v="-1.5925925925925927E-2"/>
    <m/>
    <x v="2"/>
  </r>
  <r>
    <x v="7"/>
    <s v="Auditoría a la aplicación de las políticas contables por parte de los procesos de Gestión Financiera y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215"/>
    <n v="-4.6739130434782608"/>
    <n v="-5.8423913043478262E-3"/>
    <m/>
    <x v="2"/>
  </r>
  <r>
    <x v="7"/>
    <s v="Auditoría a la aplicación de las políticas contables por parte de los procesos de Gestión Financiera y de Reasentamientos Humanos"/>
    <s v="Gestión Financiera"/>
    <s v="Apoyo"/>
    <s v="Ivonne Andrea Torres Cruz_x000a_Asesora de Control Interno"/>
    <s v="Carlos Vargas Hernández"/>
    <s v="Subdirector Financiero"/>
    <d v="2021-10-01T00:00:00"/>
    <d v="2021-11-16T00:00:00"/>
    <m/>
    <m/>
    <m/>
    <m/>
    <m/>
    <m/>
    <m/>
    <m/>
    <m/>
    <m/>
    <m/>
    <m/>
    <s v="Informe"/>
    <n v="1.25E-3"/>
    <m/>
    <m/>
    <m/>
    <m/>
    <n v="0"/>
    <n v="1.25E-3"/>
    <x v="11"/>
    <n v="46"/>
    <n v="-215"/>
    <n v="-4.6739130434782608"/>
    <n v="-5.8423913043478262E-3"/>
    <m/>
    <x v="2"/>
  </r>
  <r>
    <x v="7"/>
    <s v="Auditoría a la cartera generada por el Proceso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215"/>
    <n v="-4.6739130434782608"/>
    <n v="-5.8423913043478262E-3"/>
    <m/>
    <x v="2"/>
  </r>
  <r>
    <x v="7"/>
    <s v="Auditoría a la cartera generada por el Proceso de Reasentamientos Humanos"/>
    <s v="Gestión Financiera"/>
    <s v="Apoyo"/>
    <s v="Ivonne Andrea Torres Cruz_x000a_Asesora de Control Interno"/>
    <s v="Carlos Vargas Hernández"/>
    <s v="Subdirector Financiero"/>
    <d v="2021-10-01T00:00:00"/>
    <d v="2021-11-16T00:00:00"/>
    <m/>
    <m/>
    <m/>
    <m/>
    <m/>
    <m/>
    <m/>
    <m/>
    <m/>
    <m/>
    <m/>
    <m/>
    <s v="Informe"/>
    <n v="1.25E-3"/>
    <m/>
    <m/>
    <m/>
    <m/>
    <n v="0"/>
    <n v="1.25E-3"/>
    <x v="11"/>
    <n v="46"/>
    <n v="-215"/>
    <n v="-4.6739130434782608"/>
    <n v="-5.8423913043478262E-3"/>
    <m/>
    <x v="2"/>
  </r>
  <r>
    <x v="7"/>
    <s v="Auditoría a los inventarios de bienes inmuebles reportados por el Proceso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215"/>
    <n v="-4.6739130434782608"/>
    <n v="-5.8423913043478262E-3"/>
    <m/>
    <x v="2"/>
  </r>
  <r>
    <x v="7"/>
    <s v="Auditoría a los inventarios de bienes inmuebles reportados por el Proceso de Reasentamientos Humanos"/>
    <s v="Gestión Administrativa"/>
    <s v="Apoyo"/>
    <s v="Ivonne Andrea Torres Cruz_x000a_Asesora de Control Interno"/>
    <s v="Carlos Vargas Hernández"/>
    <s v="Subdirector Administrativo"/>
    <d v="2021-10-01T00:00:00"/>
    <d v="2021-11-16T00:00:00"/>
    <m/>
    <m/>
    <m/>
    <m/>
    <m/>
    <m/>
    <m/>
    <m/>
    <m/>
    <m/>
    <m/>
    <m/>
    <s v="Informe"/>
    <n v="1.25E-3"/>
    <m/>
    <m/>
    <m/>
    <m/>
    <n v="0"/>
    <n v="1.25E-3"/>
    <x v="11"/>
    <n v="46"/>
    <n v="-215"/>
    <n v="-4.6739130434782608"/>
    <n v="-5.8423913043478262E-3"/>
    <m/>
    <x v="2"/>
  </r>
  <r>
    <x v="7"/>
    <s v="Auditoría Proceso de Gestión del Talento Humano_x000a_Cobro de las Incapacidades reportadas por los funcionarios del proceso de Reasentamientos Humanos"/>
    <s v="Gestión del Talento Humano"/>
    <s v="Apoyo"/>
    <s v="Ivonne Andrea Torres Cruz_x000a_Asesora de Control Interno"/>
    <s v="Carlos Vargas Hernández"/>
    <s v="Subdirector Administrativo"/>
    <d v="2021-10-01T00:00:00"/>
    <d v="2021-11-16T00:00:00"/>
    <m/>
    <m/>
    <m/>
    <m/>
    <m/>
    <m/>
    <m/>
    <m/>
    <m/>
    <m/>
    <m/>
    <m/>
    <s v="Informe"/>
    <n v="1.25E-3"/>
    <m/>
    <m/>
    <m/>
    <m/>
    <n v="0"/>
    <n v="1.25E-3"/>
    <x v="11"/>
    <n v="46"/>
    <n v="-215"/>
    <n v="-4.6739130434782608"/>
    <n v="-5.8423913043478262E-3"/>
    <m/>
    <x v="2"/>
  </r>
  <r>
    <x v="0"/>
    <s v="Realizar las actividades de monitoreo y seguimiento a la estrategia de racionalización propuesta a través de SUIT"/>
    <s v="Gestión Financiera"/>
    <s v="Apoyo"/>
    <s v="Ivonne Andrea Torres Cruz_x000a_Asesora de Control Interno"/>
    <s v="Kelly Serrano Rincón"/>
    <s v="Subdirector Financiero"/>
    <d v="2021-10-01T00:00:00"/>
    <d v="2021-11-26T00:00:00"/>
    <m/>
    <m/>
    <m/>
    <m/>
    <m/>
    <m/>
    <m/>
    <m/>
    <m/>
    <m/>
    <m/>
    <m/>
    <s v="Reporte"/>
    <n v="0.01"/>
    <m/>
    <m/>
    <m/>
    <m/>
    <n v="0"/>
    <n v="0.01"/>
    <x v="11"/>
    <n v="56"/>
    <n v="-215"/>
    <n v="-3.8392857142857144"/>
    <n v="-3.8392857142857145E-2"/>
    <m/>
    <x v="2"/>
  </r>
  <r>
    <x v="0"/>
    <s v="Informe Directiva 003 de 2013 Alcaldía Mayor de Bogotá"/>
    <s v="Gestión Administrativa"/>
    <s v="Apoyo"/>
    <s v="Ivonne Andrea Torres Cruz_x000a_Asesora de Control Interno"/>
    <s v="Marcela Urrea Jaramillo"/>
    <s v="Subdirector Administrativo"/>
    <d v="2021-10-11T00:00:00"/>
    <d v="2021-11-12T00:00:00"/>
    <m/>
    <m/>
    <m/>
    <m/>
    <m/>
    <m/>
    <m/>
    <m/>
    <m/>
    <m/>
    <m/>
    <m/>
    <s v="Informe"/>
    <n v="0.01"/>
    <m/>
    <m/>
    <m/>
    <m/>
    <n v="0"/>
    <n v="0.01"/>
    <x v="11"/>
    <n v="32"/>
    <n v="-225"/>
    <n v="-7.03125"/>
    <n v="-7.03125E-2"/>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10-19T00:00:00"/>
    <d v="2021-10-29T00:00:00"/>
    <m/>
    <m/>
    <m/>
    <m/>
    <m/>
    <m/>
    <m/>
    <m/>
    <m/>
    <m/>
    <m/>
    <m/>
    <s v="Acta"/>
    <n v="5.0000000000000001E-3"/>
    <m/>
    <m/>
    <m/>
    <m/>
    <n v="0"/>
    <n v="5.0000000000000001E-3"/>
    <x v="10"/>
    <n v="10"/>
    <n v="-233"/>
    <n v="-23.3"/>
    <n v="-0.11650000000000001"/>
    <m/>
    <x v="2"/>
  </r>
  <r>
    <x v="6"/>
    <s v="Asesoría en la formulación de planes de mejoramiento internos y en la modificación de las acciones ya propuestas"/>
    <s v="Evaluación de la Gestión"/>
    <s v="Seguimiento y Evaluación"/>
    <s v="Ivonne Andrea Torres Cruz_x000a_Asesora de Control Interno"/>
    <s v="Carlos Vargas Hernández"/>
    <s v="Asesor de Control Interno"/>
    <d v="2021-10-25T00:00:00"/>
    <d v="2021-11-08T00:00:00"/>
    <m/>
    <m/>
    <m/>
    <m/>
    <m/>
    <m/>
    <m/>
    <m/>
    <m/>
    <m/>
    <m/>
    <m/>
    <s v="Matriz"/>
    <n v="7.4999999999999997E-3"/>
    <m/>
    <m/>
    <m/>
    <m/>
    <n v="0"/>
    <n v="7.4999999999999997E-3"/>
    <x v="11"/>
    <n v="14"/>
    <n v="-239"/>
    <n v="-17.071428571428573"/>
    <n v="-0.12803571428571428"/>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10-27T00:00:00"/>
    <d v="2021-11-03T00:00:00"/>
    <m/>
    <m/>
    <m/>
    <m/>
    <m/>
    <m/>
    <m/>
    <m/>
    <m/>
    <m/>
    <m/>
    <m/>
    <s v="Matriz"/>
    <n v="3.0000000000000001E-3"/>
    <m/>
    <m/>
    <m/>
    <m/>
    <n v="0"/>
    <n v="3.0000000000000001E-3"/>
    <x v="11"/>
    <n v="7"/>
    <n v="-241"/>
    <n v="-34.428571428571431"/>
    <n v="-0.1032857142857143"/>
    <m/>
    <x v="2"/>
  </r>
  <r>
    <x v="4"/>
    <s v="Atención Auditoría de Desempeño 2: Cód 64: Evaluación del convenio Nº 044 de 2014 suscrito entre la Caja de la Vivienda Popular con el Fondo de Desarrollo Local de Usme, por valor de $7.472.160.000."/>
    <s v="Reasentamientos Humanos"/>
    <s v="Misional"/>
    <s v="Ivonne Andrea Torres Cruz_x000a_Asesora de Control Interno"/>
    <s v="Carlos Vargas Hernández"/>
    <s v="Director de Reasentamientos Humanos"/>
    <d v="2021-10-27T00:00:00"/>
    <d v="2021-12-31T00:00:00"/>
    <m/>
    <m/>
    <m/>
    <m/>
    <m/>
    <m/>
    <m/>
    <m/>
    <m/>
    <m/>
    <m/>
    <m/>
    <s v="Correo electrónico - Oficios"/>
    <n v="0.01"/>
    <m/>
    <m/>
    <m/>
    <m/>
    <n v="0"/>
    <n v="0.01"/>
    <x v="1"/>
    <n v="65"/>
    <n v="-241"/>
    <n v="-3.7076923076923078"/>
    <n v="-3.7076923076923077E-2"/>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10-28T00:00:00"/>
    <d v="2021-11-03T00:00:00"/>
    <m/>
    <m/>
    <m/>
    <m/>
    <m/>
    <m/>
    <m/>
    <m/>
    <m/>
    <m/>
    <m/>
    <m/>
    <s v="Correo electrónico"/>
    <n v="1E-3"/>
    <m/>
    <m/>
    <m/>
    <m/>
    <n v="0"/>
    <n v="1E-3"/>
    <x v="11"/>
    <n v="6"/>
    <n v="-242"/>
    <n v="-40.333333333333336"/>
    <n v="-4.0333333333333339E-2"/>
    <m/>
    <x v="2"/>
  </r>
  <r>
    <x v="2"/>
    <s v="Trámite de cuentas de ACI"/>
    <s v="Evaluación de la Gestión"/>
    <s v="Seguimiento y Evaluación"/>
    <s v="Ivonne Andrea Torres Cruz_x000a_Asesora de Control Interno"/>
    <s v="Joan Gaitán Ferrer"/>
    <s v="Asesor de Control Interno"/>
    <d v="2021-11-02T00:00:00"/>
    <d v="2021-11-05T00:00:00"/>
    <m/>
    <m/>
    <m/>
    <m/>
    <m/>
    <m/>
    <m/>
    <m/>
    <m/>
    <m/>
    <m/>
    <m/>
    <s v="Reporte"/>
    <n v="3.0000000000000001E-3"/>
    <m/>
    <m/>
    <m/>
    <m/>
    <n v="0"/>
    <n v="3.0000000000000001E-3"/>
    <x v="11"/>
    <n v="3"/>
    <n v="-247"/>
    <n v="-82.333333333333329"/>
    <n v="-0.247"/>
    <m/>
    <x v="2"/>
  </r>
  <r>
    <x v="0"/>
    <s v="Informe presupuestal a Personería"/>
    <s v="Gestión Financiera"/>
    <s v="Apoyo"/>
    <s v="Ivonne Andrea Torres Cruz_x000a_Asesora de Control Interno"/>
    <s v="Elizabeth Sáenz Sáenz"/>
    <s v="Subdirector Financiero"/>
    <d v="2021-11-02T00:00:00"/>
    <d v="2021-11-09T00:00:00"/>
    <m/>
    <m/>
    <m/>
    <m/>
    <m/>
    <m/>
    <m/>
    <m/>
    <m/>
    <m/>
    <m/>
    <m/>
    <s v="Informe"/>
    <n v="1E-3"/>
    <m/>
    <m/>
    <m/>
    <m/>
    <n v="0"/>
    <n v="1E-3"/>
    <x v="11"/>
    <n v="7"/>
    <n v="-247"/>
    <n v="-35.285714285714285"/>
    <n v="-3.5285714285714288E-2"/>
    <m/>
    <x v="2"/>
  </r>
  <r>
    <x v="4"/>
    <s v="Informe cuenta mensual SIVICOF"/>
    <s v="Gestión Financiera"/>
    <s v="Apoyo"/>
    <s v="Ivonne Andrea Torres Cruz_x000a_Asesora de Control Interno"/>
    <s v="Carlos Vargas Hernández"/>
    <s v="Subdirector Financiero"/>
    <d v="2021-11-02T00:00:00"/>
    <d v="2021-11-10T00:00:00"/>
    <m/>
    <m/>
    <m/>
    <m/>
    <m/>
    <m/>
    <m/>
    <m/>
    <m/>
    <m/>
    <m/>
    <m/>
    <s v="Certificado"/>
    <n v="1E-3"/>
    <m/>
    <m/>
    <m/>
    <m/>
    <n v="0"/>
    <n v="1E-3"/>
    <x v="11"/>
    <n v="8"/>
    <n v="-247"/>
    <n v="-30.875"/>
    <n v="-3.0875E-2"/>
    <m/>
    <x v="2"/>
  </r>
  <r>
    <x v="2"/>
    <s v="Diseñar, preparar, aplicar, tabular y realizar informe con oportunidades de mejora de la implementación y aplicación del estatuto interno del auditor y del código de ética del auditor"/>
    <s v="Todos los Procesos"/>
    <s v="Todos los Procesos"/>
    <s v="Ivonne Andrea Torres Cruz_x000a_Asesora de Control Interno"/>
    <s v="Joan Gaitán Ferrer"/>
    <s v="Líderes de Cada Proceso"/>
    <d v="2021-11-10T00:00:00"/>
    <d v="2021-12-10T00:00:00"/>
    <m/>
    <m/>
    <m/>
    <m/>
    <m/>
    <m/>
    <m/>
    <m/>
    <m/>
    <m/>
    <m/>
    <m/>
    <s v="Informe"/>
    <n v="5.0000000000000001E-3"/>
    <m/>
    <m/>
    <m/>
    <m/>
    <n v="0"/>
    <n v="5.0000000000000001E-3"/>
    <x v="1"/>
    <n v="30"/>
    <n v="-255"/>
    <n v="-8.5"/>
    <n v="-4.2500000000000003E-2"/>
    <m/>
    <x v="2"/>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11-22T00:00:00"/>
    <d v="2021-12-10T00:00:00"/>
    <m/>
    <m/>
    <m/>
    <m/>
    <m/>
    <m/>
    <m/>
    <m/>
    <m/>
    <m/>
    <m/>
    <m/>
    <s v="Matriz"/>
    <n v="0.02"/>
    <m/>
    <m/>
    <m/>
    <m/>
    <n v="0"/>
    <n v="0.02"/>
    <x v="1"/>
    <n v="18"/>
    <n v="-267"/>
    <n v="-14.833333333333334"/>
    <n v="-0.29666666666666669"/>
    <m/>
    <x v="2"/>
  </r>
  <r>
    <x v="6"/>
    <s v="Seguimiento al Plan de Mejoramiento Interno - Artículo 5 del Decreto 371 de 2010"/>
    <s v="Todos los Procesos"/>
    <s v="Todos los Procesos"/>
    <s v="Ivonne Andrea Torres Cruz_x000a_Asesora de Control Interno"/>
    <s v="Kelly Serrano Rincón"/>
    <s v="Líderes de Cada Proceso"/>
    <d v="2021-11-22T00:00:00"/>
    <d v="2021-12-10T00:00:00"/>
    <m/>
    <m/>
    <m/>
    <m/>
    <m/>
    <m/>
    <m/>
    <m/>
    <m/>
    <m/>
    <m/>
    <m/>
    <s v="Matriz"/>
    <n v="0.02"/>
    <m/>
    <m/>
    <m/>
    <m/>
    <n v="0"/>
    <n v="0.02"/>
    <x v="1"/>
    <n v="18"/>
    <n v="-267"/>
    <n v="-14.833333333333334"/>
    <n v="-0.29666666666666669"/>
    <m/>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11-24T00:00:00"/>
    <d v="2021-12-02T00:00:00"/>
    <m/>
    <m/>
    <m/>
    <m/>
    <m/>
    <m/>
    <m/>
    <m/>
    <m/>
    <m/>
    <m/>
    <m/>
    <s v="Matriz"/>
    <n v="3.0000000000000001E-3"/>
    <m/>
    <m/>
    <m/>
    <m/>
    <n v="0"/>
    <n v="3.0000000000000001E-3"/>
    <x v="1"/>
    <n v="8"/>
    <n v="-269"/>
    <n v="-33.625"/>
    <n v="-0.10087500000000001"/>
    <m/>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11-29T00:00:00"/>
    <d v="2021-12-02T00:00:00"/>
    <m/>
    <m/>
    <m/>
    <m/>
    <m/>
    <m/>
    <m/>
    <m/>
    <m/>
    <m/>
    <m/>
    <m/>
    <s v="Correo electrónico"/>
    <n v="1E-3"/>
    <m/>
    <m/>
    <m/>
    <m/>
    <n v="0"/>
    <n v="1E-3"/>
    <x v="1"/>
    <n v="3"/>
    <n v="-274"/>
    <n v="-91.333333333333329"/>
    <n v="-9.1333333333333336E-2"/>
    <m/>
    <x v="2"/>
  </r>
  <r>
    <x v="2"/>
    <s v="Trámite de cuentas de ACI"/>
    <s v="Evaluación de la Gestión"/>
    <s v="Seguimiento y Evaluación"/>
    <s v="Ivonne Andrea Torres Cruz_x000a_Asesora de Control Interno"/>
    <s v="Joan Gaitán Ferrer"/>
    <s v="Asesor de Control Interno"/>
    <d v="2021-12-01T00:00:00"/>
    <d v="2021-12-06T00:00:00"/>
    <m/>
    <m/>
    <m/>
    <m/>
    <m/>
    <m/>
    <m/>
    <m/>
    <m/>
    <m/>
    <m/>
    <m/>
    <s v="Reporte"/>
    <n v="3.0000000000000001E-3"/>
    <m/>
    <m/>
    <m/>
    <m/>
    <n v="0"/>
    <n v="3.0000000000000001E-3"/>
    <x v="1"/>
    <n v="5"/>
    <n v="-276"/>
    <n v="-55.2"/>
    <n v="-0.16560000000000002"/>
    <m/>
    <x v="2"/>
  </r>
  <r>
    <x v="4"/>
    <s v="Informe cuenta mensual SIVICOF"/>
    <s v="Adquisición de Bienes y Servicios"/>
    <s v="Apoyo"/>
    <s v="Ivonne Andrea Torres Cruz_x000a_Asesora de Control Interno"/>
    <s v="Carlos Vargas Hernández"/>
    <s v="Director de Gestión Corporativa y CID"/>
    <d v="2021-12-01T00:00:00"/>
    <d v="2021-12-10T00:00:00"/>
    <m/>
    <m/>
    <m/>
    <m/>
    <m/>
    <m/>
    <m/>
    <m/>
    <m/>
    <m/>
    <m/>
    <m/>
    <s v="Certificado"/>
    <n v="1E-3"/>
    <m/>
    <m/>
    <m/>
    <m/>
    <n v="0"/>
    <n v="1E-3"/>
    <x v="1"/>
    <n v="9"/>
    <n v="-276"/>
    <n v="-30.666666666666668"/>
    <n v="-3.0666666666666668E-2"/>
    <m/>
    <x v="2"/>
  </r>
  <r>
    <x v="0"/>
    <s v="Informe presupuestal a Personería"/>
    <s v="Gestión Financiera"/>
    <s v="Apoyo"/>
    <s v="Ivonne Andrea Torres Cruz_x000a_Asesora de Control Interno"/>
    <s v="Elizabeth Sáenz Sáenz"/>
    <s v="Subdirector Financiero"/>
    <d v="2021-12-01T00:00:00"/>
    <d v="2021-12-10T00:00:00"/>
    <m/>
    <m/>
    <m/>
    <m/>
    <m/>
    <m/>
    <m/>
    <m/>
    <m/>
    <m/>
    <m/>
    <m/>
    <s v="Informe"/>
    <n v="1E-3"/>
    <m/>
    <m/>
    <m/>
    <m/>
    <n v="0"/>
    <n v="1E-3"/>
    <x v="1"/>
    <n v="9"/>
    <n v="-276"/>
    <n v="-30.666666666666668"/>
    <n v="-3.0666666666666668E-2"/>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12-06T00:00:00"/>
    <d v="2021-12-22T00:00:00"/>
    <m/>
    <m/>
    <m/>
    <m/>
    <m/>
    <m/>
    <m/>
    <m/>
    <m/>
    <m/>
    <m/>
    <m/>
    <s v="Acta"/>
    <n v="2.5000000000000001E-3"/>
    <m/>
    <m/>
    <m/>
    <m/>
    <n v="0"/>
    <n v="2.5000000000000001E-3"/>
    <x v="1"/>
    <n v="16"/>
    <n v="-281"/>
    <n v="-17.5625"/>
    <n v="-4.3906250000000001E-2"/>
    <m/>
    <x v="2"/>
  </r>
  <r>
    <x v="2"/>
    <s v="Elaborar el informe de la Oficina de Control Interno vigencia 2021 - documento CBN 1038"/>
    <s v="Evaluación de la Gestión"/>
    <s v="Seguimiento y Evaluación"/>
    <s v="Ivonne Andrea Torres Cruz_x000a_Asesora de Control Interno"/>
    <s v="Andrea Sierra Ochoa"/>
    <s v="Asesor de Control Interno"/>
    <d v="2021-12-13T00:00:00"/>
    <d v="2021-12-27T00:00:00"/>
    <m/>
    <m/>
    <m/>
    <m/>
    <m/>
    <m/>
    <m/>
    <m/>
    <m/>
    <m/>
    <m/>
    <m/>
    <s v="Informe"/>
    <n v="1.2E-2"/>
    <m/>
    <m/>
    <m/>
    <m/>
    <n v="0"/>
    <n v="1.2E-2"/>
    <x v="1"/>
    <n v="14"/>
    <n v="-288"/>
    <n v="-20.571428571428573"/>
    <n v="-0.24685714285714289"/>
    <m/>
    <x v="2"/>
  </r>
  <r>
    <x v="6"/>
    <s v="Asesoría en la formulación de planes de mejoramiento internos y en la modificación de las acciones ya propuestas"/>
    <s v="Evaluación de la Gestión"/>
    <s v="Seguimiento y Evaluación"/>
    <s v="Ivonne Andrea Torres Cruz_x000a_Asesora de Control Interno"/>
    <s v="Carlos Vargas Hernández"/>
    <s v="Asesor de Control Interno"/>
    <d v="2021-12-29T00:00:00"/>
    <d v="2022-01-12T00:00:00"/>
    <m/>
    <m/>
    <m/>
    <m/>
    <m/>
    <m/>
    <m/>
    <m/>
    <m/>
    <m/>
    <m/>
    <m/>
    <s v="Matriz"/>
    <n v="7.4999999999999997E-3"/>
    <m/>
    <m/>
    <m/>
    <m/>
    <n v="0"/>
    <n v="7.4999999999999997E-3"/>
    <x v="0"/>
    <n v="14"/>
    <n v="-304"/>
    <n v="-21.714285714285715"/>
    <n v="-0.16285714285714287"/>
    <m/>
    <x v="2"/>
  </r>
  <r>
    <x v="0"/>
    <s v="Evaluación del desempeño institucional a través del Furag según lineamientos del DAFP"/>
    <s v="Todos los Procesos"/>
    <s v="Todos los Procesos"/>
    <s v="Ivonne Andrea Torres Cruz_x000a_Asesora de Control Interno"/>
    <s v="Kelly Serrano Rincón"/>
    <s v="Líderes de Cada Proceso"/>
    <m/>
    <m/>
    <m/>
    <m/>
    <m/>
    <m/>
    <m/>
    <m/>
    <m/>
    <m/>
    <m/>
    <m/>
    <m/>
    <m/>
    <s v="Certificado"/>
    <m/>
    <m/>
    <m/>
    <m/>
    <m/>
    <n v="0"/>
    <n v="0"/>
    <x v="0"/>
    <m/>
    <m/>
    <m/>
    <m/>
    <m/>
    <x v="4"/>
  </r>
  <r>
    <x v="6"/>
    <s v="Seguimiento al Plan de Mejoramiento Interno - Artículo 5 del Decreto 371 de 2010"/>
    <s v="Todos los Procesos"/>
    <s v="Todos los Procesos"/>
    <s v="Ivonne Andrea Torres Cruz_x000a_Asesora de Control Interno"/>
    <s v="Kelly Serrano Rincón"/>
    <s v="Líderes de Cada Proceso"/>
    <m/>
    <m/>
    <m/>
    <m/>
    <m/>
    <m/>
    <m/>
    <m/>
    <m/>
    <m/>
    <m/>
    <m/>
    <m/>
    <m/>
    <s v="Matriz"/>
    <m/>
    <m/>
    <m/>
    <m/>
    <m/>
    <n v="0"/>
    <n v="0"/>
    <x v="0"/>
    <m/>
    <m/>
    <m/>
    <m/>
    <m/>
    <x v="4"/>
  </r>
  <r>
    <x v="4"/>
    <s v="Atención Auditoría de Regularidad: Cód 55: EEvaluar la gestión fiscal vigencia 2020"/>
    <s v="Todos los Procesos"/>
    <s v="Todos los Procesos"/>
    <s v="Ivonne Andrea Torres Cruz_x000a_Asesora de Control Interno"/>
    <s v="Carlos Vargas Hernández"/>
    <s v="Líderes de Cada Proceso"/>
    <d v="2021-03-31T00:00:00"/>
    <d v="2021-07-29T00:00:00"/>
    <m/>
    <m/>
    <m/>
    <m/>
    <m/>
    <m/>
    <m/>
    <m/>
    <m/>
    <m/>
    <m/>
    <m/>
    <s v="Correo electrónico - Oficios"/>
    <n v="0.02"/>
    <m/>
    <m/>
    <m/>
    <m/>
    <n v="0"/>
    <n v="0.02"/>
    <x v="9"/>
    <n v="120"/>
    <n v="-31"/>
    <n v="-0.25833333333333336"/>
    <n v="-5.1666666666666675E-3"/>
    <m/>
    <x v="2"/>
  </r>
  <r>
    <x v="5"/>
    <s v="Revisión del tema del embargo de la UGPP - tema del comité financiero"/>
    <s v="Gestión Financiera"/>
    <s v="Apoyo"/>
    <s v="Ivonne Andrea Torres Cruz_x000a_Asesora de Control Interno"/>
    <s v="Marcela Urrea Jaramillo"/>
    <s v="Subdirector Financiero"/>
    <d v="2021-03-02T00:00:00"/>
    <d v="2021-03-26T00:00:00"/>
    <m/>
    <m/>
    <m/>
    <m/>
    <m/>
    <m/>
    <m/>
    <m/>
    <m/>
    <m/>
    <m/>
    <m/>
    <s v="Acta"/>
    <n v="2.5000000000000001E-3"/>
    <m/>
    <m/>
    <m/>
    <m/>
    <n v="0"/>
    <n v="2.5000000000000001E-3"/>
    <x v="3"/>
    <n v="24"/>
    <n v="-2"/>
    <n v="-8.3333333333333329E-2"/>
    <n v="-2.0833333333333332E-4"/>
    <m/>
    <x v="2"/>
  </r>
  <r>
    <x v="5"/>
    <s v="Apoyar la disposición final de las chaquetas de BMPT"/>
    <s v="Gestión Administrativa"/>
    <s v="Apoyo"/>
    <s v="Ivonne Andrea Torres Cruz_x000a_Asesora de Control Interno"/>
    <s v="Marcela Urrea Jaramillo"/>
    <s v="Subdirector Administrativo"/>
    <d v="2021-03-02T00:00:00"/>
    <d v="2021-03-26T00:00:00"/>
    <m/>
    <m/>
    <m/>
    <m/>
    <m/>
    <m/>
    <m/>
    <m/>
    <m/>
    <m/>
    <m/>
    <m/>
    <s v="Acta"/>
    <n v="2.5000000000000001E-3"/>
    <m/>
    <m/>
    <m/>
    <m/>
    <n v="0"/>
    <n v="2.5000000000000001E-3"/>
    <x v="3"/>
    <n v="24"/>
    <n v="-2"/>
    <n v="-8.3333333333333329E-2"/>
    <n v="-2.0833333333333332E-4"/>
    <m/>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3-08T00:00:00"/>
    <d v="2021-04-15T00:00:00"/>
    <m/>
    <m/>
    <m/>
    <m/>
    <m/>
    <m/>
    <m/>
    <m/>
    <m/>
    <m/>
    <m/>
    <m/>
    <s v="Acta"/>
    <n v="2.5000000000000001E-3"/>
    <m/>
    <m/>
    <m/>
    <m/>
    <n v="0"/>
    <n v="2.5000000000000001E-3"/>
    <x v="4"/>
    <n v="38"/>
    <n v="-8"/>
    <n v="-0.21052631578947367"/>
    <n v="-5.263157894736842E-4"/>
    <m/>
    <x v="2"/>
  </r>
  <r>
    <x v="2"/>
    <s v="Realizar evaluación parcial 2021 de mitad de año planta fija"/>
    <s v="Evaluación de la Gestión"/>
    <s v="Seguimiento y Evaluación"/>
    <s v="Ivonne Andrea Torres Cruz_x000a_Asesora de Control Interno"/>
    <s v="Elizabeth Sáenz Sáenz"/>
    <s v="Asesor de Control Interno"/>
    <d v="2021-08-02T00:00:00"/>
    <d v="2021-08-20T00:00:00"/>
    <m/>
    <m/>
    <m/>
    <m/>
    <m/>
    <m/>
    <m/>
    <m/>
    <m/>
    <m/>
    <m/>
    <m/>
    <s v="Certificado"/>
    <n v="1E-3"/>
    <m/>
    <m/>
    <m/>
    <m/>
    <n v="0"/>
    <n v="1E-3"/>
    <x v="8"/>
    <n v="18"/>
    <n v="-155"/>
    <n v="-8.6111111111111107"/>
    <n v="-8.611111111111111E-3"/>
    <m/>
    <x v="2"/>
  </r>
  <r>
    <x v="2"/>
    <s v="Realizar evaluación parcial 2021 por retiro del jefe inmediato planta fija"/>
    <s v="Evaluación de la Gestión"/>
    <s v="Seguimiento y Evaluación"/>
    <s v="Ivonne Andrea Torres Cruz_x000a_Asesora de Control Interno"/>
    <s v="Elizabeth Sáenz Sáenz"/>
    <s v="Asesor de Control Interno"/>
    <d v="2021-12-03T00:00:00"/>
    <d v="2021-12-15T00:00:00"/>
    <m/>
    <m/>
    <m/>
    <m/>
    <m/>
    <m/>
    <m/>
    <m/>
    <m/>
    <m/>
    <m/>
    <m/>
    <s v="Certificado"/>
    <n v="1E-3"/>
    <m/>
    <m/>
    <m/>
    <m/>
    <n v="0"/>
    <n v="1E-3"/>
    <x v="1"/>
    <n v="12"/>
    <n v="-278"/>
    <n v="-23.166666666666668"/>
    <n v="-2.3166666666666669E-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es">
  <location ref="A55:C68" firstHeaderRow="0" firstDataRow="1" firstDataCol="1"/>
  <pivotFields count="3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axis="axisRow" showAll="0" sortType="ascending">
      <items count="13">
        <item x="0"/>
        <item x="2"/>
        <item x="3"/>
        <item x="4"/>
        <item x="6"/>
        <item x="7"/>
        <item x="9"/>
        <item x="8"/>
        <item x="5"/>
        <item x="10"/>
        <item x="11"/>
        <item x="1"/>
        <item t="default"/>
      </items>
    </pivotField>
    <pivotField showAll="0" defaultSubtotal="0"/>
    <pivotField showAll="0" defaultSubtotal="0"/>
    <pivotField showAll="0" defaultSubtotal="0"/>
    <pivotField showAll="0" defaultSubtotal="0"/>
    <pivotField showAll="0" defaultSubtotal="0"/>
    <pivotField showAll="0" defaultSubtotal="0"/>
  </pivotFields>
  <rowFields count="1">
    <field x="29"/>
  </rowFields>
  <rowItems count="13">
    <i>
      <x/>
    </i>
    <i>
      <x v="1"/>
    </i>
    <i>
      <x v="2"/>
    </i>
    <i>
      <x v="3"/>
    </i>
    <i>
      <x v="4"/>
    </i>
    <i>
      <x v="5"/>
    </i>
    <i>
      <x v="6"/>
    </i>
    <i>
      <x v="7"/>
    </i>
    <i>
      <x v="8"/>
    </i>
    <i>
      <x v="9"/>
    </i>
    <i>
      <x v="10"/>
    </i>
    <i>
      <x v="11"/>
    </i>
    <i t="grand">
      <x/>
    </i>
  </rowItems>
  <colFields count="1">
    <field x="-2"/>
  </colFields>
  <colItems count="2">
    <i>
      <x/>
    </i>
    <i i="1">
      <x v="1"/>
    </i>
  </colItems>
  <dataFields count="2">
    <dataField name="Suma de Ponderación" fld="22" baseField="30" baseItem="0" numFmtId="10"/>
    <dataField name="Suma de Aporte al Avance del  PAA" fld="27" baseField="30" baseItem="1" numFmtId="10"/>
  </dataFields>
  <formats count="26">
    <format dxfId="1543">
      <pivotArea field="29" type="button" dataOnly="0" labelOnly="1" outline="0" axis="axisRow" fieldPosition="0"/>
    </format>
    <format dxfId="1542">
      <pivotArea dataOnly="0" labelOnly="1" outline="0" axis="axisValues" fieldPosition="0"/>
    </format>
    <format dxfId="1541">
      <pivotArea dataOnly="0" labelOnly="1" outline="0" axis="axisValues" fieldPosition="0"/>
    </format>
    <format dxfId="1540">
      <pivotArea field="29" type="button" dataOnly="0" labelOnly="1" outline="0" axis="axisRow" fieldPosition="0"/>
    </format>
    <format dxfId="1539">
      <pivotArea dataOnly="0" labelOnly="1" outline="0" axis="axisValues" fieldPosition="0"/>
    </format>
    <format dxfId="1538">
      <pivotArea dataOnly="0" labelOnly="1" outline="0" axis="axisValues" fieldPosition="0"/>
    </format>
    <format dxfId="1537">
      <pivotArea field="29" type="button" dataOnly="0" labelOnly="1" outline="0" axis="axisRow" fieldPosition="0"/>
    </format>
    <format dxfId="1536">
      <pivotArea dataOnly="0" labelOnly="1" outline="0" axis="axisValues" fieldPosition="0"/>
    </format>
    <format dxfId="1535">
      <pivotArea dataOnly="0" labelOnly="1" outline="0" axis="axisValues" fieldPosition="0"/>
    </format>
    <format dxfId="1534">
      <pivotArea outline="0" fieldPosition="0">
        <references count="1">
          <reference field="4294967294" count="1">
            <x v="1"/>
          </reference>
        </references>
      </pivotArea>
    </format>
    <format dxfId="1533">
      <pivotArea field="29" type="button" dataOnly="0" labelOnly="1" outline="0" axis="axisRow" fieldPosition="0"/>
    </format>
    <format dxfId="1532">
      <pivotArea dataOnly="0" labelOnly="1" outline="0" fieldPosition="0">
        <references count="1">
          <reference field="4294967294" count="2">
            <x v="0"/>
            <x v="1"/>
          </reference>
        </references>
      </pivotArea>
    </format>
    <format dxfId="1531">
      <pivotArea field="29" type="button" dataOnly="0" labelOnly="1" outline="0" axis="axisRow" fieldPosition="0"/>
    </format>
    <format dxfId="1530">
      <pivotArea dataOnly="0" labelOnly="1" outline="0" fieldPosition="0">
        <references count="1">
          <reference field="4294967294" count="2">
            <x v="0"/>
            <x v="1"/>
          </reference>
        </references>
      </pivotArea>
    </format>
    <format dxfId="1529">
      <pivotArea field="29" type="button" dataOnly="0" labelOnly="1" outline="0" axis="axisRow" fieldPosition="0"/>
    </format>
    <format dxfId="1528">
      <pivotArea dataOnly="0" labelOnly="1" outline="0" fieldPosition="0">
        <references count="1">
          <reference field="4294967294" count="2">
            <x v="0"/>
            <x v="1"/>
          </reference>
        </references>
      </pivotArea>
    </format>
    <format dxfId="1527">
      <pivotArea field="29" type="button" dataOnly="0" labelOnly="1" outline="0" axis="axisRow" fieldPosition="0"/>
    </format>
    <format dxfId="1526">
      <pivotArea dataOnly="0" labelOnly="1" outline="0" fieldPosition="0">
        <references count="1">
          <reference field="4294967294" count="2">
            <x v="0"/>
            <x v="1"/>
          </reference>
        </references>
      </pivotArea>
    </format>
    <format dxfId="1525">
      <pivotArea field="29" type="button" dataOnly="0" labelOnly="1" outline="0" axis="axisRow" fieldPosition="0"/>
    </format>
    <format dxfId="1524">
      <pivotArea dataOnly="0" labelOnly="1" outline="0" fieldPosition="0">
        <references count="1">
          <reference field="4294967294" count="2">
            <x v="0"/>
            <x v="1"/>
          </reference>
        </references>
      </pivotArea>
    </format>
    <format dxfId="1523">
      <pivotArea field="29" type="button" dataOnly="0" labelOnly="1" outline="0" axis="axisRow" fieldPosition="0"/>
    </format>
    <format dxfId="1522">
      <pivotArea dataOnly="0" labelOnly="1" outline="0" fieldPosition="0">
        <references count="1">
          <reference field="4294967294" count="2">
            <x v="0"/>
            <x v="1"/>
          </reference>
        </references>
      </pivotArea>
    </format>
    <format dxfId="1521">
      <pivotArea outline="0" collapsedLevelsAreSubtotals="1" fieldPosition="0">
        <references count="1">
          <reference field="4294967294" count="1" selected="0">
            <x v="0"/>
          </reference>
        </references>
      </pivotArea>
    </format>
    <format dxfId="1520">
      <pivotArea dataOnly="0" labelOnly="1" outline="0" fieldPosition="0">
        <references count="1">
          <reference field="4294967294" count="1">
            <x v="0"/>
          </reference>
        </references>
      </pivotArea>
    </format>
    <format dxfId="1519">
      <pivotArea outline="0" collapsedLevelsAreSubtotals="1" fieldPosition="0">
        <references count="1">
          <reference field="4294967294" count="1" selected="0">
            <x v="1"/>
          </reference>
        </references>
      </pivotArea>
    </format>
    <format dxfId="1518">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6">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63">
      <pivotArea field="0" grandRow="1" outline="0" collapsedLevelsAreSubtotals="1" axis="axisRow" fieldPosition="0">
        <references count="1">
          <reference field="4294967294" count="1" selected="0">
            <x v="1"/>
          </reference>
        </references>
      </pivotArea>
    </format>
    <format dxfId="1562">
      <pivotArea field="0" grandRow="1" outline="0" collapsedLevelsAreSubtotals="1" axis="axisRow" fieldPosition="0">
        <references count="1">
          <reference field="4294967294" count="1" selected="0">
            <x v="1"/>
          </reference>
        </references>
      </pivotArea>
    </format>
    <format dxfId="1561">
      <pivotArea field="0" grandRow="1" outline="0" collapsedLevelsAreSubtotals="1" axis="axisRow" fieldPosition="0">
        <references count="1">
          <reference field="4294967294" count="1" selected="0">
            <x v="1"/>
          </reference>
        </references>
      </pivotArea>
    </format>
    <format dxfId="1560">
      <pivotArea field="0" grandRow="1" outline="0" collapsedLevelsAreSubtotals="1" axis="axisRow" fieldPosition="0">
        <references count="1">
          <reference field="4294967294" count="1" selected="0">
            <x v="1"/>
          </reference>
        </references>
      </pivotArea>
    </format>
    <format dxfId="1559">
      <pivotArea field="0" grandRow="1" outline="0" collapsedLevelsAreSubtotals="1" axis="axisRow" fieldPosition="0">
        <references count="1">
          <reference field="4294967294" count="1" selected="0">
            <x v="1"/>
          </reference>
        </references>
      </pivotArea>
    </format>
    <format dxfId="1558">
      <pivotArea field="0" grandRow="1" outline="0" collapsedLevelsAreSubtotals="1" axis="axisRow" fieldPosition="0">
        <references count="1">
          <reference field="4294967294" count="1" selected="0">
            <x v="1"/>
          </reference>
        </references>
      </pivotArea>
    </format>
    <format dxfId="1557">
      <pivotArea outline="0" collapsedLevelsAreSubtotals="1" fieldPosition="0">
        <references count="1">
          <reference field="4294967294" count="1" selected="0">
            <x v="1"/>
          </reference>
        </references>
      </pivotArea>
    </format>
    <format dxfId="1556">
      <pivotArea outline="0" collapsedLevelsAreSubtotals="1" fieldPosition="0">
        <references count="1">
          <reference field="4294967294" count="1" selected="0">
            <x v="1"/>
          </reference>
        </references>
      </pivotArea>
    </format>
    <format dxfId="1555">
      <pivotArea outline="0" collapsedLevelsAreSubtotals="1" fieldPosition="0">
        <references count="1">
          <reference field="4294967294" count="1" selected="0">
            <x v="1"/>
          </reference>
        </references>
      </pivotArea>
    </format>
    <format dxfId="1554">
      <pivotArea outline="0" collapsedLevelsAreSubtotals="1" fieldPosition="0">
        <references count="1">
          <reference field="4294967294" count="1" selected="0">
            <x v="1"/>
          </reference>
        </references>
      </pivotArea>
    </format>
    <format dxfId="1553">
      <pivotArea outline="0" collapsedLevelsAreSubtotals="1" fieldPosition="0">
        <references count="1">
          <reference field="4294967294" count="1" selected="0">
            <x v="1"/>
          </reference>
        </references>
      </pivotArea>
    </format>
    <format dxfId="1552">
      <pivotArea outline="0" collapsedLevelsAreSubtotals="1" fieldPosition="0">
        <references count="1">
          <reference field="4294967294" count="1" selected="0">
            <x v="1"/>
          </reference>
        </references>
      </pivotArea>
    </format>
    <format dxfId="1551">
      <pivotArea field="0" grandRow="1" outline="0" collapsedLevelsAreSubtotals="1" axis="axisRow" fieldPosition="0">
        <references count="1">
          <reference field="4294967294" count="1" selected="0">
            <x v="1"/>
          </reference>
        </references>
      </pivotArea>
    </format>
    <format dxfId="1550">
      <pivotArea dataOnly="0" labelOnly="1" outline="0" fieldPosition="0">
        <references count="1">
          <reference field="4294967294" count="1">
            <x v="1"/>
          </reference>
        </references>
      </pivotArea>
    </format>
    <format dxfId="1549">
      <pivotArea dataOnly="0" labelOnly="1" outline="0" fieldPosition="0">
        <references count="1">
          <reference field="4294967294" count="1">
            <x v="1"/>
          </reference>
        </references>
      </pivotArea>
    </format>
    <format dxfId="1548">
      <pivotArea dataOnly="0" labelOnly="1" outline="0" fieldPosition="0">
        <references count="1">
          <reference field="4294967294" count="1">
            <x v="1"/>
          </reference>
        </references>
      </pivotArea>
    </format>
    <format dxfId="1547">
      <pivotArea field="0" type="button" dataOnly="0" labelOnly="1" outline="0" axis="axisRow" fieldPosition="0"/>
    </format>
    <format dxfId="1546">
      <pivotArea dataOnly="0" labelOnly="1" outline="0" fieldPosition="0">
        <references count="1">
          <reference field="4294967294" count="2">
            <x v="0"/>
            <x v="1"/>
          </reference>
        </references>
      </pivotArea>
    </format>
    <format dxfId="1545">
      <pivotArea field="0" type="button" dataOnly="0" labelOnly="1" outline="0" axis="axisRow" fieldPosition="0"/>
    </format>
    <format dxfId="154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7:B86" firstHeaderRow="1" firstDataRow="1" firstDataCol="1" rowPageCount="1" colPageCount="1"/>
  <pivotFields count="36">
    <pivotField axis="axisRow" showAll="0">
      <items count="9">
        <item x="5"/>
        <item x="7"/>
        <item x="2"/>
        <item x="1"/>
        <item x="0"/>
        <item x="3"/>
        <item x="4"/>
        <item x="6"/>
        <item t="default"/>
      </items>
    </pivotField>
    <pivotField dataField="1"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5">
        <item x="3"/>
        <item x="0"/>
        <item x="1"/>
        <item h="1" x="4"/>
        <item x="2"/>
      </items>
    </pivotField>
  </pivotFields>
  <rowFields count="1">
    <field x="0"/>
  </rowFields>
  <rowItems count="9">
    <i>
      <x/>
    </i>
    <i>
      <x v="1"/>
    </i>
    <i>
      <x v="2"/>
    </i>
    <i>
      <x v="3"/>
    </i>
    <i>
      <x v="4"/>
    </i>
    <i>
      <x v="5"/>
    </i>
    <i>
      <x v="6"/>
    </i>
    <i>
      <x v="7"/>
    </i>
    <i t="grand">
      <x/>
    </i>
  </rowItems>
  <colItems count="1">
    <i/>
  </colItems>
  <pageFields count="1">
    <pageField fld="35" hier="-1"/>
  </pageFields>
  <dataFields count="1">
    <dataField name="Cuenta de Actividad" fld="1" subtotal="count" baseField="0" baseItem="0"/>
  </dataFields>
  <formats count="2">
    <format dxfId="1565">
      <pivotArea field="0" type="button" dataOnly="0" labelOnly="1" outline="0" axis="axisRow" fieldPosition="0"/>
    </format>
    <format dxfId="1564">
      <pivotArea field="0"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O86"/>
  <sheetViews>
    <sheetView zoomScale="80" zoomScaleNormal="80" workbookViewId="0">
      <selection activeCell="D10" sqref="D9:D10"/>
    </sheetView>
  </sheetViews>
  <sheetFormatPr baseColWidth="10" defaultRowHeight="14.4" x14ac:dyDescent="0.3"/>
  <cols>
    <col min="1" max="1" width="36.109375" customWidth="1"/>
    <col min="2" max="2" width="20.33203125" customWidth="1"/>
    <col min="3" max="3" width="17.6640625" customWidth="1"/>
    <col min="4" max="5" width="21.44140625" customWidth="1"/>
    <col min="6" max="37" width="11.44140625" customWidth="1"/>
  </cols>
  <sheetData>
    <row r="3" spans="1:9" x14ac:dyDescent="0.3">
      <c r="B3" s="35" t="s">
        <v>193</v>
      </c>
    </row>
    <row r="4" spans="1:9" s="83" customFormat="1" ht="28.8" x14ac:dyDescent="0.3">
      <c r="A4" s="91" t="s">
        <v>221</v>
      </c>
      <c r="B4" s="210" t="s">
        <v>190</v>
      </c>
      <c r="C4" s="90" t="s">
        <v>189</v>
      </c>
      <c r="D4"/>
      <c r="E4"/>
      <c r="F4"/>
      <c r="G4"/>
      <c r="H4"/>
      <c r="I4"/>
    </row>
    <row r="5" spans="1:9" x14ac:dyDescent="0.3">
      <c r="A5" s="36" t="s">
        <v>52</v>
      </c>
      <c r="B5" s="38">
        <v>4.0000000000000008E-2</v>
      </c>
      <c r="C5" s="62">
        <v>4.0000000000000007E-4</v>
      </c>
    </row>
    <row r="6" spans="1:9" x14ac:dyDescent="0.3">
      <c r="A6" s="36" t="s">
        <v>50</v>
      </c>
      <c r="B6" s="38">
        <v>0.14000000000000007</v>
      </c>
      <c r="C6" s="62">
        <v>1.8E-3</v>
      </c>
    </row>
    <row r="7" spans="1:9" x14ac:dyDescent="0.3">
      <c r="A7" s="36" t="s">
        <v>45</v>
      </c>
      <c r="B7" s="38">
        <v>0.18000000000000008</v>
      </c>
      <c r="C7" s="62">
        <v>4.3400000000000008E-2</v>
      </c>
    </row>
    <row r="8" spans="1:9" x14ac:dyDescent="0.3">
      <c r="A8" s="36" t="s">
        <v>51</v>
      </c>
      <c r="B8" s="38">
        <v>0.13</v>
      </c>
      <c r="C8" s="62">
        <v>4.6999999999999993E-2</v>
      </c>
    </row>
    <row r="9" spans="1:9" x14ac:dyDescent="0.3">
      <c r="A9" s="36" t="s">
        <v>44</v>
      </c>
      <c r="B9" s="38">
        <v>0.16000000000000003</v>
      </c>
      <c r="C9" s="62">
        <v>4.4999999999999998E-2</v>
      </c>
    </row>
    <row r="10" spans="1:9" x14ac:dyDescent="0.3">
      <c r="A10" s="36" t="s">
        <v>43</v>
      </c>
      <c r="B10" s="38">
        <v>0.10000000000000002</v>
      </c>
      <c r="C10" s="62">
        <v>3.8400000000000004E-2</v>
      </c>
    </row>
    <row r="11" spans="1:9" x14ac:dyDescent="0.3">
      <c r="A11" s="36" t="s">
        <v>46</v>
      </c>
      <c r="B11" s="38">
        <v>9.0000000000000038E-2</v>
      </c>
      <c r="C11" s="62">
        <v>2.880000000000001E-2</v>
      </c>
    </row>
    <row r="12" spans="1:9" x14ac:dyDescent="0.3">
      <c r="A12" s="36" t="s">
        <v>47</v>
      </c>
      <c r="B12" s="38">
        <v>0.16</v>
      </c>
      <c r="C12" s="62">
        <v>1.9999999999999997E-2</v>
      </c>
    </row>
    <row r="13" spans="1:9" x14ac:dyDescent="0.3">
      <c r="A13" s="36" t="s">
        <v>188</v>
      </c>
      <c r="B13" s="38">
        <v>1.0000000000000002</v>
      </c>
      <c r="C13" s="78">
        <v>0.2248</v>
      </c>
    </row>
    <row r="20" spans="1:15" x14ac:dyDescent="0.3">
      <c r="A20" s="46" t="s">
        <v>194</v>
      </c>
      <c r="B20" s="46" t="s">
        <v>190</v>
      </c>
      <c r="C20" s="46" t="s">
        <v>189</v>
      </c>
    </row>
    <row r="21" spans="1:15" x14ac:dyDescent="0.3">
      <c r="A21" s="84" t="s">
        <v>52</v>
      </c>
      <c r="B21" s="148">
        <v>4.0000000000000008E-2</v>
      </c>
      <c r="C21" s="148">
        <v>4.0000000000000007E-4</v>
      </c>
      <c r="D21" s="66">
        <f t="shared" ref="D21:D29" si="0">+B21-C21</f>
        <v>3.960000000000001E-2</v>
      </c>
      <c r="E21" s="65"/>
      <c r="F21" s="39"/>
    </row>
    <row r="22" spans="1:15" x14ac:dyDescent="0.3">
      <c r="A22" s="84" t="s">
        <v>50</v>
      </c>
      <c r="B22" s="148">
        <v>0.14000000000000007</v>
      </c>
      <c r="C22" s="148">
        <v>1.8E-3</v>
      </c>
      <c r="D22" s="66">
        <f t="shared" si="0"/>
        <v>0.13820000000000007</v>
      </c>
      <c r="E22" s="65"/>
      <c r="F22" s="87"/>
    </row>
    <row r="23" spans="1:15" x14ac:dyDescent="0.3">
      <c r="A23" s="84" t="s">
        <v>45</v>
      </c>
      <c r="B23" s="148">
        <v>0.18000000000000008</v>
      </c>
      <c r="C23" s="148">
        <v>4.3400000000000008E-2</v>
      </c>
      <c r="D23" s="66">
        <f t="shared" si="0"/>
        <v>0.13660000000000005</v>
      </c>
      <c r="E23" s="65"/>
      <c r="F23" s="87"/>
    </row>
    <row r="24" spans="1:15" x14ac:dyDescent="0.3">
      <c r="A24" s="84" t="s">
        <v>51</v>
      </c>
      <c r="B24" s="148">
        <v>0.13</v>
      </c>
      <c r="C24" s="148">
        <v>4.6999999999999993E-2</v>
      </c>
      <c r="D24" s="66">
        <f t="shared" si="0"/>
        <v>8.3000000000000018E-2</v>
      </c>
      <c r="E24" s="65"/>
      <c r="F24" s="87"/>
    </row>
    <row r="25" spans="1:15" x14ac:dyDescent="0.3">
      <c r="A25" s="84" t="s">
        <v>44</v>
      </c>
      <c r="B25" s="148">
        <v>0.16000000000000003</v>
      </c>
      <c r="C25" s="148">
        <v>4.4999999999999998E-2</v>
      </c>
      <c r="D25" s="66">
        <f t="shared" si="0"/>
        <v>0.11500000000000003</v>
      </c>
      <c r="E25" s="65"/>
      <c r="F25" s="87"/>
    </row>
    <row r="26" spans="1:15" x14ac:dyDescent="0.3">
      <c r="A26" s="84" t="s">
        <v>43</v>
      </c>
      <c r="B26" s="148">
        <v>0.10000000000000002</v>
      </c>
      <c r="C26" s="148">
        <v>3.8400000000000004E-2</v>
      </c>
      <c r="D26" s="66">
        <f t="shared" si="0"/>
        <v>6.1600000000000016E-2</v>
      </c>
      <c r="E26" s="65"/>
      <c r="F26" s="87"/>
    </row>
    <row r="27" spans="1:15" x14ac:dyDescent="0.3">
      <c r="A27" s="84" t="s">
        <v>46</v>
      </c>
      <c r="B27" s="148">
        <v>9.0000000000000038E-2</v>
      </c>
      <c r="C27" s="148">
        <v>2.880000000000001E-2</v>
      </c>
      <c r="D27" s="66">
        <f t="shared" si="0"/>
        <v>6.1200000000000032E-2</v>
      </c>
      <c r="E27" s="65"/>
      <c r="F27" s="87"/>
    </row>
    <row r="28" spans="1:15" x14ac:dyDescent="0.3">
      <c r="A28" s="84" t="s">
        <v>47</v>
      </c>
      <c r="B28" s="148">
        <v>0.16</v>
      </c>
      <c r="C28" s="148">
        <v>1.9999999999999997E-2</v>
      </c>
      <c r="D28" s="66">
        <f t="shared" si="0"/>
        <v>0.14000000000000001</v>
      </c>
      <c r="E28" s="65"/>
      <c r="F28" s="87"/>
    </row>
    <row r="29" spans="1:15" x14ac:dyDescent="0.3">
      <c r="A29" s="37" t="s">
        <v>188</v>
      </c>
      <c r="B29" s="40">
        <f>SUM(B21:B28)</f>
        <v>1.0000000000000002</v>
      </c>
      <c r="C29" s="40">
        <f>SUM(C21:C28)</f>
        <v>0.2248</v>
      </c>
      <c r="D29" s="66">
        <f t="shared" si="0"/>
        <v>0.77520000000000022</v>
      </c>
      <c r="E29" s="65"/>
      <c r="F29" s="87"/>
    </row>
    <row r="31" spans="1:15" x14ac:dyDescent="0.3">
      <c r="A31" s="240" t="s">
        <v>195</v>
      </c>
      <c r="B31" s="240" t="s">
        <v>301</v>
      </c>
      <c r="C31" s="47" t="s">
        <v>498</v>
      </c>
      <c r="D31" s="211" t="s">
        <v>196</v>
      </c>
      <c r="E31" s="219" t="s">
        <v>499</v>
      </c>
      <c r="F31" s="88"/>
      <c r="G31" s="117"/>
      <c r="H31" s="99"/>
    </row>
    <row r="32" spans="1:15" x14ac:dyDescent="0.3">
      <c r="A32" s="241"/>
      <c r="B32" s="241"/>
      <c r="C32" s="48" t="s">
        <v>497</v>
      </c>
      <c r="D32" s="48">
        <v>44227</v>
      </c>
      <c r="E32" s="48">
        <v>44255</v>
      </c>
      <c r="F32" s="48">
        <v>44286</v>
      </c>
      <c r="G32" s="48">
        <v>44316</v>
      </c>
      <c r="H32" s="48">
        <v>44347</v>
      </c>
      <c r="I32" s="48">
        <v>44377</v>
      </c>
      <c r="J32" s="48">
        <v>44408</v>
      </c>
      <c r="K32" s="48">
        <v>44439</v>
      </c>
      <c r="L32" s="48">
        <v>44469</v>
      </c>
      <c r="M32" s="48">
        <v>44500</v>
      </c>
      <c r="N32" s="48">
        <v>44530</v>
      </c>
      <c r="O32" s="48">
        <v>44561</v>
      </c>
    </row>
    <row r="33" spans="1:12" ht="28.8" x14ac:dyDescent="0.3">
      <c r="A33" s="6" t="s">
        <v>201</v>
      </c>
      <c r="B33" s="39">
        <f>+B25+B28</f>
        <v>0.32000000000000006</v>
      </c>
      <c r="C33" s="87">
        <f>+C25+C28</f>
        <v>6.5000000000000002E-2</v>
      </c>
      <c r="D33" s="87">
        <v>3.7469999999999989E-2</v>
      </c>
      <c r="E33" s="39">
        <v>6.5000000000000002E-2</v>
      </c>
      <c r="F33" s="87"/>
      <c r="G33" s="87"/>
      <c r="H33" s="66"/>
    </row>
    <row r="34" spans="1:12" x14ac:dyDescent="0.3">
      <c r="A34" t="s">
        <v>197</v>
      </c>
      <c r="B34" s="39">
        <f>+B22</f>
        <v>0.14000000000000007</v>
      </c>
      <c r="C34" s="87">
        <f>+C22</f>
        <v>1.8E-3</v>
      </c>
      <c r="D34" s="87">
        <v>1.8500000000000001E-3</v>
      </c>
      <c r="E34" s="39">
        <v>1.8E-3</v>
      </c>
      <c r="F34" s="66"/>
      <c r="G34" s="66"/>
      <c r="H34" s="66"/>
    </row>
    <row r="35" spans="1:12" x14ac:dyDescent="0.3">
      <c r="A35" t="s">
        <v>46</v>
      </c>
      <c r="B35" s="39">
        <f>+B27</f>
        <v>9.0000000000000038E-2</v>
      </c>
      <c r="C35" s="87">
        <f>+C27</f>
        <v>2.880000000000001E-2</v>
      </c>
      <c r="D35" s="87">
        <v>1.4000000000000004E-2</v>
      </c>
      <c r="E35" s="39">
        <v>2.880000000000001E-2</v>
      </c>
      <c r="F35" s="66"/>
      <c r="G35" s="66"/>
      <c r="H35" s="66"/>
    </row>
    <row r="36" spans="1:12" x14ac:dyDescent="0.3">
      <c r="A36" t="s">
        <v>51</v>
      </c>
      <c r="B36" s="39">
        <f>+B24</f>
        <v>0.13</v>
      </c>
      <c r="C36" s="87">
        <f>+C24</f>
        <v>4.6999999999999993E-2</v>
      </c>
      <c r="D36" s="87">
        <v>4.6999999999999993E-2</v>
      </c>
      <c r="E36" s="39">
        <v>4.6999999999999993E-2</v>
      </c>
      <c r="F36" s="66"/>
      <c r="G36" s="66"/>
      <c r="H36" s="66"/>
    </row>
    <row r="37" spans="1:12" x14ac:dyDescent="0.3">
      <c r="A37" t="s">
        <v>198</v>
      </c>
      <c r="B37" s="39">
        <f>+B23</f>
        <v>0.18000000000000008</v>
      </c>
      <c r="C37" s="87">
        <f>+C23</f>
        <v>4.3400000000000008E-2</v>
      </c>
      <c r="D37" s="87">
        <v>2.7400000000000001E-2</v>
      </c>
      <c r="E37" s="39">
        <v>4.3400000000000008E-2</v>
      </c>
      <c r="F37" s="66"/>
      <c r="G37" s="66"/>
      <c r="H37" s="66"/>
    </row>
    <row r="38" spans="1:12" x14ac:dyDescent="0.3">
      <c r="A38" t="s">
        <v>43</v>
      </c>
      <c r="B38" s="39">
        <f>+B26</f>
        <v>0.10000000000000002</v>
      </c>
      <c r="C38" s="87">
        <f>+C26</f>
        <v>3.8400000000000004E-2</v>
      </c>
      <c r="D38" s="87">
        <v>3.4825000000000002E-2</v>
      </c>
      <c r="E38" s="39">
        <v>3.8400000000000004E-2</v>
      </c>
      <c r="F38" s="66"/>
      <c r="G38" s="66"/>
      <c r="H38" s="66"/>
    </row>
    <row r="39" spans="1:12" x14ac:dyDescent="0.3">
      <c r="A39" t="s">
        <v>199</v>
      </c>
      <c r="B39" s="39">
        <f>+B21</f>
        <v>4.0000000000000008E-2</v>
      </c>
      <c r="C39" s="87">
        <f>+C21</f>
        <v>4.0000000000000007E-4</v>
      </c>
      <c r="D39" s="87">
        <v>3.0000000000000003E-4</v>
      </c>
      <c r="E39" s="39">
        <v>4.0000000000000007E-4</v>
      </c>
      <c r="F39" s="66"/>
      <c r="G39" s="66"/>
      <c r="H39" s="66"/>
    </row>
    <row r="40" spans="1:12" x14ac:dyDescent="0.3">
      <c r="A40" s="49" t="s">
        <v>200</v>
      </c>
      <c r="B40" s="50">
        <f t="shared" ref="B40" si="1">SUM(B33:B39)</f>
        <v>1.0000000000000002</v>
      </c>
      <c r="C40" s="50">
        <f>SUM(C33:C39)</f>
        <v>0.2248</v>
      </c>
      <c r="D40" s="50">
        <f t="shared" ref="D40:H40" si="2">SUM(D33:D39)</f>
        <v>0.16284499999999999</v>
      </c>
      <c r="E40" s="50">
        <f t="shared" si="2"/>
        <v>0.2248</v>
      </c>
      <c r="F40" s="50">
        <f t="shared" si="2"/>
        <v>0</v>
      </c>
      <c r="G40" s="50">
        <f t="shared" si="2"/>
        <v>0</v>
      </c>
      <c r="H40" s="50">
        <f t="shared" si="2"/>
        <v>0</v>
      </c>
    </row>
    <row r="41" spans="1:12" x14ac:dyDescent="0.3">
      <c r="B41" s="39">
        <f t="shared" ref="B41" si="3">SUM(B33:B39)</f>
        <v>1.0000000000000002</v>
      </c>
      <c r="C41" s="87">
        <f t="shared" ref="C41:H41" si="4">SUM(C33:C39)</f>
        <v>0.2248</v>
      </c>
      <c r="D41" s="87">
        <f t="shared" si="4"/>
        <v>0.16284499999999999</v>
      </c>
      <c r="E41" s="87">
        <f t="shared" si="4"/>
        <v>0.2248</v>
      </c>
      <c r="F41" s="87">
        <f t="shared" si="4"/>
        <v>0</v>
      </c>
      <c r="G41" s="87">
        <f t="shared" si="4"/>
        <v>0</v>
      </c>
      <c r="H41" s="87">
        <f t="shared" si="4"/>
        <v>0</v>
      </c>
      <c r="I41" s="89"/>
      <c r="J41" s="89"/>
    </row>
    <row r="43" spans="1:12" x14ac:dyDescent="0.3">
      <c r="A43" s="242" t="s">
        <v>220</v>
      </c>
      <c r="B43" s="243"/>
      <c r="C43" s="243"/>
      <c r="D43" s="243"/>
      <c r="E43" s="243"/>
      <c r="F43" s="243"/>
      <c r="G43" s="243"/>
      <c r="H43" s="243"/>
    </row>
    <row r="44" spans="1:12" x14ac:dyDescent="0.3">
      <c r="A44" s="85" t="s">
        <v>222</v>
      </c>
      <c r="B44" s="85" t="s">
        <v>223</v>
      </c>
      <c r="C44" s="85"/>
      <c r="D44" s="85"/>
      <c r="E44" s="85"/>
      <c r="F44" s="85"/>
      <c r="G44" s="85"/>
      <c r="H44" s="85"/>
      <c r="I44" s="85"/>
      <c r="J44" s="85"/>
      <c r="K44" s="85"/>
      <c r="L44" s="85"/>
    </row>
    <row r="45" spans="1:12" x14ac:dyDescent="0.3">
      <c r="A45" s="86">
        <v>1</v>
      </c>
      <c r="B45" s="86">
        <v>1</v>
      </c>
      <c r="C45" s="86"/>
      <c r="D45" s="86"/>
      <c r="E45" s="86"/>
      <c r="F45" s="86"/>
      <c r="G45" s="86"/>
      <c r="H45" s="86"/>
      <c r="I45" s="86"/>
      <c r="J45" s="86"/>
      <c r="K45" s="86"/>
      <c r="L45" s="86"/>
    </row>
    <row r="54" spans="1:7" ht="15" customHeight="1" x14ac:dyDescent="0.3">
      <c r="A54" s="244" t="s">
        <v>302</v>
      </c>
      <c r="B54" s="244"/>
      <c r="C54" s="244"/>
      <c r="D54" s="244"/>
    </row>
    <row r="55" spans="1:7" ht="52.8" x14ac:dyDescent="0.3">
      <c r="A55" s="92" t="s">
        <v>232</v>
      </c>
      <c r="B55" s="93" t="s">
        <v>190</v>
      </c>
      <c r="C55" s="95" t="s">
        <v>189</v>
      </c>
      <c r="D55" s="90" t="s">
        <v>224</v>
      </c>
      <c r="E55" s="149" t="s">
        <v>229</v>
      </c>
      <c r="F55" s="149" t="s">
        <v>230</v>
      </c>
      <c r="G55" s="90" t="s">
        <v>231</v>
      </c>
    </row>
    <row r="56" spans="1:7" x14ac:dyDescent="0.3">
      <c r="A56" s="36">
        <v>1</v>
      </c>
      <c r="B56" s="94">
        <v>0.14350000000000004</v>
      </c>
      <c r="C56" s="96">
        <v>0.13600000000000001</v>
      </c>
      <c r="D56" s="239" t="s">
        <v>225</v>
      </c>
      <c r="E56" s="239">
        <f>B56+B57+B58</f>
        <v>0.31525000000000009</v>
      </c>
      <c r="F56" s="239">
        <f>C56+C57+C58</f>
        <v>0.22290000000000001</v>
      </c>
      <c r="G56" s="239">
        <f>F56/E56</f>
        <v>0.70705789056304502</v>
      </c>
    </row>
    <row r="57" spans="1:7" x14ac:dyDescent="0.3">
      <c r="A57" s="36">
        <v>2</v>
      </c>
      <c r="B57" s="94">
        <v>7.2000000000000022E-2</v>
      </c>
      <c r="C57" s="96">
        <v>7.2000000000000022E-2</v>
      </c>
      <c r="D57" s="239"/>
      <c r="E57" s="239"/>
      <c r="F57" s="239"/>
      <c r="G57" s="239"/>
    </row>
    <row r="58" spans="1:7" x14ac:dyDescent="0.3">
      <c r="A58" s="36">
        <v>3</v>
      </c>
      <c r="B58" s="94">
        <v>9.9750000000000019E-2</v>
      </c>
      <c r="C58" s="96">
        <v>1.49E-2</v>
      </c>
      <c r="D58" s="239"/>
      <c r="E58" s="239"/>
      <c r="F58" s="239"/>
      <c r="G58" s="239"/>
    </row>
    <row r="59" spans="1:7" x14ac:dyDescent="0.3">
      <c r="A59" s="36">
        <v>4</v>
      </c>
      <c r="B59" s="94">
        <v>8.8750000000000009E-2</v>
      </c>
      <c r="C59" s="96">
        <v>0</v>
      </c>
      <c r="D59" s="239" t="s">
        <v>226</v>
      </c>
      <c r="E59" s="239">
        <f>E56+B59+B60+B61</f>
        <v>0.51775000000000004</v>
      </c>
      <c r="F59" s="239">
        <f>F56+C59+C60+C61</f>
        <v>0.22290000000000001</v>
      </c>
      <c r="G59" s="239">
        <f t="shared" ref="G59" si="5">F59/E59</f>
        <v>0.43051665861902461</v>
      </c>
    </row>
    <row r="60" spans="1:7" x14ac:dyDescent="0.3">
      <c r="A60" s="36">
        <v>5</v>
      </c>
      <c r="B60" s="94">
        <v>6.1000000000000006E-2</v>
      </c>
      <c r="C60" s="96">
        <v>0</v>
      </c>
      <c r="D60" s="239"/>
      <c r="E60" s="239"/>
      <c r="F60" s="239"/>
      <c r="G60" s="239"/>
    </row>
    <row r="61" spans="1:7" x14ac:dyDescent="0.3">
      <c r="A61" s="36">
        <v>6</v>
      </c>
      <c r="B61" s="94">
        <v>5.2750000000000012E-2</v>
      </c>
      <c r="C61" s="96">
        <v>0</v>
      </c>
      <c r="D61" s="239"/>
      <c r="E61" s="239"/>
      <c r="F61" s="239"/>
      <c r="G61" s="239"/>
    </row>
    <row r="62" spans="1:7" x14ac:dyDescent="0.3">
      <c r="A62" s="36">
        <v>7</v>
      </c>
      <c r="B62" s="94">
        <v>0.125</v>
      </c>
      <c r="C62" s="96">
        <v>0</v>
      </c>
      <c r="D62" s="239" t="s">
        <v>227</v>
      </c>
      <c r="E62" s="239">
        <f>E59+B62+B63+B64</f>
        <v>0.78375000000000006</v>
      </c>
      <c r="F62" s="239">
        <f>F59+C62+C63+C64</f>
        <v>0.22290000000000001</v>
      </c>
      <c r="G62" s="239">
        <f t="shared" ref="G62" si="6">F62/E62</f>
        <v>0.2844019138755981</v>
      </c>
    </row>
    <row r="63" spans="1:7" x14ac:dyDescent="0.3">
      <c r="A63" s="36">
        <v>8</v>
      </c>
      <c r="B63" s="94">
        <v>5.3500000000000006E-2</v>
      </c>
      <c r="C63" s="96">
        <v>0</v>
      </c>
      <c r="D63" s="239"/>
      <c r="E63" s="239"/>
      <c r="F63" s="239"/>
      <c r="G63" s="239"/>
    </row>
    <row r="64" spans="1:7" x14ac:dyDescent="0.3">
      <c r="A64" s="36">
        <v>9</v>
      </c>
      <c r="B64" s="94">
        <v>8.7500000000000022E-2</v>
      </c>
      <c r="C64" s="96">
        <v>0</v>
      </c>
      <c r="D64" s="239"/>
      <c r="E64" s="239"/>
      <c r="F64" s="239"/>
      <c r="G64" s="239"/>
    </row>
    <row r="65" spans="1:7" x14ac:dyDescent="0.3">
      <c r="A65" s="36">
        <v>10</v>
      </c>
      <c r="B65" s="94">
        <v>5.6500000000000009E-2</v>
      </c>
      <c r="C65" s="96">
        <v>0</v>
      </c>
      <c r="D65" s="239" t="s">
        <v>228</v>
      </c>
      <c r="E65" s="239">
        <f>E62+B65+B66+B67</f>
        <v>1</v>
      </c>
      <c r="F65" s="239"/>
      <c r="G65" s="239"/>
    </row>
    <row r="66" spans="1:7" x14ac:dyDescent="0.3">
      <c r="A66" s="36">
        <v>11</v>
      </c>
      <c r="B66" s="94">
        <v>4.5250000000000012E-2</v>
      </c>
      <c r="C66" s="96">
        <v>0</v>
      </c>
      <c r="D66" s="239"/>
      <c r="E66" s="239"/>
      <c r="F66" s="239"/>
      <c r="G66" s="239"/>
    </row>
    <row r="67" spans="1:7" x14ac:dyDescent="0.3">
      <c r="A67" s="36">
        <v>12</v>
      </c>
      <c r="B67" s="94">
        <v>0.11450000000000002</v>
      </c>
      <c r="C67" s="96">
        <v>1.8999999999999998E-3</v>
      </c>
      <c r="D67" s="239"/>
      <c r="E67" s="239"/>
      <c r="F67" s="239"/>
      <c r="G67" s="239"/>
    </row>
    <row r="68" spans="1:7" x14ac:dyDescent="0.3">
      <c r="A68" s="36" t="s">
        <v>188</v>
      </c>
      <c r="B68" s="94">
        <v>1</v>
      </c>
      <c r="C68" s="96">
        <v>0.22480000000000003</v>
      </c>
    </row>
    <row r="75" spans="1:7" x14ac:dyDescent="0.3">
      <c r="A75" s="35" t="s">
        <v>397</v>
      </c>
      <c r="B75" t="s">
        <v>496</v>
      </c>
    </row>
    <row r="77" spans="1:7" x14ac:dyDescent="0.3">
      <c r="A77" s="91" t="s">
        <v>221</v>
      </c>
      <c r="B77" t="s">
        <v>303</v>
      </c>
    </row>
    <row r="78" spans="1:7" x14ac:dyDescent="0.3">
      <c r="A78" s="36" t="s">
        <v>52</v>
      </c>
      <c r="B78" s="38">
        <v>10</v>
      </c>
    </row>
    <row r="79" spans="1:7" x14ac:dyDescent="0.3">
      <c r="A79" s="36" t="s">
        <v>50</v>
      </c>
      <c r="B79" s="38">
        <v>40</v>
      </c>
    </row>
    <row r="80" spans="1:7" x14ac:dyDescent="0.3">
      <c r="A80" s="36" t="s">
        <v>45</v>
      </c>
      <c r="B80" s="38">
        <v>47</v>
      </c>
    </row>
    <row r="81" spans="1:2" x14ac:dyDescent="0.3">
      <c r="A81" s="36" t="s">
        <v>51</v>
      </c>
      <c r="B81" s="38">
        <v>12</v>
      </c>
    </row>
    <row r="82" spans="1:2" x14ac:dyDescent="0.3">
      <c r="A82" s="36" t="s">
        <v>44</v>
      </c>
      <c r="B82" s="38">
        <v>33</v>
      </c>
    </row>
    <row r="83" spans="1:2" x14ac:dyDescent="0.3">
      <c r="A83" s="36" t="s">
        <v>43</v>
      </c>
      <c r="B83" s="38">
        <v>18</v>
      </c>
    </row>
    <row r="84" spans="1:2" x14ac:dyDescent="0.3">
      <c r="A84" s="36" t="s">
        <v>46</v>
      </c>
      <c r="B84" s="38">
        <v>36</v>
      </c>
    </row>
    <row r="85" spans="1:2" x14ac:dyDescent="0.3">
      <c r="A85" s="36" t="s">
        <v>47</v>
      </c>
      <c r="B85" s="38">
        <v>10</v>
      </c>
    </row>
    <row r="86" spans="1:2" x14ac:dyDescent="0.3">
      <c r="A86" s="36" t="s">
        <v>188</v>
      </c>
      <c r="B86" s="38">
        <v>206</v>
      </c>
    </row>
  </sheetData>
  <mergeCells count="20">
    <mergeCell ref="G62:G64"/>
    <mergeCell ref="G65:G67"/>
    <mergeCell ref="E56:E58"/>
    <mergeCell ref="E59:E61"/>
    <mergeCell ref="E62:E64"/>
    <mergeCell ref="E65:E67"/>
    <mergeCell ref="G59:G61"/>
    <mergeCell ref="G56:G58"/>
    <mergeCell ref="A31:A32"/>
    <mergeCell ref="B31:B32"/>
    <mergeCell ref="A43:H43"/>
    <mergeCell ref="D62:D64"/>
    <mergeCell ref="D65:D67"/>
    <mergeCell ref="A54:D54"/>
    <mergeCell ref="F56:F58"/>
    <mergeCell ref="F59:F61"/>
    <mergeCell ref="F62:F64"/>
    <mergeCell ref="F65:F67"/>
    <mergeCell ref="D59:D61"/>
    <mergeCell ref="D56:D58"/>
  </mergeCells>
  <phoneticPr fontId="37" type="noConversion"/>
  <pageMargins left="0.7" right="0.7" top="0.75" bottom="0.75" header="0.3" footer="0.3"/>
  <pageSetup paperSize="9" orientation="portrait" r:id="rId4"/>
  <ignoredErrors>
    <ignoredError sqref="C40:C41 D40:H41" formulaRange="1"/>
  </ignoredError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FQ1047359"/>
  <sheetViews>
    <sheetView showGridLines="0" tabSelected="1" topLeftCell="A218" zoomScaleNormal="100" zoomScaleSheetLayoutView="55" workbookViewId="0">
      <selection activeCell="A227" sqref="A227"/>
    </sheetView>
  </sheetViews>
  <sheetFormatPr baseColWidth="10" defaultColWidth="11.44140625" defaultRowHeight="13.8" x14ac:dyDescent="0.25"/>
  <cols>
    <col min="1" max="1" width="14.6640625" style="1" customWidth="1"/>
    <col min="2" max="2" width="47.44140625" style="1" customWidth="1"/>
    <col min="3" max="3" width="19.5546875" style="1" customWidth="1"/>
    <col min="4" max="5" width="13.33203125" style="1" customWidth="1"/>
    <col min="6" max="6" width="16.44140625" style="1" customWidth="1"/>
    <col min="7" max="9" width="12.88671875" style="1" customWidth="1"/>
    <col min="10" max="21" width="4.88671875" style="1" customWidth="1"/>
    <col min="22" max="22" width="12.109375" style="1" customWidth="1"/>
    <col min="23" max="23" width="11.5546875" style="1" customWidth="1"/>
    <col min="24" max="24" width="11.88671875" style="1" customWidth="1"/>
    <col min="25" max="26" width="30.5546875" style="1" customWidth="1"/>
    <col min="27" max="27" width="18.109375" style="1" customWidth="1"/>
    <col min="28" max="28" width="11.109375" style="1" customWidth="1"/>
    <col min="29" max="29" width="9.6640625" style="1" hidden="1" customWidth="1"/>
    <col min="30" max="30" width="11" style="22" hidden="1" customWidth="1"/>
    <col min="31" max="31" width="12.109375" style="1" hidden="1" customWidth="1"/>
    <col min="32" max="32" width="14.5546875" style="1" hidden="1" customWidth="1"/>
    <col min="33" max="33" width="10.5546875" style="1" hidden="1" customWidth="1"/>
    <col min="34" max="34" width="12.33203125" style="1" hidden="1" customWidth="1"/>
    <col min="35" max="35" width="11.44140625" style="1" hidden="1" customWidth="1"/>
    <col min="36" max="36" width="11.33203125" style="3" hidden="1" customWidth="1"/>
    <col min="37" max="37" width="11.33203125" style="1" customWidth="1"/>
    <col min="38" max="39" width="11.44140625" style="1" customWidth="1"/>
    <col min="40" max="16384" width="11.44140625" style="1"/>
  </cols>
  <sheetData>
    <row r="1" spans="1:36" ht="22.5" customHeight="1" x14ac:dyDescent="0.25">
      <c r="A1" s="282"/>
      <c r="B1" s="282"/>
      <c r="C1" s="282"/>
      <c r="D1" s="282"/>
      <c r="E1" s="283" t="s">
        <v>39</v>
      </c>
      <c r="F1" s="283"/>
      <c r="G1" s="283"/>
      <c r="H1" s="283"/>
      <c r="I1" s="283"/>
      <c r="J1" s="283"/>
      <c r="K1" s="283"/>
      <c r="L1" s="283"/>
      <c r="M1" s="283"/>
      <c r="N1" s="283"/>
      <c r="O1" s="283"/>
      <c r="P1" s="283"/>
      <c r="Q1" s="283"/>
      <c r="R1" s="283"/>
      <c r="S1" s="283"/>
      <c r="T1" s="283"/>
      <c r="U1" s="283"/>
      <c r="V1" s="283"/>
      <c r="W1" s="283"/>
      <c r="X1" s="283"/>
      <c r="Y1" s="283"/>
      <c r="Z1" s="4" t="s">
        <v>6</v>
      </c>
      <c r="AA1" s="281" t="s">
        <v>7</v>
      </c>
      <c r="AB1" s="281"/>
    </row>
    <row r="2" spans="1:36" ht="22.5" customHeight="1" x14ac:dyDescent="0.25">
      <c r="A2" s="282"/>
      <c r="B2" s="282"/>
      <c r="C2" s="282"/>
      <c r="D2" s="282"/>
      <c r="E2" s="283"/>
      <c r="F2" s="283"/>
      <c r="G2" s="283"/>
      <c r="H2" s="283"/>
      <c r="I2" s="283"/>
      <c r="J2" s="283"/>
      <c r="K2" s="283"/>
      <c r="L2" s="283"/>
      <c r="M2" s="283"/>
      <c r="N2" s="283"/>
      <c r="O2" s="283"/>
      <c r="P2" s="283"/>
      <c r="Q2" s="283"/>
      <c r="R2" s="283"/>
      <c r="S2" s="283"/>
      <c r="T2" s="283"/>
      <c r="U2" s="283"/>
      <c r="V2" s="283"/>
      <c r="W2" s="283"/>
      <c r="X2" s="283"/>
      <c r="Y2" s="283"/>
      <c r="Z2" s="4" t="s">
        <v>8</v>
      </c>
      <c r="AA2" s="281">
        <v>6</v>
      </c>
      <c r="AB2" s="281"/>
    </row>
    <row r="3" spans="1:36" ht="22.5" customHeight="1" x14ac:dyDescent="0.25">
      <c r="A3" s="282"/>
      <c r="B3" s="282"/>
      <c r="C3" s="282"/>
      <c r="D3" s="282"/>
      <c r="E3" s="283"/>
      <c r="F3" s="283"/>
      <c r="G3" s="283"/>
      <c r="H3" s="283"/>
      <c r="I3" s="283"/>
      <c r="J3" s="283"/>
      <c r="K3" s="283"/>
      <c r="L3" s="283"/>
      <c r="M3" s="283"/>
      <c r="N3" s="283"/>
      <c r="O3" s="283"/>
      <c r="P3" s="283"/>
      <c r="Q3" s="283"/>
      <c r="R3" s="283"/>
      <c r="S3" s="283"/>
      <c r="T3" s="283"/>
      <c r="U3" s="283"/>
      <c r="V3" s="283"/>
      <c r="W3" s="283"/>
      <c r="X3" s="283"/>
      <c r="Y3" s="283"/>
      <c r="Z3" s="4" t="s">
        <v>9</v>
      </c>
      <c r="AA3" s="292">
        <v>43839</v>
      </c>
      <c r="AB3" s="292"/>
    </row>
    <row r="4" spans="1:36" ht="6" customHeight="1" x14ac:dyDescent="0.25">
      <c r="A4" s="2"/>
      <c r="B4" s="2"/>
      <c r="C4" s="2"/>
      <c r="D4" s="2"/>
      <c r="E4" s="2"/>
      <c r="F4" s="2"/>
      <c r="G4" s="2"/>
      <c r="H4" s="2"/>
      <c r="I4" s="2"/>
      <c r="J4" s="2"/>
      <c r="K4" s="2"/>
      <c r="L4" s="2"/>
    </row>
    <row r="5" spans="1:36" s="114" customFormat="1" ht="17.25" customHeight="1" x14ac:dyDescent="0.3">
      <c r="A5" s="286" t="s">
        <v>0</v>
      </c>
      <c r="B5" s="287"/>
      <c r="C5" s="287"/>
      <c r="D5" s="287"/>
      <c r="E5" s="287"/>
      <c r="F5" s="286" t="s">
        <v>2</v>
      </c>
      <c r="G5" s="287"/>
      <c r="H5" s="287"/>
      <c r="I5" s="287"/>
      <c r="J5" s="287"/>
      <c r="K5" s="287"/>
      <c r="L5" s="287"/>
      <c r="M5" s="287"/>
      <c r="N5" s="287"/>
      <c r="O5" s="287"/>
      <c r="P5" s="287"/>
      <c r="Q5" s="287"/>
      <c r="R5" s="287"/>
      <c r="S5" s="287"/>
      <c r="T5" s="287"/>
      <c r="U5" s="287"/>
      <c r="V5" s="287"/>
      <c r="W5" s="293"/>
      <c r="X5" s="286" t="s">
        <v>3</v>
      </c>
      <c r="Y5" s="287"/>
      <c r="Z5" s="287"/>
      <c r="AA5" s="287"/>
      <c r="AB5" s="293"/>
      <c r="AD5" s="128"/>
      <c r="AJ5" s="129"/>
    </row>
    <row r="6" spans="1:36" s="114" customFormat="1" ht="17.25" customHeight="1" x14ac:dyDescent="0.3">
      <c r="A6" s="290" t="s">
        <v>41</v>
      </c>
      <c r="B6" s="291"/>
      <c r="C6" s="291"/>
      <c r="D6" s="291"/>
      <c r="E6" s="291"/>
      <c r="F6" s="288" t="s">
        <v>237</v>
      </c>
      <c r="G6" s="289"/>
      <c r="H6" s="289"/>
      <c r="I6" s="289"/>
      <c r="J6" s="289"/>
      <c r="K6" s="289"/>
      <c r="L6" s="289"/>
      <c r="M6" s="289"/>
      <c r="N6" s="289"/>
      <c r="O6" s="289"/>
      <c r="P6" s="289"/>
      <c r="Q6" s="289"/>
      <c r="R6" s="289"/>
      <c r="S6" s="289"/>
      <c r="T6" s="289"/>
      <c r="U6" s="289"/>
      <c r="V6" s="289"/>
      <c r="W6" s="294"/>
      <c r="X6" s="288" t="s">
        <v>238</v>
      </c>
      <c r="Y6" s="289"/>
      <c r="Z6" s="289"/>
      <c r="AA6" s="289"/>
      <c r="AB6" s="294"/>
      <c r="AD6" s="128"/>
      <c r="AJ6" s="129"/>
    </row>
    <row r="7" spans="1:36" s="114" customFormat="1" ht="17.25" customHeight="1" x14ac:dyDescent="0.3">
      <c r="A7" s="286" t="s">
        <v>1</v>
      </c>
      <c r="B7" s="287"/>
      <c r="C7" s="287"/>
      <c r="D7" s="287"/>
      <c r="E7" s="287"/>
      <c r="F7" s="288"/>
      <c r="G7" s="289"/>
      <c r="H7" s="289"/>
      <c r="I7" s="289"/>
      <c r="J7" s="289"/>
      <c r="K7" s="289"/>
      <c r="L7" s="289"/>
      <c r="M7" s="289"/>
      <c r="N7" s="289"/>
      <c r="O7" s="289"/>
      <c r="P7" s="289"/>
      <c r="Q7" s="289"/>
      <c r="R7" s="289"/>
      <c r="S7" s="289"/>
      <c r="T7" s="289"/>
      <c r="U7" s="289"/>
      <c r="V7" s="289"/>
      <c r="W7" s="294"/>
      <c r="X7" s="288"/>
      <c r="Y7" s="289"/>
      <c r="Z7" s="289"/>
      <c r="AA7" s="289"/>
      <c r="AB7" s="294"/>
      <c r="AD7" s="128"/>
      <c r="AJ7" s="129"/>
    </row>
    <row r="8" spans="1:36" s="114" customFormat="1" ht="17.25" customHeight="1" x14ac:dyDescent="0.3">
      <c r="A8" s="288" t="s">
        <v>42</v>
      </c>
      <c r="B8" s="289"/>
      <c r="C8" s="289"/>
      <c r="D8" s="289"/>
      <c r="E8" s="289"/>
      <c r="F8" s="290"/>
      <c r="G8" s="291"/>
      <c r="H8" s="291"/>
      <c r="I8" s="291"/>
      <c r="J8" s="291"/>
      <c r="K8" s="291"/>
      <c r="L8" s="291"/>
      <c r="M8" s="291"/>
      <c r="N8" s="291"/>
      <c r="O8" s="291"/>
      <c r="P8" s="291"/>
      <c r="Q8" s="291"/>
      <c r="R8" s="291"/>
      <c r="S8" s="291"/>
      <c r="T8" s="291"/>
      <c r="U8" s="291"/>
      <c r="V8" s="291"/>
      <c r="W8" s="295"/>
      <c r="X8" s="290"/>
      <c r="Y8" s="291"/>
      <c r="Z8" s="291"/>
      <c r="AA8" s="291"/>
      <c r="AB8" s="295"/>
      <c r="AD8" s="128"/>
      <c r="AJ8" s="129"/>
    </row>
    <row r="9" spans="1:36" ht="15" customHeight="1" x14ac:dyDescent="0.25">
      <c r="A9" s="284" t="s">
        <v>40</v>
      </c>
      <c r="B9" s="285"/>
      <c r="C9" s="285"/>
      <c r="D9" s="285"/>
      <c r="E9" s="285"/>
      <c r="F9" s="130"/>
      <c r="G9" s="127"/>
      <c r="H9" s="284" t="s">
        <v>5</v>
      </c>
      <c r="I9" s="285"/>
      <c r="J9" s="285"/>
      <c r="K9" s="285"/>
      <c r="L9" s="285"/>
      <c r="M9" s="285"/>
      <c r="N9" s="285"/>
      <c r="O9" s="285"/>
      <c r="P9" s="285"/>
      <c r="Q9" s="285"/>
      <c r="R9" s="285"/>
      <c r="S9" s="285"/>
      <c r="T9" s="285"/>
      <c r="U9" s="285"/>
      <c r="V9" s="285"/>
      <c r="W9" s="285"/>
      <c r="X9" s="284" t="s">
        <v>4</v>
      </c>
      <c r="Y9" s="285"/>
      <c r="Z9" s="285"/>
      <c r="AA9" s="285"/>
      <c r="AB9" s="296"/>
    </row>
    <row r="10" spans="1:36" ht="15" customHeight="1" x14ac:dyDescent="0.25">
      <c r="A10" s="273" t="s">
        <v>147</v>
      </c>
      <c r="B10" s="274"/>
      <c r="C10" s="274"/>
      <c r="D10" s="274"/>
      <c r="E10" s="274"/>
      <c r="F10" s="121"/>
      <c r="G10" s="126"/>
      <c r="H10" s="275" t="s">
        <v>153</v>
      </c>
      <c r="I10" s="276"/>
      <c r="J10" s="276"/>
      <c r="K10" s="276"/>
      <c r="L10" s="276"/>
      <c r="M10" s="276"/>
      <c r="N10" s="276"/>
      <c r="O10" s="276"/>
      <c r="P10" s="276"/>
      <c r="Q10" s="276"/>
      <c r="R10" s="276"/>
      <c r="S10" s="276"/>
      <c r="T10" s="276"/>
      <c r="U10" s="276"/>
      <c r="V10" s="276"/>
      <c r="W10" s="276"/>
      <c r="X10" s="275" t="s">
        <v>259</v>
      </c>
      <c r="Y10" s="276"/>
      <c r="Z10" s="276"/>
      <c r="AA10" s="276"/>
      <c r="AB10" s="300"/>
    </row>
    <row r="11" spans="1:36" ht="15" customHeight="1" x14ac:dyDescent="0.25">
      <c r="A11" s="252" t="s">
        <v>396</v>
      </c>
      <c r="B11" s="253"/>
      <c r="C11" s="254"/>
      <c r="D11" s="260" t="s">
        <v>11</v>
      </c>
      <c r="E11" s="261"/>
      <c r="F11" s="260" t="s">
        <v>10</v>
      </c>
      <c r="G11" s="261"/>
      <c r="H11" s="275"/>
      <c r="I11" s="276"/>
      <c r="J11" s="276"/>
      <c r="K11" s="276"/>
      <c r="L11" s="276"/>
      <c r="M11" s="276"/>
      <c r="N11" s="276"/>
      <c r="O11" s="276"/>
      <c r="P11" s="276"/>
      <c r="Q11" s="276"/>
      <c r="R11" s="276"/>
      <c r="S11" s="276"/>
      <c r="T11" s="276"/>
      <c r="U11" s="276"/>
      <c r="V11" s="276"/>
      <c r="W11" s="276"/>
      <c r="X11" s="275"/>
      <c r="Y11" s="276"/>
      <c r="Z11" s="276"/>
      <c r="AA11" s="276"/>
      <c r="AB11" s="300"/>
    </row>
    <row r="12" spans="1:36" ht="15" customHeight="1" x14ac:dyDescent="0.25">
      <c r="A12" s="249" t="s">
        <v>205</v>
      </c>
      <c r="B12" s="250"/>
      <c r="C12" s="251"/>
      <c r="D12" s="258">
        <v>44251</v>
      </c>
      <c r="E12" s="259"/>
      <c r="F12" s="279">
        <v>2021</v>
      </c>
      <c r="G12" s="280"/>
      <c r="H12" s="277"/>
      <c r="I12" s="278"/>
      <c r="J12" s="278"/>
      <c r="K12" s="278"/>
      <c r="L12" s="278"/>
      <c r="M12" s="278"/>
      <c r="N12" s="278"/>
      <c r="O12" s="278"/>
      <c r="P12" s="278"/>
      <c r="Q12" s="278"/>
      <c r="R12" s="278"/>
      <c r="S12" s="278"/>
      <c r="T12" s="278"/>
      <c r="U12" s="278"/>
      <c r="V12" s="278"/>
      <c r="W12" s="278"/>
      <c r="X12" s="275"/>
      <c r="Y12" s="276"/>
      <c r="Z12" s="276"/>
      <c r="AA12" s="276"/>
      <c r="AB12" s="300"/>
    </row>
    <row r="13" spans="1:36" ht="23.25" customHeight="1" x14ac:dyDescent="0.25">
      <c r="A13" s="262" t="s">
        <v>122</v>
      </c>
      <c r="B13" s="262" t="s">
        <v>118</v>
      </c>
      <c r="C13" s="266"/>
      <c r="D13" s="266"/>
      <c r="E13" s="267"/>
      <c r="F13" s="264" t="s">
        <v>256</v>
      </c>
      <c r="G13" s="265"/>
      <c r="H13" s="264" t="s">
        <v>119</v>
      </c>
      <c r="I13" s="265"/>
      <c r="J13" s="262" t="s">
        <v>120</v>
      </c>
      <c r="K13" s="266"/>
      <c r="L13" s="267"/>
      <c r="M13" s="262" t="s">
        <v>257</v>
      </c>
      <c r="N13" s="266"/>
      <c r="O13" s="266"/>
      <c r="P13" s="266"/>
      <c r="Q13" s="267"/>
      <c r="R13" s="262" t="s">
        <v>258</v>
      </c>
      <c r="S13" s="266"/>
      <c r="T13" s="266"/>
      <c r="U13" s="267"/>
      <c r="V13" s="262" t="s">
        <v>121</v>
      </c>
      <c r="W13" s="267"/>
      <c r="X13" s="275"/>
      <c r="Y13" s="276"/>
      <c r="Z13" s="276"/>
      <c r="AA13" s="276"/>
      <c r="AB13" s="300"/>
    </row>
    <row r="14" spans="1:36" ht="23.25" customHeight="1" x14ac:dyDescent="0.25">
      <c r="A14" s="263"/>
      <c r="B14" s="249" t="s">
        <v>255</v>
      </c>
      <c r="C14" s="271"/>
      <c r="D14" s="271"/>
      <c r="E14" s="272"/>
      <c r="F14" s="255">
        <v>7</v>
      </c>
      <c r="G14" s="257"/>
      <c r="H14" s="255">
        <v>1</v>
      </c>
      <c r="I14" s="257"/>
      <c r="J14" s="268">
        <v>0</v>
      </c>
      <c r="K14" s="269"/>
      <c r="L14" s="270"/>
      <c r="M14" s="255">
        <v>1</v>
      </c>
      <c r="N14" s="256"/>
      <c r="O14" s="256"/>
      <c r="P14" s="256"/>
      <c r="Q14" s="257"/>
      <c r="R14" s="255">
        <v>4</v>
      </c>
      <c r="S14" s="256"/>
      <c r="T14" s="256"/>
      <c r="U14" s="257"/>
      <c r="V14" s="255">
        <v>1</v>
      </c>
      <c r="W14" s="257"/>
      <c r="X14" s="277"/>
      <c r="Y14" s="278"/>
      <c r="Z14" s="278"/>
      <c r="AA14" s="278"/>
      <c r="AB14" s="301"/>
    </row>
    <row r="15" spans="1:36" ht="7.5" customHeight="1" x14ac:dyDescent="0.25">
      <c r="B15" s="2"/>
      <c r="C15" s="54"/>
      <c r="D15" s="54"/>
      <c r="E15" s="54"/>
      <c r="F15" s="54"/>
      <c r="G15" s="54"/>
      <c r="H15" s="54"/>
      <c r="I15" s="54"/>
      <c r="J15" s="68"/>
      <c r="K15" s="68">
        <f>DATE($F$12,2,1)</f>
        <v>44228</v>
      </c>
      <c r="L15" s="68">
        <f>DATE($F$12,3,1)</f>
        <v>44256</v>
      </c>
      <c r="M15" s="68">
        <f>DATE($F$12,4,1)</f>
        <v>44287</v>
      </c>
      <c r="N15" s="68">
        <f>DATE($F$12,5,1)</f>
        <v>44317</v>
      </c>
      <c r="O15" s="68">
        <f>DATE($F$12,6,1)</f>
        <v>44348</v>
      </c>
      <c r="P15" s="68">
        <f>DATE($F$12,7,1)</f>
        <v>44378</v>
      </c>
      <c r="Q15" s="68">
        <f>DATE($F$12,8,1)</f>
        <v>44409</v>
      </c>
      <c r="R15" s="68">
        <f>DATE($F$12,9,1)</f>
        <v>44440</v>
      </c>
      <c r="S15" s="68">
        <f>DATE($F$12,10,1)</f>
        <v>44470</v>
      </c>
      <c r="T15" s="68">
        <f>DATE($F$12,11,1)</f>
        <v>44501</v>
      </c>
      <c r="U15" s="68">
        <f>DATE($F$12,12,1)</f>
        <v>44531</v>
      </c>
      <c r="V15" s="55"/>
      <c r="W15" s="55"/>
      <c r="X15" s="55"/>
      <c r="Y15" s="55"/>
      <c r="Z15" s="55"/>
      <c r="AA15" s="55"/>
    </row>
    <row r="16" spans="1:36" ht="7.5" customHeight="1" x14ac:dyDescent="0.25">
      <c r="B16" s="2"/>
      <c r="C16" s="54"/>
      <c r="D16" s="54"/>
      <c r="E16" s="54"/>
      <c r="F16" s="54"/>
      <c r="G16" s="54"/>
      <c r="H16" s="54"/>
      <c r="I16" s="54"/>
      <c r="J16" s="68">
        <f>DATE($F$12,1,31)</f>
        <v>44227</v>
      </c>
      <c r="K16" s="68">
        <f>DATE($F$12,2,29)</f>
        <v>44256</v>
      </c>
      <c r="L16" s="68">
        <f>DATE($F$12,3,31)</f>
        <v>44286</v>
      </c>
      <c r="M16" s="68">
        <f>DATE($F$12,4,30)</f>
        <v>44316</v>
      </c>
      <c r="N16" s="68">
        <f>DATE($F$12,5,31)</f>
        <v>44347</v>
      </c>
      <c r="O16" s="68">
        <f>DATE($F$12,6,30)</f>
        <v>44377</v>
      </c>
      <c r="P16" s="68">
        <f>DATE($F$12,7,31)</f>
        <v>44408</v>
      </c>
      <c r="Q16" s="68">
        <f>DATE($F$12,8,31)</f>
        <v>44439</v>
      </c>
      <c r="R16" s="68">
        <f>DATE($F$12,9,30)</f>
        <v>44469</v>
      </c>
      <c r="S16" s="68">
        <f>DATE($F$12,10,31)</f>
        <v>44500</v>
      </c>
      <c r="T16" s="68">
        <f>DATE($F$12,11,30)</f>
        <v>44530</v>
      </c>
      <c r="U16" s="68">
        <f>DATE($F$12,12,31)</f>
        <v>44561</v>
      </c>
      <c r="V16" s="55"/>
      <c r="W16" s="55"/>
      <c r="X16" s="55"/>
      <c r="Y16" s="55"/>
      <c r="Z16" s="55"/>
      <c r="AA16" s="55"/>
    </row>
    <row r="17" spans="1:60" s="100" customFormat="1" ht="12" customHeight="1" x14ac:dyDescent="0.3">
      <c r="A17" s="122" t="s">
        <v>125</v>
      </c>
      <c r="B17" s="122" t="s">
        <v>18</v>
      </c>
      <c r="C17" s="122" t="s">
        <v>70</v>
      </c>
      <c r="D17" s="123" t="s">
        <v>12</v>
      </c>
      <c r="E17" s="123" t="s">
        <v>19</v>
      </c>
      <c r="F17" s="123" t="s">
        <v>20</v>
      </c>
      <c r="G17" s="123" t="s">
        <v>21</v>
      </c>
      <c r="H17" s="297" t="s">
        <v>13</v>
      </c>
      <c r="I17" s="297"/>
      <c r="J17" s="298" t="s">
        <v>14</v>
      </c>
      <c r="K17" s="298"/>
      <c r="L17" s="298"/>
      <c r="M17" s="298"/>
      <c r="N17" s="298"/>
      <c r="O17" s="298"/>
      <c r="P17" s="298"/>
      <c r="Q17" s="298"/>
      <c r="R17" s="298"/>
      <c r="S17" s="298"/>
      <c r="T17" s="298"/>
      <c r="U17" s="298"/>
      <c r="V17" s="123" t="s">
        <v>37</v>
      </c>
      <c r="W17" s="123" t="s">
        <v>56</v>
      </c>
      <c r="X17" s="299" t="s">
        <v>15</v>
      </c>
      <c r="Y17" s="299"/>
      <c r="Z17" s="299"/>
      <c r="AA17" s="125" t="s">
        <v>38</v>
      </c>
      <c r="AB17" s="125" t="s">
        <v>55</v>
      </c>
      <c r="AD17" s="124"/>
    </row>
    <row r="18" spans="1:60" s="3" customFormat="1" ht="46.5" customHeight="1" x14ac:dyDescent="0.2">
      <c r="A18" s="57" t="s">
        <v>125</v>
      </c>
      <c r="B18" s="57" t="s">
        <v>18</v>
      </c>
      <c r="C18" s="57" t="s">
        <v>70</v>
      </c>
      <c r="D18" s="57" t="s">
        <v>12</v>
      </c>
      <c r="E18" s="57" t="s">
        <v>19</v>
      </c>
      <c r="F18" s="57" t="s">
        <v>20</v>
      </c>
      <c r="G18" s="57" t="s">
        <v>21</v>
      </c>
      <c r="H18" s="57" t="s">
        <v>34</v>
      </c>
      <c r="I18" s="57" t="s">
        <v>35</v>
      </c>
      <c r="J18" s="58" t="s">
        <v>22</v>
      </c>
      <c r="K18" s="58" t="s">
        <v>23</v>
      </c>
      <c r="L18" s="58" t="s">
        <v>24</v>
      </c>
      <c r="M18" s="58" t="s">
        <v>25</v>
      </c>
      <c r="N18" s="58" t="s">
        <v>26</v>
      </c>
      <c r="O18" s="58" t="s">
        <v>27</v>
      </c>
      <c r="P18" s="58" t="s">
        <v>28</v>
      </c>
      <c r="Q18" s="58" t="s">
        <v>29</v>
      </c>
      <c r="R18" s="58" t="s">
        <v>30</v>
      </c>
      <c r="S18" s="58" t="s">
        <v>31</v>
      </c>
      <c r="T18" s="58" t="s">
        <v>32</v>
      </c>
      <c r="U18" s="58" t="s">
        <v>33</v>
      </c>
      <c r="V18" s="57" t="s">
        <v>37</v>
      </c>
      <c r="W18" s="56" t="s">
        <v>56</v>
      </c>
      <c r="X18" s="59" t="s">
        <v>36</v>
      </c>
      <c r="Y18" s="59" t="s">
        <v>16</v>
      </c>
      <c r="Z18" s="59" t="s">
        <v>17</v>
      </c>
      <c r="AA18" s="60" t="s">
        <v>38</v>
      </c>
      <c r="AB18" s="60" t="s">
        <v>55</v>
      </c>
      <c r="AC18" s="60" t="s">
        <v>187</v>
      </c>
      <c r="AD18" s="185" t="s">
        <v>243</v>
      </c>
      <c r="AE18" s="185" t="s">
        <v>271</v>
      </c>
      <c r="AF18" s="193">
        <v>44255</v>
      </c>
      <c r="AG18" s="185" t="s">
        <v>231</v>
      </c>
      <c r="AH18" s="185" t="s">
        <v>244</v>
      </c>
      <c r="AI18" s="185" t="s">
        <v>220</v>
      </c>
      <c r="AJ18" s="185" t="s">
        <v>397</v>
      </c>
    </row>
    <row r="19" spans="1:60" s="3" customFormat="1" ht="42" customHeight="1" x14ac:dyDescent="0.2">
      <c r="A19" s="154" t="s">
        <v>44</v>
      </c>
      <c r="B19" s="143" t="s">
        <v>272</v>
      </c>
      <c r="C19" s="142" t="s">
        <v>89</v>
      </c>
      <c r="D19" s="142" t="s">
        <v>96</v>
      </c>
      <c r="E19" s="142" t="s">
        <v>165</v>
      </c>
      <c r="F19" s="43" t="s">
        <v>159</v>
      </c>
      <c r="G19" s="44" t="str">
        <f t="shared" ref="G19:G82" si="0">IF(LEN(C19)&gt;0,VLOOKUP(C19,PROCESO2,3,0),"")</f>
        <v>Subdirector Financiero</v>
      </c>
      <c r="H19" s="137">
        <v>44174</v>
      </c>
      <c r="I19" s="137">
        <v>44204</v>
      </c>
      <c r="J19" s="61"/>
      <c r="K19" s="61"/>
      <c r="L19" s="61"/>
      <c r="M19" s="61"/>
      <c r="N19" s="61"/>
      <c r="O19" s="61"/>
      <c r="P19" s="61"/>
      <c r="Q19" s="61"/>
      <c r="R19" s="61"/>
      <c r="S19" s="61"/>
      <c r="T19" s="61"/>
      <c r="U19" s="61"/>
      <c r="V19" s="41" t="s">
        <v>123</v>
      </c>
      <c r="W19" s="212">
        <v>2E-3</v>
      </c>
      <c r="X19" s="137">
        <v>44204</v>
      </c>
      <c r="Y19" s="42" t="s">
        <v>275</v>
      </c>
      <c r="Z19" s="72" t="s">
        <v>416</v>
      </c>
      <c r="AA19" s="41" t="s">
        <v>176</v>
      </c>
      <c r="AB19" s="147">
        <f t="shared" ref="AB19:AB64" ca="1" si="1">IF(ISERROR(VLOOKUP(AA19,INDIRECT(VLOOKUP(A19,ACTA,2,0)&amp;"A"),2,0))=TRUE,0,W19*(VLOOKUP(AA19,INDIRECT(VLOOKUP(A19,ACTA,2,0)&amp;"A"),2,0)))</f>
        <v>1.9999999999999996E-3</v>
      </c>
      <c r="AC19" s="147">
        <f t="shared" ref="AC19:AC82" ca="1" si="2">+W19-AB19</f>
        <v>0</v>
      </c>
      <c r="AD19" s="186">
        <f t="shared" ref="AD19:AD70" si="3">MONTH(I19)</f>
        <v>1</v>
      </c>
      <c r="AE19" s="187">
        <f t="shared" ref="AE19:AE70" si="4">+I19-H19</f>
        <v>30</v>
      </c>
      <c r="AF19" s="187">
        <f t="shared" ref="AF19:AF70" si="5">+$AF$18-H19</f>
        <v>81</v>
      </c>
      <c r="AG19" s="188">
        <f t="shared" ref="AG19:AG70" si="6">+AF19/AE19</f>
        <v>2.7</v>
      </c>
      <c r="AH19" s="189">
        <f t="shared" ref="AH19:AH70" si="7">+AG19*W19</f>
        <v>5.4000000000000003E-3</v>
      </c>
      <c r="AI19" s="188">
        <f t="shared" ref="AI19:AI70" ca="1" si="8">+AB19-AH19</f>
        <v>-3.4000000000000007E-3</v>
      </c>
      <c r="AJ19" s="192" t="s">
        <v>235</v>
      </c>
      <c r="BH19" s="3" t="s">
        <v>234</v>
      </c>
    </row>
    <row r="20" spans="1:60" s="3" customFormat="1" ht="42" customHeight="1" x14ac:dyDescent="0.2">
      <c r="A20" s="142" t="s">
        <v>51</v>
      </c>
      <c r="B20" s="136" t="s">
        <v>311</v>
      </c>
      <c r="C20" s="142" t="s">
        <v>90</v>
      </c>
      <c r="D20" s="142" t="s">
        <v>97</v>
      </c>
      <c r="E20" s="142" t="s">
        <v>165</v>
      </c>
      <c r="F20" s="144" t="s">
        <v>263</v>
      </c>
      <c r="G20" s="44" t="str">
        <f t="shared" si="0"/>
        <v>Asesor de Control Interno</v>
      </c>
      <c r="H20" s="137">
        <v>44174</v>
      </c>
      <c r="I20" s="137">
        <v>44217</v>
      </c>
      <c r="J20" s="61"/>
      <c r="K20" s="61"/>
      <c r="L20" s="61"/>
      <c r="M20" s="61"/>
      <c r="N20" s="61"/>
      <c r="O20" s="61"/>
      <c r="P20" s="61"/>
      <c r="Q20" s="61"/>
      <c r="R20" s="61"/>
      <c r="S20" s="61"/>
      <c r="T20" s="61"/>
      <c r="U20" s="61"/>
      <c r="V20" s="41" t="s">
        <v>215</v>
      </c>
      <c r="W20" s="212">
        <v>0.01</v>
      </c>
      <c r="X20" s="137">
        <v>44217</v>
      </c>
      <c r="Y20" s="42" t="s">
        <v>361</v>
      </c>
      <c r="Z20" s="72" t="s">
        <v>346</v>
      </c>
      <c r="AA20" s="41" t="s">
        <v>176</v>
      </c>
      <c r="AB20" s="147">
        <f t="shared" ca="1" si="1"/>
        <v>9.9999999999999985E-3</v>
      </c>
      <c r="AC20" s="147">
        <f t="shared" ca="1" si="2"/>
        <v>0</v>
      </c>
      <c r="AD20" s="186">
        <f t="shared" si="3"/>
        <v>1</v>
      </c>
      <c r="AE20" s="187">
        <f t="shared" si="4"/>
        <v>43</v>
      </c>
      <c r="AF20" s="187">
        <f t="shared" si="5"/>
        <v>81</v>
      </c>
      <c r="AG20" s="188">
        <f t="shared" si="6"/>
        <v>1.8837209302325582</v>
      </c>
      <c r="AH20" s="189">
        <f t="shared" si="7"/>
        <v>1.8837209302325582E-2</v>
      </c>
      <c r="AI20" s="188">
        <f t="shared" ca="1" si="8"/>
        <v>-8.8372093023255834E-3</v>
      </c>
      <c r="AJ20" s="192" t="s">
        <v>235</v>
      </c>
      <c r="BH20" s="3" t="s">
        <v>233</v>
      </c>
    </row>
    <row r="21" spans="1:60" s="3" customFormat="1" ht="42" customHeight="1" x14ac:dyDescent="0.2">
      <c r="A21" s="142" t="s">
        <v>45</v>
      </c>
      <c r="B21" s="42" t="s">
        <v>287</v>
      </c>
      <c r="C21" s="142" t="s">
        <v>90</v>
      </c>
      <c r="D21" s="142" t="s">
        <v>97</v>
      </c>
      <c r="E21" s="142" t="s">
        <v>165</v>
      </c>
      <c r="F21" s="43" t="s">
        <v>206</v>
      </c>
      <c r="G21" s="44" t="str">
        <f t="shared" si="0"/>
        <v>Asesor de Control Interno</v>
      </c>
      <c r="H21" s="137">
        <v>44187</v>
      </c>
      <c r="I21" s="137">
        <v>44201</v>
      </c>
      <c r="J21" s="61"/>
      <c r="K21" s="61"/>
      <c r="L21" s="61"/>
      <c r="M21" s="61"/>
      <c r="N21" s="61"/>
      <c r="O21" s="61"/>
      <c r="P21" s="61"/>
      <c r="Q21" s="61"/>
      <c r="R21" s="61"/>
      <c r="S21" s="61"/>
      <c r="T21" s="61"/>
      <c r="U21" s="61"/>
      <c r="V21" s="142" t="s">
        <v>215</v>
      </c>
      <c r="W21" s="212">
        <v>3.0000000000000001E-3</v>
      </c>
      <c r="X21" s="137">
        <v>44201</v>
      </c>
      <c r="Y21" s="138" t="s">
        <v>285</v>
      </c>
      <c r="Z21" s="72" t="s">
        <v>286</v>
      </c>
      <c r="AA21" s="142" t="s">
        <v>57</v>
      </c>
      <c r="AB21" s="147">
        <f t="shared" ca="1" si="1"/>
        <v>3.0000000000000001E-3</v>
      </c>
      <c r="AC21" s="147">
        <f t="shared" ca="1" si="2"/>
        <v>0</v>
      </c>
      <c r="AD21" s="186">
        <f t="shared" si="3"/>
        <v>1</v>
      </c>
      <c r="AE21" s="187">
        <f t="shared" si="4"/>
        <v>14</v>
      </c>
      <c r="AF21" s="187">
        <f t="shared" si="5"/>
        <v>68</v>
      </c>
      <c r="AG21" s="188">
        <f t="shared" si="6"/>
        <v>4.8571428571428568</v>
      </c>
      <c r="AH21" s="189">
        <f t="shared" si="7"/>
        <v>1.457142857142857E-2</v>
      </c>
      <c r="AI21" s="188">
        <f t="shared" ca="1" si="8"/>
        <v>-1.1571428571428569E-2</v>
      </c>
      <c r="AJ21" s="192" t="s">
        <v>235</v>
      </c>
    </row>
    <row r="22" spans="1:60" ht="42" customHeight="1" x14ac:dyDescent="0.25">
      <c r="A22" s="154" t="s">
        <v>51</v>
      </c>
      <c r="B22" s="143" t="s">
        <v>273</v>
      </c>
      <c r="C22" s="142" t="s">
        <v>98</v>
      </c>
      <c r="D22" s="142" t="s">
        <v>98</v>
      </c>
      <c r="E22" s="142" t="s">
        <v>165</v>
      </c>
      <c r="F22" s="144" t="s">
        <v>263</v>
      </c>
      <c r="G22" s="44" t="str">
        <f t="shared" si="0"/>
        <v>Líderes de Cada Proceso</v>
      </c>
      <c r="H22" s="137">
        <v>44193</v>
      </c>
      <c r="I22" s="137">
        <v>44210</v>
      </c>
      <c r="J22" s="61"/>
      <c r="K22" s="61"/>
      <c r="L22" s="61"/>
      <c r="M22" s="61"/>
      <c r="N22" s="61"/>
      <c r="O22" s="61"/>
      <c r="P22" s="61"/>
      <c r="Q22" s="61"/>
      <c r="R22" s="61"/>
      <c r="S22" s="61"/>
      <c r="T22" s="61"/>
      <c r="U22" s="61"/>
      <c r="V22" s="142" t="s">
        <v>123</v>
      </c>
      <c r="W22" s="212">
        <v>1.6E-2</v>
      </c>
      <c r="X22" s="137">
        <v>44210</v>
      </c>
      <c r="Y22" s="42" t="s">
        <v>417</v>
      </c>
      <c r="Z22" s="72" t="s">
        <v>418</v>
      </c>
      <c r="AA22" s="41" t="s">
        <v>176</v>
      </c>
      <c r="AB22" s="147">
        <f t="shared" ca="1" si="1"/>
        <v>1.5999999999999997E-2</v>
      </c>
      <c r="AC22" s="147">
        <f t="shared" ca="1" si="2"/>
        <v>0</v>
      </c>
      <c r="AD22" s="186">
        <f t="shared" si="3"/>
        <v>1</v>
      </c>
      <c r="AE22" s="187">
        <f t="shared" si="4"/>
        <v>17</v>
      </c>
      <c r="AF22" s="187">
        <f t="shared" si="5"/>
        <v>62</v>
      </c>
      <c r="AG22" s="188">
        <f t="shared" si="6"/>
        <v>3.6470588235294117</v>
      </c>
      <c r="AH22" s="189">
        <f t="shared" si="7"/>
        <v>5.8352941176470587E-2</v>
      </c>
      <c r="AI22" s="188">
        <f t="shared" ca="1" si="8"/>
        <v>-4.2352941176470593E-2</v>
      </c>
      <c r="AJ22" s="192" t="s">
        <v>235</v>
      </c>
    </row>
    <row r="23" spans="1:60" s="3" customFormat="1" ht="42" customHeight="1" x14ac:dyDescent="0.2">
      <c r="A23" s="154" t="s">
        <v>51</v>
      </c>
      <c r="B23" s="143" t="s">
        <v>274</v>
      </c>
      <c r="C23" s="142" t="s">
        <v>98</v>
      </c>
      <c r="D23" s="142" t="s">
        <v>98</v>
      </c>
      <c r="E23" s="142" t="s">
        <v>165</v>
      </c>
      <c r="F23" s="43" t="s">
        <v>206</v>
      </c>
      <c r="G23" s="44" t="str">
        <f t="shared" si="0"/>
        <v>Líderes de Cada Proceso</v>
      </c>
      <c r="H23" s="137">
        <v>44193</v>
      </c>
      <c r="I23" s="137">
        <v>44210</v>
      </c>
      <c r="J23" s="61"/>
      <c r="K23" s="61"/>
      <c r="L23" s="61"/>
      <c r="M23" s="61"/>
      <c r="N23" s="61"/>
      <c r="O23" s="61"/>
      <c r="P23" s="61"/>
      <c r="Q23" s="61"/>
      <c r="R23" s="61"/>
      <c r="S23" s="61"/>
      <c r="T23" s="61"/>
      <c r="U23" s="61"/>
      <c r="V23" s="142" t="s">
        <v>123</v>
      </c>
      <c r="W23" s="212">
        <v>1.6E-2</v>
      </c>
      <c r="X23" s="137">
        <v>44210</v>
      </c>
      <c r="Y23" s="42" t="s">
        <v>417</v>
      </c>
      <c r="Z23" s="72" t="s">
        <v>418</v>
      </c>
      <c r="AA23" s="41" t="s">
        <v>176</v>
      </c>
      <c r="AB23" s="147">
        <f t="shared" ca="1" si="1"/>
        <v>1.5999999999999997E-2</v>
      </c>
      <c r="AC23" s="147">
        <f t="shared" ca="1" si="2"/>
        <v>0</v>
      </c>
      <c r="AD23" s="186">
        <f t="shared" si="3"/>
        <v>1</v>
      </c>
      <c r="AE23" s="187">
        <f t="shared" si="4"/>
        <v>17</v>
      </c>
      <c r="AF23" s="187">
        <f t="shared" si="5"/>
        <v>62</v>
      </c>
      <c r="AG23" s="188">
        <f t="shared" si="6"/>
        <v>3.6470588235294117</v>
      </c>
      <c r="AH23" s="189">
        <f t="shared" si="7"/>
        <v>5.8352941176470587E-2</v>
      </c>
      <c r="AI23" s="188">
        <f t="shared" ca="1" si="8"/>
        <v>-4.2352941176470593E-2</v>
      </c>
      <c r="AJ23" s="192" t="s">
        <v>235</v>
      </c>
    </row>
    <row r="24" spans="1:60" s="3" customFormat="1" ht="42" customHeight="1" x14ac:dyDescent="0.2">
      <c r="A24" s="154" t="s">
        <v>43</v>
      </c>
      <c r="B24" s="143" t="s">
        <v>277</v>
      </c>
      <c r="C24" s="142" t="s">
        <v>98</v>
      </c>
      <c r="D24" s="142" t="s">
        <v>98</v>
      </c>
      <c r="E24" s="142" t="s">
        <v>165</v>
      </c>
      <c r="F24" s="144" t="s">
        <v>263</v>
      </c>
      <c r="G24" s="44" t="str">
        <f t="shared" si="0"/>
        <v>Líderes de Cada Proceso</v>
      </c>
      <c r="H24" s="137">
        <v>44194</v>
      </c>
      <c r="I24" s="137">
        <v>44218</v>
      </c>
      <c r="J24" s="61"/>
      <c r="K24" s="61"/>
      <c r="L24" s="61"/>
      <c r="M24" s="61"/>
      <c r="N24" s="61"/>
      <c r="O24" s="61"/>
      <c r="P24" s="61"/>
      <c r="Q24" s="61"/>
      <c r="R24" s="61"/>
      <c r="S24" s="61"/>
      <c r="T24" s="61"/>
      <c r="U24" s="61"/>
      <c r="V24" s="41" t="s">
        <v>215</v>
      </c>
      <c r="W24" s="212">
        <v>1.4999999999999999E-2</v>
      </c>
      <c r="X24" s="137">
        <v>44227</v>
      </c>
      <c r="Y24" s="143" t="s">
        <v>382</v>
      </c>
      <c r="Z24" s="143" t="s">
        <v>419</v>
      </c>
      <c r="AA24" s="41" t="s">
        <v>182</v>
      </c>
      <c r="AB24" s="147">
        <f t="shared" ca="1" si="1"/>
        <v>1.4999999999999999E-2</v>
      </c>
      <c r="AC24" s="147">
        <f t="shared" ca="1" si="2"/>
        <v>0</v>
      </c>
      <c r="AD24" s="186">
        <f t="shared" si="3"/>
        <v>1</v>
      </c>
      <c r="AE24" s="187">
        <f t="shared" si="4"/>
        <v>24</v>
      </c>
      <c r="AF24" s="187">
        <f t="shared" si="5"/>
        <v>61</v>
      </c>
      <c r="AG24" s="188">
        <f t="shared" si="6"/>
        <v>2.5416666666666665</v>
      </c>
      <c r="AH24" s="189">
        <f t="shared" si="7"/>
        <v>3.8124999999999999E-2</v>
      </c>
      <c r="AI24" s="188">
        <f t="shared" ca="1" si="8"/>
        <v>-2.3125E-2</v>
      </c>
      <c r="AJ24" s="192" t="s">
        <v>235</v>
      </c>
    </row>
    <row r="25" spans="1:60" s="3" customFormat="1" ht="42" customHeight="1" x14ac:dyDescent="0.2">
      <c r="A25" s="142" t="s">
        <v>43</v>
      </c>
      <c r="B25" s="42" t="s">
        <v>293</v>
      </c>
      <c r="C25" s="142" t="s">
        <v>90</v>
      </c>
      <c r="D25" s="142" t="s">
        <v>97</v>
      </c>
      <c r="E25" s="142" t="s">
        <v>165</v>
      </c>
      <c r="F25" s="43" t="s">
        <v>239</v>
      </c>
      <c r="G25" s="44" t="str">
        <f t="shared" si="0"/>
        <v>Asesor de Control Interno</v>
      </c>
      <c r="H25" s="137">
        <v>44200</v>
      </c>
      <c r="I25" s="137">
        <v>44202</v>
      </c>
      <c r="J25" s="61"/>
      <c r="K25" s="61"/>
      <c r="L25" s="61"/>
      <c r="M25" s="61"/>
      <c r="N25" s="61"/>
      <c r="O25" s="61"/>
      <c r="P25" s="61"/>
      <c r="Q25" s="61"/>
      <c r="R25" s="61"/>
      <c r="S25" s="61"/>
      <c r="T25" s="61"/>
      <c r="U25" s="61"/>
      <c r="V25" s="41" t="s">
        <v>123</v>
      </c>
      <c r="W25" s="215">
        <v>5.0000000000000001E-3</v>
      </c>
      <c r="X25" s="137">
        <v>44202</v>
      </c>
      <c r="Y25" s="72" t="s">
        <v>291</v>
      </c>
      <c r="Z25" s="72" t="s">
        <v>292</v>
      </c>
      <c r="AA25" s="41" t="s">
        <v>182</v>
      </c>
      <c r="AB25" s="147">
        <f t="shared" ca="1" si="1"/>
        <v>5.0000000000000001E-3</v>
      </c>
      <c r="AC25" s="147">
        <f t="shared" ca="1" si="2"/>
        <v>0</v>
      </c>
      <c r="AD25" s="186">
        <f t="shared" si="3"/>
        <v>1</v>
      </c>
      <c r="AE25" s="187">
        <f t="shared" si="4"/>
        <v>2</v>
      </c>
      <c r="AF25" s="187">
        <f t="shared" si="5"/>
        <v>55</v>
      </c>
      <c r="AG25" s="188">
        <f t="shared" si="6"/>
        <v>27.5</v>
      </c>
      <c r="AH25" s="189">
        <f t="shared" si="7"/>
        <v>0.13750000000000001</v>
      </c>
      <c r="AI25" s="188">
        <f t="shared" ca="1" si="8"/>
        <v>-0.13250000000000001</v>
      </c>
      <c r="AJ25" s="192" t="s">
        <v>235</v>
      </c>
    </row>
    <row r="26" spans="1:60" ht="42" customHeight="1" x14ac:dyDescent="0.25">
      <c r="A26" s="154" t="s">
        <v>46</v>
      </c>
      <c r="B26" s="143" t="s">
        <v>314</v>
      </c>
      <c r="C26" s="142" t="s">
        <v>127</v>
      </c>
      <c r="D26" s="142" t="s">
        <v>95</v>
      </c>
      <c r="E26" s="142" t="s">
        <v>165</v>
      </c>
      <c r="F26" s="43" t="s">
        <v>239</v>
      </c>
      <c r="G26" s="44" t="str">
        <f t="shared" si="0"/>
        <v xml:space="preserve">Director Jurídico </v>
      </c>
      <c r="H26" s="137">
        <v>44200</v>
      </c>
      <c r="I26" s="137">
        <v>44203</v>
      </c>
      <c r="J26" s="61"/>
      <c r="K26" s="61"/>
      <c r="L26" s="61"/>
      <c r="M26" s="61"/>
      <c r="N26" s="61"/>
      <c r="O26" s="61"/>
      <c r="P26" s="61"/>
      <c r="Q26" s="61"/>
      <c r="R26" s="61"/>
      <c r="S26" s="61"/>
      <c r="T26" s="61"/>
      <c r="U26" s="61"/>
      <c r="V26" s="140" t="s">
        <v>317</v>
      </c>
      <c r="W26" s="212">
        <v>1E-3</v>
      </c>
      <c r="X26" s="137">
        <v>44203</v>
      </c>
      <c r="Y26" s="72" t="s">
        <v>349</v>
      </c>
      <c r="Z26" s="72" t="s">
        <v>420</v>
      </c>
      <c r="AA26" s="41" t="s">
        <v>152</v>
      </c>
      <c r="AB26" s="147">
        <f t="shared" ca="1" si="1"/>
        <v>1E-3</v>
      </c>
      <c r="AC26" s="147">
        <f t="shared" ca="1" si="2"/>
        <v>0</v>
      </c>
      <c r="AD26" s="186">
        <f t="shared" si="3"/>
        <v>1</v>
      </c>
      <c r="AE26" s="187">
        <f t="shared" si="4"/>
        <v>3</v>
      </c>
      <c r="AF26" s="187">
        <f t="shared" si="5"/>
        <v>55</v>
      </c>
      <c r="AG26" s="188">
        <f t="shared" si="6"/>
        <v>18.333333333333332</v>
      </c>
      <c r="AH26" s="189">
        <f t="shared" si="7"/>
        <v>1.8333333333333333E-2</v>
      </c>
      <c r="AI26" s="188">
        <f t="shared" ca="1" si="8"/>
        <v>-1.7333333333333333E-2</v>
      </c>
      <c r="AJ26" s="192" t="s">
        <v>235</v>
      </c>
      <c r="BH26" s="97" t="s">
        <v>235</v>
      </c>
    </row>
    <row r="27" spans="1:60" ht="42" customHeight="1" x14ac:dyDescent="0.25">
      <c r="A27" s="154" t="s">
        <v>44</v>
      </c>
      <c r="B27" s="143" t="s">
        <v>330</v>
      </c>
      <c r="C27" s="142" t="s">
        <v>127</v>
      </c>
      <c r="D27" s="142" t="s">
        <v>95</v>
      </c>
      <c r="E27" s="142" t="s">
        <v>165</v>
      </c>
      <c r="F27" s="145" t="s">
        <v>160</v>
      </c>
      <c r="G27" s="44" t="str">
        <f t="shared" si="0"/>
        <v xml:space="preserve">Director Jurídico </v>
      </c>
      <c r="H27" s="137">
        <v>44200</v>
      </c>
      <c r="I27" s="137">
        <v>44204</v>
      </c>
      <c r="J27" s="61"/>
      <c r="K27" s="61"/>
      <c r="L27" s="61"/>
      <c r="M27" s="61"/>
      <c r="N27" s="61"/>
      <c r="O27" s="61"/>
      <c r="P27" s="61"/>
      <c r="Q27" s="61"/>
      <c r="R27" s="61"/>
      <c r="S27" s="61"/>
      <c r="T27" s="61"/>
      <c r="U27" s="61"/>
      <c r="V27" s="41" t="s">
        <v>123</v>
      </c>
      <c r="W27" s="212">
        <v>2.5000000000000001E-3</v>
      </c>
      <c r="X27" s="137">
        <v>44203</v>
      </c>
      <c r="Y27" s="80" t="s">
        <v>347</v>
      </c>
      <c r="Z27" s="72" t="s">
        <v>421</v>
      </c>
      <c r="AA27" s="41" t="s">
        <v>176</v>
      </c>
      <c r="AB27" s="147">
        <f t="shared" ca="1" si="1"/>
        <v>2.4999999999999996E-3</v>
      </c>
      <c r="AC27" s="147">
        <f t="shared" ca="1" si="2"/>
        <v>0</v>
      </c>
      <c r="AD27" s="186">
        <f t="shared" si="3"/>
        <v>1</v>
      </c>
      <c r="AE27" s="187">
        <f t="shared" si="4"/>
        <v>4</v>
      </c>
      <c r="AF27" s="187">
        <f t="shared" si="5"/>
        <v>55</v>
      </c>
      <c r="AG27" s="188">
        <f t="shared" si="6"/>
        <v>13.75</v>
      </c>
      <c r="AH27" s="189">
        <f t="shared" si="7"/>
        <v>3.4375000000000003E-2</v>
      </c>
      <c r="AI27" s="188">
        <f t="shared" ca="1" si="8"/>
        <v>-3.1875000000000001E-2</v>
      </c>
      <c r="AJ27" s="192" t="s">
        <v>235</v>
      </c>
    </row>
    <row r="28" spans="1:60" ht="42" customHeight="1" x14ac:dyDescent="0.25">
      <c r="A28" s="142" t="s">
        <v>45</v>
      </c>
      <c r="B28" s="42" t="s">
        <v>114</v>
      </c>
      <c r="C28" s="142" t="s">
        <v>90</v>
      </c>
      <c r="D28" s="142" t="s">
        <v>97</v>
      </c>
      <c r="E28" s="142" t="s">
        <v>165</v>
      </c>
      <c r="F28" s="144" t="s">
        <v>206</v>
      </c>
      <c r="G28" s="44" t="str">
        <f t="shared" si="0"/>
        <v>Asesor de Control Interno</v>
      </c>
      <c r="H28" s="137">
        <v>44200</v>
      </c>
      <c r="I28" s="137">
        <v>44204</v>
      </c>
      <c r="J28" s="61"/>
      <c r="K28" s="61"/>
      <c r="L28" s="61"/>
      <c r="M28" s="61"/>
      <c r="N28" s="61"/>
      <c r="O28" s="61"/>
      <c r="P28" s="61"/>
      <c r="Q28" s="61"/>
      <c r="R28" s="61"/>
      <c r="S28" s="61"/>
      <c r="T28" s="61"/>
      <c r="U28" s="61"/>
      <c r="V28" s="41" t="s">
        <v>202</v>
      </c>
      <c r="W28" s="212">
        <v>3.0000000000000001E-3</v>
      </c>
      <c r="X28" s="137">
        <v>44204</v>
      </c>
      <c r="Y28" s="72" t="s">
        <v>402</v>
      </c>
      <c r="Z28" s="138" t="s">
        <v>362</v>
      </c>
      <c r="AA28" s="41" t="s">
        <v>57</v>
      </c>
      <c r="AB28" s="147">
        <f t="shared" ca="1" si="1"/>
        <v>3.0000000000000001E-3</v>
      </c>
      <c r="AC28" s="147">
        <f t="shared" ca="1" si="2"/>
        <v>0</v>
      </c>
      <c r="AD28" s="186">
        <f t="shared" si="3"/>
        <v>1</v>
      </c>
      <c r="AE28" s="187">
        <f t="shared" si="4"/>
        <v>4</v>
      </c>
      <c r="AF28" s="187">
        <f t="shared" si="5"/>
        <v>55</v>
      </c>
      <c r="AG28" s="188">
        <f t="shared" si="6"/>
        <v>13.75</v>
      </c>
      <c r="AH28" s="189">
        <f t="shared" si="7"/>
        <v>4.1250000000000002E-2</v>
      </c>
      <c r="AI28" s="188">
        <f t="shared" ca="1" si="8"/>
        <v>-3.8249999999999999E-2</v>
      </c>
      <c r="AJ28" s="192" t="s">
        <v>235</v>
      </c>
    </row>
    <row r="29" spans="1:60" ht="42" customHeight="1" x14ac:dyDescent="0.25">
      <c r="A29" s="142" t="s">
        <v>45</v>
      </c>
      <c r="B29" s="72" t="s">
        <v>254</v>
      </c>
      <c r="C29" s="142" t="s">
        <v>90</v>
      </c>
      <c r="D29" s="142" t="s">
        <v>97</v>
      </c>
      <c r="E29" s="142" t="s">
        <v>165</v>
      </c>
      <c r="F29" s="43" t="s">
        <v>160</v>
      </c>
      <c r="G29" s="44" t="str">
        <f t="shared" si="0"/>
        <v>Asesor de Control Interno</v>
      </c>
      <c r="H29" s="137">
        <v>44200</v>
      </c>
      <c r="I29" s="137">
        <v>44208</v>
      </c>
      <c r="J29" s="61"/>
      <c r="K29" s="61"/>
      <c r="L29" s="61"/>
      <c r="M29" s="61"/>
      <c r="N29" s="61"/>
      <c r="O29" s="61"/>
      <c r="P29" s="61"/>
      <c r="Q29" s="61"/>
      <c r="R29" s="61"/>
      <c r="S29" s="61"/>
      <c r="T29" s="61"/>
      <c r="U29" s="61"/>
      <c r="V29" s="41" t="s">
        <v>215</v>
      </c>
      <c r="W29" s="212">
        <v>3.0000000000000001E-3</v>
      </c>
      <c r="X29" s="137">
        <v>44204</v>
      </c>
      <c r="Y29" s="72" t="s">
        <v>422</v>
      </c>
      <c r="Z29" s="143" t="s">
        <v>284</v>
      </c>
      <c r="AA29" s="41" t="s">
        <v>57</v>
      </c>
      <c r="AB29" s="147">
        <f t="shared" ca="1" si="1"/>
        <v>3.0000000000000001E-3</v>
      </c>
      <c r="AC29" s="147">
        <f t="shared" ca="1" si="2"/>
        <v>0</v>
      </c>
      <c r="AD29" s="186">
        <f t="shared" si="3"/>
        <v>1</v>
      </c>
      <c r="AE29" s="187">
        <f t="shared" si="4"/>
        <v>8</v>
      </c>
      <c r="AF29" s="187">
        <f t="shared" si="5"/>
        <v>55</v>
      </c>
      <c r="AG29" s="188">
        <f t="shared" si="6"/>
        <v>6.875</v>
      </c>
      <c r="AH29" s="189">
        <f t="shared" si="7"/>
        <v>2.0625000000000001E-2</v>
      </c>
      <c r="AI29" s="188">
        <f t="shared" ca="1" si="8"/>
        <v>-1.7625000000000002E-2</v>
      </c>
      <c r="AJ29" s="192" t="s">
        <v>235</v>
      </c>
    </row>
    <row r="30" spans="1:60" ht="42" customHeight="1" x14ac:dyDescent="0.25">
      <c r="A30" s="154" t="s">
        <v>46</v>
      </c>
      <c r="B30" s="143" t="s">
        <v>93</v>
      </c>
      <c r="C30" s="142" t="s">
        <v>89</v>
      </c>
      <c r="D30" s="142" t="s">
        <v>96</v>
      </c>
      <c r="E30" s="142" t="s">
        <v>165</v>
      </c>
      <c r="F30" s="43" t="s">
        <v>240</v>
      </c>
      <c r="G30" s="44" t="str">
        <f t="shared" si="0"/>
        <v>Subdirector Financiero</v>
      </c>
      <c r="H30" s="137">
        <v>44200</v>
      </c>
      <c r="I30" s="137">
        <v>44209</v>
      </c>
      <c r="J30" s="61"/>
      <c r="K30" s="61"/>
      <c r="L30" s="61"/>
      <c r="M30" s="61"/>
      <c r="N30" s="61"/>
      <c r="O30" s="61"/>
      <c r="P30" s="61"/>
      <c r="Q30" s="61"/>
      <c r="R30" s="61"/>
      <c r="S30" s="61"/>
      <c r="T30" s="61"/>
      <c r="U30" s="61"/>
      <c r="V30" s="41" t="s">
        <v>332</v>
      </c>
      <c r="W30" s="212">
        <v>1E-3</v>
      </c>
      <c r="X30" s="137">
        <v>44215</v>
      </c>
      <c r="Y30" s="138" t="s">
        <v>405</v>
      </c>
      <c r="Z30" s="143" t="s">
        <v>423</v>
      </c>
      <c r="AA30" s="41" t="s">
        <v>152</v>
      </c>
      <c r="AB30" s="147">
        <f t="shared" ca="1" si="1"/>
        <v>1E-3</v>
      </c>
      <c r="AC30" s="147">
        <f t="shared" ca="1" si="2"/>
        <v>0</v>
      </c>
      <c r="AD30" s="186">
        <f t="shared" si="3"/>
        <v>1</v>
      </c>
      <c r="AE30" s="187">
        <f t="shared" si="4"/>
        <v>9</v>
      </c>
      <c r="AF30" s="187">
        <f t="shared" si="5"/>
        <v>55</v>
      </c>
      <c r="AG30" s="188">
        <f t="shared" si="6"/>
        <v>6.1111111111111107</v>
      </c>
      <c r="AH30" s="189">
        <f t="shared" si="7"/>
        <v>6.1111111111111106E-3</v>
      </c>
      <c r="AI30" s="188">
        <f t="shared" ca="1" si="8"/>
        <v>-5.1111111111111105E-3</v>
      </c>
      <c r="AJ30" s="192" t="s">
        <v>235</v>
      </c>
    </row>
    <row r="31" spans="1:60" ht="42" customHeight="1" x14ac:dyDescent="0.25">
      <c r="A31" s="154" t="s">
        <v>44</v>
      </c>
      <c r="B31" s="143" t="s">
        <v>92</v>
      </c>
      <c r="C31" s="142" t="s">
        <v>89</v>
      </c>
      <c r="D31" s="142" t="s">
        <v>96</v>
      </c>
      <c r="E31" s="142" t="s">
        <v>165</v>
      </c>
      <c r="F31" s="43" t="s">
        <v>203</v>
      </c>
      <c r="G31" s="44" t="str">
        <f t="shared" si="0"/>
        <v>Subdirector Financiero</v>
      </c>
      <c r="H31" s="137">
        <v>44200</v>
      </c>
      <c r="I31" s="137">
        <v>44209</v>
      </c>
      <c r="J31" s="61"/>
      <c r="K31" s="61"/>
      <c r="L31" s="61"/>
      <c r="M31" s="61"/>
      <c r="N31" s="61"/>
      <c r="O31" s="61"/>
      <c r="P31" s="61"/>
      <c r="Q31" s="61"/>
      <c r="R31" s="61"/>
      <c r="S31" s="61"/>
      <c r="T31" s="61"/>
      <c r="U31" s="61"/>
      <c r="V31" s="41" t="s">
        <v>123</v>
      </c>
      <c r="W31" s="212">
        <v>1E-3</v>
      </c>
      <c r="X31" s="137">
        <v>44211</v>
      </c>
      <c r="Y31" s="72" t="s">
        <v>407</v>
      </c>
      <c r="Z31" s="72" t="s">
        <v>276</v>
      </c>
      <c r="AA31" s="41" t="s">
        <v>176</v>
      </c>
      <c r="AB31" s="147">
        <f t="shared" ca="1" si="1"/>
        <v>9.999999999999998E-4</v>
      </c>
      <c r="AC31" s="147">
        <f t="shared" ca="1" si="2"/>
        <v>0</v>
      </c>
      <c r="AD31" s="186">
        <f t="shared" si="3"/>
        <v>1</v>
      </c>
      <c r="AE31" s="187">
        <f t="shared" si="4"/>
        <v>9</v>
      </c>
      <c r="AF31" s="187">
        <f t="shared" si="5"/>
        <v>55</v>
      </c>
      <c r="AG31" s="188">
        <f t="shared" si="6"/>
        <v>6.1111111111111107</v>
      </c>
      <c r="AH31" s="189">
        <f t="shared" si="7"/>
        <v>6.1111111111111106E-3</v>
      </c>
      <c r="AI31" s="188">
        <f t="shared" ca="1" si="8"/>
        <v>-5.1111111111111105E-3</v>
      </c>
      <c r="AJ31" s="192" t="s">
        <v>235</v>
      </c>
    </row>
    <row r="32" spans="1:60" ht="42" customHeight="1" x14ac:dyDescent="0.25">
      <c r="A32" s="142" t="s">
        <v>51</v>
      </c>
      <c r="B32" s="143" t="s">
        <v>278</v>
      </c>
      <c r="C32" s="142" t="s">
        <v>98</v>
      </c>
      <c r="D32" s="142" t="s">
        <v>98</v>
      </c>
      <c r="E32" s="142" t="s">
        <v>165</v>
      </c>
      <c r="F32" s="43" t="s">
        <v>206</v>
      </c>
      <c r="G32" s="44" t="str">
        <f t="shared" si="0"/>
        <v>Líderes de Cada Proceso</v>
      </c>
      <c r="H32" s="137">
        <v>44200</v>
      </c>
      <c r="I32" s="137">
        <v>44214</v>
      </c>
      <c r="J32" s="61"/>
      <c r="K32" s="61"/>
      <c r="L32" s="61"/>
      <c r="M32" s="61"/>
      <c r="N32" s="61"/>
      <c r="O32" s="61"/>
      <c r="P32" s="61"/>
      <c r="Q32" s="61"/>
      <c r="R32" s="61"/>
      <c r="S32" s="61"/>
      <c r="T32" s="61"/>
      <c r="U32" s="61"/>
      <c r="V32" s="41" t="s">
        <v>202</v>
      </c>
      <c r="W32" s="215">
        <v>5.0000000000000001E-3</v>
      </c>
      <c r="X32" s="137">
        <v>44214</v>
      </c>
      <c r="Y32" s="72" t="s">
        <v>363</v>
      </c>
      <c r="Z32" s="72" t="s">
        <v>348</v>
      </c>
      <c r="AA32" s="41" t="s">
        <v>176</v>
      </c>
      <c r="AB32" s="147">
        <f t="shared" ca="1" si="1"/>
        <v>4.9999999999999992E-3</v>
      </c>
      <c r="AC32" s="147">
        <f t="shared" ca="1" si="2"/>
        <v>0</v>
      </c>
      <c r="AD32" s="186">
        <f t="shared" si="3"/>
        <v>1</v>
      </c>
      <c r="AE32" s="187">
        <f t="shared" si="4"/>
        <v>14</v>
      </c>
      <c r="AF32" s="187">
        <f t="shared" si="5"/>
        <v>55</v>
      </c>
      <c r="AG32" s="188">
        <f t="shared" si="6"/>
        <v>3.9285714285714284</v>
      </c>
      <c r="AH32" s="189">
        <f t="shared" si="7"/>
        <v>1.9642857142857142E-2</v>
      </c>
      <c r="AI32" s="188">
        <f t="shared" ca="1" si="8"/>
        <v>-1.4642857142857143E-2</v>
      </c>
      <c r="AJ32" s="192" t="s">
        <v>235</v>
      </c>
    </row>
    <row r="33" spans="1:37" ht="42" customHeight="1" x14ac:dyDescent="0.25">
      <c r="A33" s="142" t="s">
        <v>52</v>
      </c>
      <c r="B33" s="143" t="s">
        <v>283</v>
      </c>
      <c r="C33" s="142" t="s">
        <v>90</v>
      </c>
      <c r="D33" s="142" t="s">
        <v>97</v>
      </c>
      <c r="E33" s="142" t="s">
        <v>165</v>
      </c>
      <c r="F33" s="43" t="s">
        <v>160</v>
      </c>
      <c r="G33" s="44" t="str">
        <f t="shared" si="0"/>
        <v>Asesor de Control Interno</v>
      </c>
      <c r="H33" s="137">
        <v>44200</v>
      </c>
      <c r="I33" s="137">
        <v>44540</v>
      </c>
      <c r="J33" s="61"/>
      <c r="K33" s="61"/>
      <c r="L33" s="61"/>
      <c r="M33" s="61"/>
      <c r="N33" s="61"/>
      <c r="O33" s="61"/>
      <c r="P33" s="61"/>
      <c r="Q33" s="61"/>
      <c r="R33" s="61"/>
      <c r="S33" s="61"/>
      <c r="T33" s="61"/>
      <c r="U33" s="61"/>
      <c r="V33" s="142" t="s">
        <v>214</v>
      </c>
      <c r="W33" s="215">
        <v>2E-3</v>
      </c>
      <c r="X33" s="137"/>
      <c r="Y33" s="72" t="s">
        <v>474</v>
      </c>
      <c r="Z33" s="72" t="s">
        <v>474</v>
      </c>
      <c r="AA33" s="41" t="s">
        <v>167</v>
      </c>
      <c r="AB33" s="152">
        <f t="shared" ca="1" si="1"/>
        <v>1E-4</v>
      </c>
      <c r="AC33" s="152">
        <f t="shared" ca="1" si="2"/>
        <v>1.9E-3</v>
      </c>
      <c r="AD33" s="186">
        <f t="shared" si="3"/>
        <v>12</v>
      </c>
      <c r="AE33" s="187">
        <f t="shared" si="4"/>
        <v>340</v>
      </c>
      <c r="AF33" s="187">
        <f t="shared" si="5"/>
        <v>55</v>
      </c>
      <c r="AG33" s="188">
        <f t="shared" si="6"/>
        <v>0.16176470588235295</v>
      </c>
      <c r="AH33" s="189">
        <f t="shared" si="7"/>
        <v>3.2352941176470591E-4</v>
      </c>
      <c r="AI33" s="188">
        <f t="shared" ca="1" si="8"/>
        <v>-2.2352941176470592E-4</v>
      </c>
      <c r="AJ33" s="194" t="s">
        <v>412</v>
      </c>
    </row>
    <row r="34" spans="1:37" ht="42" customHeight="1" x14ac:dyDescent="0.25">
      <c r="A34" s="142" t="s">
        <v>52</v>
      </c>
      <c r="B34" s="143" t="s">
        <v>283</v>
      </c>
      <c r="C34" s="142" t="s">
        <v>90</v>
      </c>
      <c r="D34" s="142" t="s">
        <v>97</v>
      </c>
      <c r="E34" s="142" t="s">
        <v>165</v>
      </c>
      <c r="F34" s="144" t="s">
        <v>260</v>
      </c>
      <c r="G34" s="44" t="str">
        <f t="shared" si="0"/>
        <v>Asesor de Control Interno</v>
      </c>
      <c r="H34" s="137">
        <v>44200</v>
      </c>
      <c r="I34" s="137">
        <v>44540</v>
      </c>
      <c r="J34" s="61"/>
      <c r="K34" s="61"/>
      <c r="L34" s="61"/>
      <c r="M34" s="61"/>
      <c r="N34" s="61"/>
      <c r="O34" s="61"/>
      <c r="P34" s="61"/>
      <c r="Q34" s="61"/>
      <c r="R34" s="61"/>
      <c r="S34" s="61"/>
      <c r="T34" s="61"/>
      <c r="U34" s="61"/>
      <c r="V34" s="41" t="s">
        <v>214</v>
      </c>
      <c r="W34" s="215">
        <v>2E-3</v>
      </c>
      <c r="X34" s="137"/>
      <c r="Y34" s="72"/>
      <c r="Z34" s="72" t="s">
        <v>415</v>
      </c>
      <c r="AA34" s="41"/>
      <c r="AB34" s="70">
        <f t="shared" ca="1" si="1"/>
        <v>0</v>
      </c>
      <c r="AC34" s="70">
        <f t="shared" ca="1" si="2"/>
        <v>2E-3</v>
      </c>
      <c r="AD34" s="186">
        <f t="shared" si="3"/>
        <v>12</v>
      </c>
      <c r="AE34" s="187">
        <f t="shared" si="4"/>
        <v>340</v>
      </c>
      <c r="AF34" s="187">
        <f t="shared" si="5"/>
        <v>55</v>
      </c>
      <c r="AG34" s="188">
        <f t="shared" si="6"/>
        <v>0.16176470588235295</v>
      </c>
      <c r="AH34" s="189">
        <f t="shared" si="7"/>
        <v>3.2352941176470591E-4</v>
      </c>
      <c r="AI34" s="188">
        <f t="shared" ca="1" si="8"/>
        <v>-3.2352941176470591E-4</v>
      </c>
      <c r="AJ34" s="190"/>
    </row>
    <row r="35" spans="1:37" s="3" customFormat="1" ht="42" customHeight="1" x14ac:dyDescent="0.2">
      <c r="A35" s="142" t="s">
        <v>52</v>
      </c>
      <c r="B35" s="143" t="s">
        <v>283</v>
      </c>
      <c r="C35" s="142" t="s">
        <v>90</v>
      </c>
      <c r="D35" s="142" t="s">
        <v>97</v>
      </c>
      <c r="E35" s="142" t="s">
        <v>165</v>
      </c>
      <c r="F35" s="43" t="s">
        <v>240</v>
      </c>
      <c r="G35" s="44" t="str">
        <f t="shared" si="0"/>
        <v>Asesor de Control Interno</v>
      </c>
      <c r="H35" s="137">
        <v>44200</v>
      </c>
      <c r="I35" s="137">
        <v>44540</v>
      </c>
      <c r="J35" s="61"/>
      <c r="K35" s="61"/>
      <c r="L35" s="61"/>
      <c r="M35" s="61"/>
      <c r="N35" s="61"/>
      <c r="O35" s="61"/>
      <c r="P35" s="61"/>
      <c r="Q35" s="61"/>
      <c r="R35" s="61"/>
      <c r="S35" s="61"/>
      <c r="T35" s="61"/>
      <c r="U35" s="61"/>
      <c r="V35" s="41" t="s">
        <v>214</v>
      </c>
      <c r="W35" s="215">
        <v>2E-3</v>
      </c>
      <c r="X35" s="137"/>
      <c r="Y35" s="72" t="s">
        <v>473</v>
      </c>
      <c r="Z35" s="72" t="s">
        <v>473</v>
      </c>
      <c r="AA35" s="41" t="s">
        <v>167</v>
      </c>
      <c r="AB35" s="152">
        <f t="shared" ca="1" si="1"/>
        <v>1E-4</v>
      </c>
      <c r="AC35" s="152">
        <f t="shared" ca="1" si="2"/>
        <v>1.9E-3</v>
      </c>
      <c r="AD35" s="186">
        <f t="shared" si="3"/>
        <v>12</v>
      </c>
      <c r="AE35" s="187">
        <f t="shared" si="4"/>
        <v>340</v>
      </c>
      <c r="AF35" s="187">
        <f t="shared" si="5"/>
        <v>55</v>
      </c>
      <c r="AG35" s="188">
        <f t="shared" si="6"/>
        <v>0.16176470588235295</v>
      </c>
      <c r="AH35" s="189">
        <f t="shared" si="7"/>
        <v>3.2352941176470591E-4</v>
      </c>
      <c r="AI35" s="188">
        <f t="shared" ca="1" si="8"/>
        <v>-2.2352941176470592E-4</v>
      </c>
      <c r="AJ35" s="194" t="s">
        <v>412</v>
      </c>
    </row>
    <row r="36" spans="1:37" s="3" customFormat="1" ht="42" customHeight="1" x14ac:dyDescent="0.25">
      <c r="A36" s="142" t="s">
        <v>52</v>
      </c>
      <c r="B36" s="143" t="s">
        <v>283</v>
      </c>
      <c r="C36" s="142" t="s">
        <v>90</v>
      </c>
      <c r="D36" s="142" t="s">
        <v>97</v>
      </c>
      <c r="E36" s="142" t="s">
        <v>165</v>
      </c>
      <c r="F36" s="43" t="s">
        <v>239</v>
      </c>
      <c r="G36" s="44" t="str">
        <f t="shared" si="0"/>
        <v>Asesor de Control Interno</v>
      </c>
      <c r="H36" s="137">
        <v>44200</v>
      </c>
      <c r="I36" s="137">
        <v>44540</v>
      </c>
      <c r="J36" s="61"/>
      <c r="K36" s="61"/>
      <c r="L36" s="61"/>
      <c r="M36" s="61"/>
      <c r="N36" s="61"/>
      <c r="O36" s="61"/>
      <c r="P36" s="61"/>
      <c r="Q36" s="61"/>
      <c r="R36" s="61"/>
      <c r="S36" s="61"/>
      <c r="T36" s="61"/>
      <c r="U36" s="61"/>
      <c r="V36" s="41" t="s">
        <v>214</v>
      </c>
      <c r="W36" s="215">
        <v>2E-3</v>
      </c>
      <c r="X36" s="137"/>
      <c r="Y36" s="72" t="s">
        <v>475</v>
      </c>
      <c r="Z36" s="72" t="s">
        <v>475</v>
      </c>
      <c r="AA36" s="41" t="s">
        <v>167</v>
      </c>
      <c r="AB36" s="152">
        <f t="shared" ca="1" si="1"/>
        <v>1E-4</v>
      </c>
      <c r="AC36" s="152">
        <f t="shared" ca="1" si="2"/>
        <v>1.9E-3</v>
      </c>
      <c r="AD36" s="186">
        <f t="shared" si="3"/>
        <v>12</v>
      </c>
      <c r="AE36" s="187">
        <f t="shared" si="4"/>
        <v>340</v>
      </c>
      <c r="AF36" s="187">
        <f t="shared" si="5"/>
        <v>55</v>
      </c>
      <c r="AG36" s="188">
        <f t="shared" si="6"/>
        <v>0.16176470588235295</v>
      </c>
      <c r="AH36" s="189">
        <f t="shared" si="7"/>
        <v>3.2352941176470591E-4</v>
      </c>
      <c r="AI36" s="188">
        <f t="shared" ca="1" si="8"/>
        <v>-2.2352941176470592E-4</v>
      </c>
      <c r="AJ36" s="194" t="s">
        <v>412</v>
      </c>
      <c r="AK36" s="1"/>
    </row>
    <row r="37" spans="1:37" s="3" customFormat="1" ht="42" customHeight="1" x14ac:dyDescent="0.2">
      <c r="A37" s="142" t="s">
        <v>52</v>
      </c>
      <c r="B37" s="143" t="s">
        <v>283</v>
      </c>
      <c r="C37" s="142" t="s">
        <v>90</v>
      </c>
      <c r="D37" s="142" t="s">
        <v>97</v>
      </c>
      <c r="E37" s="142" t="s">
        <v>165</v>
      </c>
      <c r="F37" s="43" t="s">
        <v>263</v>
      </c>
      <c r="G37" s="44" t="str">
        <f t="shared" si="0"/>
        <v>Asesor de Control Interno</v>
      </c>
      <c r="H37" s="137">
        <v>44200</v>
      </c>
      <c r="I37" s="137">
        <v>44540</v>
      </c>
      <c r="J37" s="61"/>
      <c r="K37" s="61"/>
      <c r="L37" s="61"/>
      <c r="M37" s="61"/>
      <c r="N37" s="61"/>
      <c r="O37" s="61"/>
      <c r="P37" s="61"/>
      <c r="Q37" s="61"/>
      <c r="R37" s="61"/>
      <c r="S37" s="61"/>
      <c r="T37" s="61"/>
      <c r="U37" s="61"/>
      <c r="V37" s="142" t="s">
        <v>214</v>
      </c>
      <c r="W37" s="215">
        <v>1E-3</v>
      </c>
      <c r="X37" s="137"/>
      <c r="Y37" s="72"/>
      <c r="Z37" s="72" t="s">
        <v>424</v>
      </c>
      <c r="AA37" s="41" t="s">
        <v>167</v>
      </c>
      <c r="AB37" s="152">
        <f t="shared" ca="1" si="1"/>
        <v>5.0000000000000002E-5</v>
      </c>
      <c r="AC37" s="152">
        <f t="shared" ca="1" si="2"/>
        <v>9.5E-4</v>
      </c>
      <c r="AD37" s="186">
        <f t="shared" si="3"/>
        <v>12</v>
      </c>
      <c r="AE37" s="187">
        <f t="shared" si="4"/>
        <v>340</v>
      </c>
      <c r="AF37" s="187">
        <f t="shared" si="5"/>
        <v>55</v>
      </c>
      <c r="AG37" s="188">
        <f t="shared" si="6"/>
        <v>0.16176470588235295</v>
      </c>
      <c r="AH37" s="189">
        <f t="shared" si="7"/>
        <v>1.6176470588235295E-4</v>
      </c>
      <c r="AI37" s="188">
        <f t="shared" ca="1" si="8"/>
        <v>-1.1176470588235296E-4</v>
      </c>
      <c r="AJ37" s="194" t="s">
        <v>412</v>
      </c>
    </row>
    <row r="38" spans="1:37" s="3" customFormat="1" ht="42" customHeight="1" x14ac:dyDescent="0.2">
      <c r="A38" s="142" t="s">
        <v>52</v>
      </c>
      <c r="B38" s="143" t="s">
        <v>283</v>
      </c>
      <c r="C38" s="142" t="s">
        <v>90</v>
      </c>
      <c r="D38" s="142" t="s">
        <v>97</v>
      </c>
      <c r="E38" s="142" t="s">
        <v>165</v>
      </c>
      <c r="F38" s="43" t="s">
        <v>159</v>
      </c>
      <c r="G38" s="44" t="str">
        <f t="shared" si="0"/>
        <v>Asesor de Control Interno</v>
      </c>
      <c r="H38" s="137">
        <v>44200</v>
      </c>
      <c r="I38" s="137">
        <v>44540</v>
      </c>
      <c r="J38" s="61"/>
      <c r="K38" s="61"/>
      <c r="L38" s="61"/>
      <c r="M38" s="61"/>
      <c r="N38" s="61"/>
      <c r="O38" s="61"/>
      <c r="P38" s="61"/>
      <c r="Q38" s="61"/>
      <c r="R38" s="61"/>
      <c r="S38" s="61"/>
      <c r="T38" s="61"/>
      <c r="U38" s="61"/>
      <c r="V38" s="142" t="s">
        <v>214</v>
      </c>
      <c r="W38" s="215">
        <v>1E-3</v>
      </c>
      <c r="X38" s="137"/>
      <c r="Y38" s="143" t="s">
        <v>374</v>
      </c>
      <c r="Z38" s="143" t="s">
        <v>374</v>
      </c>
      <c r="AA38" s="41" t="s">
        <v>167</v>
      </c>
      <c r="AB38" s="152">
        <f t="shared" ca="1" si="1"/>
        <v>5.0000000000000002E-5</v>
      </c>
      <c r="AC38" s="152">
        <f t="shared" ca="1" si="2"/>
        <v>9.5E-4</v>
      </c>
      <c r="AD38" s="186">
        <f t="shared" si="3"/>
        <v>12</v>
      </c>
      <c r="AE38" s="187">
        <f t="shared" si="4"/>
        <v>340</v>
      </c>
      <c r="AF38" s="187">
        <f t="shared" si="5"/>
        <v>55</v>
      </c>
      <c r="AG38" s="188">
        <f t="shared" si="6"/>
        <v>0.16176470588235295</v>
      </c>
      <c r="AH38" s="189">
        <f t="shared" si="7"/>
        <v>1.6176470588235295E-4</v>
      </c>
      <c r="AI38" s="188">
        <f t="shared" ca="1" si="8"/>
        <v>-1.1176470588235296E-4</v>
      </c>
      <c r="AJ38" s="194" t="s">
        <v>412</v>
      </c>
      <c r="AK38" s="195"/>
    </row>
    <row r="39" spans="1:37" s="3" customFormat="1" ht="42" customHeight="1" x14ac:dyDescent="0.2">
      <c r="A39" s="142" t="s">
        <v>43</v>
      </c>
      <c r="B39" s="72" t="s">
        <v>304</v>
      </c>
      <c r="C39" s="142" t="s">
        <v>98</v>
      </c>
      <c r="D39" s="142" t="s">
        <v>98</v>
      </c>
      <c r="E39" s="142" t="s">
        <v>165</v>
      </c>
      <c r="F39" s="43" t="s">
        <v>160</v>
      </c>
      <c r="G39" s="44" t="str">
        <f t="shared" si="0"/>
        <v>Líderes de Cada Proceso</v>
      </c>
      <c r="H39" s="137">
        <v>44200</v>
      </c>
      <c r="I39" s="137">
        <v>44540</v>
      </c>
      <c r="J39" s="61"/>
      <c r="K39" s="61"/>
      <c r="L39" s="61"/>
      <c r="M39" s="61"/>
      <c r="N39" s="61"/>
      <c r="O39" s="61"/>
      <c r="P39" s="61"/>
      <c r="Q39" s="61"/>
      <c r="R39" s="61"/>
      <c r="S39" s="61"/>
      <c r="T39" s="61"/>
      <c r="U39" s="61"/>
      <c r="V39" s="41" t="s">
        <v>334</v>
      </c>
      <c r="W39" s="215">
        <v>2.5000000000000001E-3</v>
      </c>
      <c r="X39" s="137"/>
      <c r="Y39" s="72" t="s">
        <v>371</v>
      </c>
      <c r="Z39" s="72" t="s">
        <v>476</v>
      </c>
      <c r="AA39" s="41" t="s">
        <v>179</v>
      </c>
      <c r="AB39" s="152">
        <f t="shared" ca="1" si="1"/>
        <v>3.7500000000000001E-4</v>
      </c>
      <c r="AC39" s="152">
        <f t="shared" ca="1" si="2"/>
        <v>2.1250000000000002E-3</v>
      </c>
      <c r="AD39" s="186">
        <f t="shared" si="3"/>
        <v>12</v>
      </c>
      <c r="AE39" s="187">
        <f t="shared" si="4"/>
        <v>340</v>
      </c>
      <c r="AF39" s="187">
        <f t="shared" si="5"/>
        <v>55</v>
      </c>
      <c r="AG39" s="188">
        <f t="shared" si="6"/>
        <v>0.16176470588235295</v>
      </c>
      <c r="AH39" s="189">
        <f t="shared" si="7"/>
        <v>4.0441176470588236E-4</v>
      </c>
      <c r="AI39" s="188">
        <f t="shared" ca="1" si="8"/>
        <v>-2.941176470588235E-5</v>
      </c>
      <c r="AJ39" s="194" t="s">
        <v>412</v>
      </c>
    </row>
    <row r="40" spans="1:37" s="3" customFormat="1" ht="42" customHeight="1" x14ac:dyDescent="0.25">
      <c r="A40" s="142" t="s">
        <v>43</v>
      </c>
      <c r="B40" s="72" t="s">
        <v>304</v>
      </c>
      <c r="C40" s="142" t="s">
        <v>98</v>
      </c>
      <c r="D40" s="142" t="s">
        <v>98</v>
      </c>
      <c r="E40" s="142" t="s">
        <v>165</v>
      </c>
      <c r="F40" s="43" t="s">
        <v>240</v>
      </c>
      <c r="G40" s="44" t="str">
        <f t="shared" si="0"/>
        <v>Líderes de Cada Proceso</v>
      </c>
      <c r="H40" s="137">
        <v>44200</v>
      </c>
      <c r="I40" s="137">
        <v>44540</v>
      </c>
      <c r="J40" s="61"/>
      <c r="K40" s="61"/>
      <c r="L40" s="61"/>
      <c r="M40" s="61"/>
      <c r="N40" s="61"/>
      <c r="O40" s="61"/>
      <c r="P40" s="61"/>
      <c r="Q40" s="61"/>
      <c r="R40" s="61"/>
      <c r="S40" s="61"/>
      <c r="T40" s="61"/>
      <c r="U40" s="61"/>
      <c r="V40" s="142" t="s">
        <v>334</v>
      </c>
      <c r="W40" s="215">
        <v>2.5000000000000001E-3</v>
      </c>
      <c r="X40" s="137"/>
      <c r="Y40" s="72"/>
      <c r="Z40" s="72" t="s">
        <v>477</v>
      </c>
      <c r="AA40" s="41" t="s">
        <v>179</v>
      </c>
      <c r="AB40" s="152">
        <f t="shared" ca="1" si="1"/>
        <v>3.7500000000000001E-4</v>
      </c>
      <c r="AC40" s="152">
        <f t="shared" ca="1" si="2"/>
        <v>2.1250000000000002E-3</v>
      </c>
      <c r="AD40" s="186">
        <f t="shared" si="3"/>
        <v>12</v>
      </c>
      <c r="AE40" s="187">
        <f t="shared" si="4"/>
        <v>340</v>
      </c>
      <c r="AF40" s="187">
        <f t="shared" si="5"/>
        <v>55</v>
      </c>
      <c r="AG40" s="188">
        <f t="shared" si="6"/>
        <v>0.16176470588235295</v>
      </c>
      <c r="AH40" s="189">
        <f t="shared" si="7"/>
        <v>4.0441176470588236E-4</v>
      </c>
      <c r="AI40" s="188">
        <f t="shared" ca="1" si="8"/>
        <v>-2.941176470588235E-5</v>
      </c>
      <c r="AJ40" s="194" t="s">
        <v>412</v>
      </c>
      <c r="AK40" s="1"/>
    </row>
    <row r="41" spans="1:37" s="3" customFormat="1" ht="42" customHeight="1" x14ac:dyDescent="0.2">
      <c r="A41" s="142" t="s">
        <v>43</v>
      </c>
      <c r="B41" s="72" t="s">
        <v>304</v>
      </c>
      <c r="C41" s="142" t="s">
        <v>98</v>
      </c>
      <c r="D41" s="142" t="s">
        <v>98</v>
      </c>
      <c r="E41" s="142" t="s">
        <v>165</v>
      </c>
      <c r="F41" s="43" t="s">
        <v>263</v>
      </c>
      <c r="G41" s="44" t="str">
        <f t="shared" si="0"/>
        <v>Líderes de Cada Proceso</v>
      </c>
      <c r="H41" s="137">
        <v>44200</v>
      </c>
      <c r="I41" s="137">
        <v>44540</v>
      </c>
      <c r="J41" s="61"/>
      <c r="K41" s="61"/>
      <c r="L41" s="61"/>
      <c r="M41" s="61"/>
      <c r="N41" s="61"/>
      <c r="O41" s="61"/>
      <c r="P41" s="61"/>
      <c r="Q41" s="61"/>
      <c r="R41" s="61"/>
      <c r="S41" s="61"/>
      <c r="T41" s="61"/>
      <c r="U41" s="61"/>
      <c r="V41" s="41" t="s">
        <v>334</v>
      </c>
      <c r="W41" s="215">
        <v>2.5000000000000001E-3</v>
      </c>
      <c r="X41" s="137"/>
      <c r="Y41" s="72"/>
      <c r="Z41" s="72" t="s">
        <v>381</v>
      </c>
      <c r="AA41" s="41" t="s">
        <v>179</v>
      </c>
      <c r="AB41" s="152">
        <f t="shared" ca="1" si="1"/>
        <v>3.7500000000000001E-4</v>
      </c>
      <c r="AC41" s="152">
        <f t="shared" ca="1" si="2"/>
        <v>2.1250000000000002E-3</v>
      </c>
      <c r="AD41" s="186">
        <f t="shared" si="3"/>
        <v>12</v>
      </c>
      <c r="AE41" s="187">
        <f t="shared" si="4"/>
        <v>340</v>
      </c>
      <c r="AF41" s="187">
        <f t="shared" si="5"/>
        <v>55</v>
      </c>
      <c r="AG41" s="188">
        <f t="shared" si="6"/>
        <v>0.16176470588235295</v>
      </c>
      <c r="AH41" s="189">
        <f t="shared" si="7"/>
        <v>4.0441176470588236E-4</v>
      </c>
      <c r="AI41" s="188">
        <f t="shared" ca="1" si="8"/>
        <v>-2.941176470588235E-5</v>
      </c>
      <c r="AJ41" s="194" t="s">
        <v>412</v>
      </c>
    </row>
    <row r="42" spans="1:37" s="3" customFormat="1" ht="42" customHeight="1" x14ac:dyDescent="0.2">
      <c r="A42" s="142" t="s">
        <v>43</v>
      </c>
      <c r="B42" s="72" t="s">
        <v>304</v>
      </c>
      <c r="C42" s="142" t="s">
        <v>98</v>
      </c>
      <c r="D42" s="142" t="s">
        <v>98</v>
      </c>
      <c r="E42" s="142" t="s">
        <v>165</v>
      </c>
      <c r="F42" s="144" t="s">
        <v>159</v>
      </c>
      <c r="G42" s="44" t="str">
        <f t="shared" si="0"/>
        <v>Líderes de Cada Proceso</v>
      </c>
      <c r="H42" s="137">
        <v>44200</v>
      </c>
      <c r="I42" s="137">
        <v>44540</v>
      </c>
      <c r="J42" s="61"/>
      <c r="K42" s="61"/>
      <c r="L42" s="61"/>
      <c r="M42" s="61"/>
      <c r="N42" s="61"/>
      <c r="O42" s="61"/>
      <c r="P42" s="61"/>
      <c r="Q42" s="61"/>
      <c r="R42" s="61"/>
      <c r="S42" s="61"/>
      <c r="T42" s="61"/>
      <c r="U42" s="61"/>
      <c r="V42" s="41" t="s">
        <v>334</v>
      </c>
      <c r="W42" s="215">
        <v>2.5000000000000001E-3</v>
      </c>
      <c r="X42" s="137"/>
      <c r="Y42" s="72"/>
      <c r="Z42" s="72" t="s">
        <v>478</v>
      </c>
      <c r="AA42" s="41" t="s">
        <v>179</v>
      </c>
      <c r="AB42" s="152">
        <f t="shared" ca="1" si="1"/>
        <v>3.7500000000000001E-4</v>
      </c>
      <c r="AC42" s="152">
        <f t="shared" ca="1" si="2"/>
        <v>2.1250000000000002E-3</v>
      </c>
      <c r="AD42" s="186">
        <f t="shared" si="3"/>
        <v>12</v>
      </c>
      <c r="AE42" s="187">
        <f t="shared" si="4"/>
        <v>340</v>
      </c>
      <c r="AF42" s="187">
        <f t="shared" si="5"/>
        <v>55</v>
      </c>
      <c r="AG42" s="188">
        <f t="shared" si="6"/>
        <v>0.16176470588235295</v>
      </c>
      <c r="AH42" s="189">
        <f t="shared" si="7"/>
        <v>4.0441176470588236E-4</v>
      </c>
      <c r="AI42" s="188">
        <f t="shared" ca="1" si="8"/>
        <v>-2.941176470588235E-5</v>
      </c>
      <c r="AJ42" s="194" t="s">
        <v>412</v>
      </c>
    </row>
    <row r="43" spans="1:37" s="3" customFormat="1" ht="42" customHeight="1" x14ac:dyDescent="0.2">
      <c r="A43" s="154" t="s">
        <v>44</v>
      </c>
      <c r="B43" s="143" t="s">
        <v>209</v>
      </c>
      <c r="C43" s="142" t="s">
        <v>87</v>
      </c>
      <c r="D43" s="142" t="s">
        <v>96</v>
      </c>
      <c r="E43" s="142" t="s">
        <v>165</v>
      </c>
      <c r="F43" s="43" t="s">
        <v>240</v>
      </c>
      <c r="G43" s="44" t="str">
        <f t="shared" si="0"/>
        <v>Subdirector Administrativo</v>
      </c>
      <c r="H43" s="137">
        <v>44201</v>
      </c>
      <c r="I43" s="137">
        <v>44223</v>
      </c>
      <c r="J43" s="61"/>
      <c r="K43" s="61"/>
      <c r="L43" s="61"/>
      <c r="M43" s="61"/>
      <c r="N43" s="61"/>
      <c r="O43" s="61"/>
      <c r="P43" s="61"/>
      <c r="Q43" s="61"/>
      <c r="R43" s="61"/>
      <c r="S43" s="61"/>
      <c r="T43" s="61"/>
      <c r="U43" s="61"/>
      <c r="V43" s="142" t="s">
        <v>123</v>
      </c>
      <c r="W43" s="212">
        <v>7.4999999999999997E-3</v>
      </c>
      <c r="X43" s="137">
        <v>44225</v>
      </c>
      <c r="Y43" s="72" t="s">
        <v>377</v>
      </c>
      <c r="Z43" s="72" t="s">
        <v>425</v>
      </c>
      <c r="AA43" s="41" t="s">
        <v>176</v>
      </c>
      <c r="AB43" s="147">
        <f t="shared" ca="1" si="1"/>
        <v>7.4999999999999989E-3</v>
      </c>
      <c r="AC43" s="147">
        <f t="shared" ca="1" si="2"/>
        <v>0</v>
      </c>
      <c r="AD43" s="186">
        <f t="shared" si="3"/>
        <v>1</v>
      </c>
      <c r="AE43" s="187">
        <f t="shared" si="4"/>
        <v>22</v>
      </c>
      <c r="AF43" s="187">
        <f t="shared" si="5"/>
        <v>54</v>
      </c>
      <c r="AG43" s="188">
        <f t="shared" si="6"/>
        <v>2.4545454545454546</v>
      </c>
      <c r="AH43" s="189">
        <f t="shared" si="7"/>
        <v>1.840909090909091E-2</v>
      </c>
      <c r="AI43" s="188">
        <f t="shared" ca="1" si="8"/>
        <v>-1.090909090909091E-2</v>
      </c>
      <c r="AJ43" s="192" t="s">
        <v>235</v>
      </c>
    </row>
    <row r="44" spans="1:37" s="3" customFormat="1" ht="42" customHeight="1" x14ac:dyDescent="0.2">
      <c r="A44" s="154" t="s">
        <v>44</v>
      </c>
      <c r="B44" s="72" t="s">
        <v>279</v>
      </c>
      <c r="C44" s="142" t="s">
        <v>89</v>
      </c>
      <c r="D44" s="142" t="s">
        <v>96</v>
      </c>
      <c r="E44" s="142" t="s">
        <v>165</v>
      </c>
      <c r="F44" s="43" t="s">
        <v>240</v>
      </c>
      <c r="G44" s="44" t="str">
        <f t="shared" si="0"/>
        <v>Subdirector Financiero</v>
      </c>
      <c r="H44" s="137">
        <v>44201</v>
      </c>
      <c r="I44" s="184">
        <v>44253</v>
      </c>
      <c r="J44" s="61"/>
      <c r="K44" s="61"/>
      <c r="L44" s="61"/>
      <c r="M44" s="61"/>
      <c r="N44" s="61"/>
      <c r="O44" s="61"/>
      <c r="P44" s="61"/>
      <c r="Q44" s="61"/>
      <c r="R44" s="61"/>
      <c r="S44" s="61"/>
      <c r="T44" s="61"/>
      <c r="U44" s="61"/>
      <c r="V44" s="142" t="s">
        <v>123</v>
      </c>
      <c r="W44" s="212">
        <v>3.0000000000000001E-3</v>
      </c>
      <c r="X44" s="137">
        <v>44253</v>
      </c>
      <c r="Y44" s="72" t="s">
        <v>480</v>
      </c>
      <c r="Z44" s="72" t="s">
        <v>479</v>
      </c>
      <c r="AA44" s="41" t="s">
        <v>176</v>
      </c>
      <c r="AB44" s="147">
        <f t="shared" ca="1" si="1"/>
        <v>2.9999999999999996E-3</v>
      </c>
      <c r="AC44" s="147">
        <f t="shared" ca="1" si="2"/>
        <v>0</v>
      </c>
      <c r="AD44" s="186">
        <f t="shared" si="3"/>
        <v>2</v>
      </c>
      <c r="AE44" s="187">
        <f t="shared" si="4"/>
        <v>52</v>
      </c>
      <c r="AF44" s="187">
        <f t="shared" si="5"/>
        <v>54</v>
      </c>
      <c r="AG44" s="188">
        <f t="shared" si="6"/>
        <v>1.0384615384615385</v>
      </c>
      <c r="AH44" s="189">
        <f t="shared" si="7"/>
        <v>3.1153846153846158E-3</v>
      </c>
      <c r="AI44" s="188">
        <f t="shared" ca="1" si="8"/>
        <v>-1.1538461538461615E-4</v>
      </c>
      <c r="AJ44" s="192" t="s">
        <v>235</v>
      </c>
    </row>
    <row r="45" spans="1:37" s="3" customFormat="1" ht="42" customHeight="1" x14ac:dyDescent="0.2">
      <c r="A45" s="154" t="s">
        <v>45</v>
      </c>
      <c r="B45" s="143" t="s">
        <v>306</v>
      </c>
      <c r="C45" s="142" t="s">
        <v>90</v>
      </c>
      <c r="D45" s="142" t="s">
        <v>97</v>
      </c>
      <c r="E45" s="142" t="s">
        <v>165</v>
      </c>
      <c r="F45" s="43" t="s">
        <v>239</v>
      </c>
      <c r="G45" s="44" t="str">
        <f t="shared" si="0"/>
        <v>Asesor de Control Interno</v>
      </c>
      <c r="H45" s="137">
        <v>44202</v>
      </c>
      <c r="I45" s="137">
        <v>44214</v>
      </c>
      <c r="J45" s="61"/>
      <c r="K45" s="61"/>
      <c r="L45" s="61"/>
      <c r="M45" s="61"/>
      <c r="N45" s="61"/>
      <c r="O45" s="61"/>
      <c r="P45" s="61"/>
      <c r="Q45" s="61"/>
      <c r="R45" s="61"/>
      <c r="S45" s="61"/>
      <c r="T45" s="61"/>
      <c r="U45" s="61"/>
      <c r="V45" s="41" t="s">
        <v>123</v>
      </c>
      <c r="W45" s="212">
        <v>1.2E-2</v>
      </c>
      <c r="X45" s="137">
        <v>44227</v>
      </c>
      <c r="Y45" s="80" t="s">
        <v>378</v>
      </c>
      <c r="Z45" s="80" t="s">
        <v>378</v>
      </c>
      <c r="AA45" s="41" t="s">
        <v>57</v>
      </c>
      <c r="AB45" s="147">
        <f t="shared" ca="1" si="1"/>
        <v>1.2E-2</v>
      </c>
      <c r="AC45" s="147">
        <f t="shared" ca="1" si="2"/>
        <v>0</v>
      </c>
      <c r="AD45" s="186">
        <f t="shared" si="3"/>
        <v>1</v>
      </c>
      <c r="AE45" s="187">
        <f t="shared" si="4"/>
        <v>12</v>
      </c>
      <c r="AF45" s="187">
        <f t="shared" si="5"/>
        <v>53</v>
      </c>
      <c r="AG45" s="188">
        <f t="shared" si="6"/>
        <v>4.416666666666667</v>
      </c>
      <c r="AH45" s="189">
        <f t="shared" si="7"/>
        <v>5.3000000000000005E-2</v>
      </c>
      <c r="AI45" s="188">
        <f t="shared" ca="1" si="8"/>
        <v>-4.1000000000000009E-2</v>
      </c>
      <c r="AJ45" s="192" t="s">
        <v>235</v>
      </c>
    </row>
    <row r="46" spans="1:37" s="3" customFormat="1" ht="42" customHeight="1" x14ac:dyDescent="0.2">
      <c r="A46" s="154" t="s">
        <v>43</v>
      </c>
      <c r="B46" s="143" t="s">
        <v>208</v>
      </c>
      <c r="C46" s="142" t="s">
        <v>98</v>
      </c>
      <c r="D46" s="142" t="s">
        <v>98</v>
      </c>
      <c r="E46" s="142" t="s">
        <v>165</v>
      </c>
      <c r="F46" s="43" t="s">
        <v>160</v>
      </c>
      <c r="G46" s="44" t="str">
        <f t="shared" si="0"/>
        <v>Líderes de Cada Proceso</v>
      </c>
      <c r="H46" s="137">
        <v>44202</v>
      </c>
      <c r="I46" s="184">
        <v>44281</v>
      </c>
      <c r="J46" s="61"/>
      <c r="K46" s="61"/>
      <c r="L46" s="61"/>
      <c r="M46" s="61"/>
      <c r="N46" s="61"/>
      <c r="O46" s="61"/>
      <c r="P46" s="61"/>
      <c r="Q46" s="61"/>
      <c r="R46" s="61"/>
      <c r="S46" s="61"/>
      <c r="T46" s="61"/>
      <c r="U46" s="61"/>
      <c r="V46" s="41" t="s">
        <v>215</v>
      </c>
      <c r="W46" s="212">
        <v>1.4999999999999999E-2</v>
      </c>
      <c r="X46" s="137"/>
      <c r="Y46" s="72" t="s">
        <v>369</v>
      </c>
      <c r="Z46" s="72" t="s">
        <v>426</v>
      </c>
      <c r="AA46" s="41" t="s">
        <v>101</v>
      </c>
      <c r="AB46" s="70">
        <f t="shared" ca="1" si="1"/>
        <v>4.6499999999999996E-3</v>
      </c>
      <c r="AC46" s="70">
        <f t="shared" ca="1" si="2"/>
        <v>1.035E-2</v>
      </c>
      <c r="AD46" s="186">
        <f t="shared" si="3"/>
        <v>3</v>
      </c>
      <c r="AE46" s="187">
        <f t="shared" si="4"/>
        <v>79</v>
      </c>
      <c r="AF46" s="187">
        <f t="shared" si="5"/>
        <v>53</v>
      </c>
      <c r="AG46" s="188">
        <f t="shared" si="6"/>
        <v>0.67088607594936711</v>
      </c>
      <c r="AH46" s="189">
        <f t="shared" si="7"/>
        <v>1.0063291139240507E-2</v>
      </c>
      <c r="AI46" s="188">
        <f t="shared" ca="1" si="8"/>
        <v>-5.4132911392405069E-3</v>
      </c>
      <c r="AJ46" s="196" t="s">
        <v>437</v>
      </c>
    </row>
    <row r="47" spans="1:37" s="3" customFormat="1" ht="42" customHeight="1" x14ac:dyDescent="0.2">
      <c r="A47" s="154" t="s">
        <v>47</v>
      </c>
      <c r="B47" s="146" t="s">
        <v>308</v>
      </c>
      <c r="C47" s="142" t="s">
        <v>98</v>
      </c>
      <c r="D47" s="142" t="s">
        <v>98</v>
      </c>
      <c r="E47" s="142" t="s">
        <v>165</v>
      </c>
      <c r="F47" s="43" t="s">
        <v>263</v>
      </c>
      <c r="G47" s="44" t="str">
        <f t="shared" si="0"/>
        <v>Líderes de Cada Proceso</v>
      </c>
      <c r="H47" s="137">
        <v>44204</v>
      </c>
      <c r="I47" s="137">
        <v>44224</v>
      </c>
      <c r="J47" s="61"/>
      <c r="K47" s="61"/>
      <c r="L47" s="61"/>
      <c r="M47" s="61"/>
      <c r="N47" s="61"/>
      <c r="O47" s="61"/>
      <c r="P47" s="61"/>
      <c r="Q47" s="61"/>
      <c r="R47" s="61"/>
      <c r="S47" s="61"/>
      <c r="T47" s="61"/>
      <c r="U47" s="61"/>
      <c r="V47" s="142" t="s">
        <v>215</v>
      </c>
      <c r="W47" s="215">
        <v>0.02</v>
      </c>
      <c r="X47" s="137">
        <v>44227</v>
      </c>
      <c r="Y47" s="143" t="s">
        <v>380</v>
      </c>
      <c r="Z47" s="72" t="s">
        <v>379</v>
      </c>
      <c r="AA47" s="41" t="s">
        <v>176</v>
      </c>
      <c r="AB47" s="147">
        <f t="shared" ca="1" si="1"/>
        <v>1.9999999999999997E-2</v>
      </c>
      <c r="AC47" s="147">
        <f t="shared" ca="1" si="2"/>
        <v>0</v>
      </c>
      <c r="AD47" s="186">
        <f t="shared" si="3"/>
        <v>1</v>
      </c>
      <c r="AE47" s="187">
        <f t="shared" si="4"/>
        <v>20</v>
      </c>
      <c r="AF47" s="187">
        <f t="shared" si="5"/>
        <v>51</v>
      </c>
      <c r="AG47" s="188">
        <f t="shared" si="6"/>
        <v>2.5499999999999998</v>
      </c>
      <c r="AH47" s="189">
        <f t="shared" si="7"/>
        <v>5.0999999999999997E-2</v>
      </c>
      <c r="AI47" s="188">
        <f t="shared" ca="1" si="8"/>
        <v>-3.1E-2</v>
      </c>
      <c r="AJ47" s="192" t="s">
        <v>235</v>
      </c>
    </row>
    <row r="48" spans="1:37" s="3" customFormat="1" ht="42" customHeight="1" x14ac:dyDescent="0.2">
      <c r="A48" s="142" t="s">
        <v>43</v>
      </c>
      <c r="B48" s="143" t="s">
        <v>290</v>
      </c>
      <c r="C48" s="142" t="s">
        <v>90</v>
      </c>
      <c r="D48" s="142" t="s">
        <v>97</v>
      </c>
      <c r="E48" s="142" t="s">
        <v>165</v>
      </c>
      <c r="F48" s="144" t="s">
        <v>239</v>
      </c>
      <c r="G48" s="44" t="str">
        <f t="shared" si="0"/>
        <v>Asesor de Control Interno</v>
      </c>
      <c r="H48" s="137">
        <v>44208</v>
      </c>
      <c r="I48" s="137">
        <v>44214</v>
      </c>
      <c r="J48" s="61"/>
      <c r="K48" s="61"/>
      <c r="L48" s="61"/>
      <c r="M48" s="61"/>
      <c r="N48" s="61"/>
      <c r="O48" s="61"/>
      <c r="P48" s="61"/>
      <c r="Q48" s="61"/>
      <c r="R48" s="61"/>
      <c r="S48" s="61"/>
      <c r="T48" s="61"/>
      <c r="U48" s="61"/>
      <c r="V48" s="41" t="s">
        <v>215</v>
      </c>
      <c r="W48" s="215">
        <v>5.0000000000000001E-3</v>
      </c>
      <c r="X48" s="137">
        <v>44222</v>
      </c>
      <c r="Y48" s="72" t="s">
        <v>365</v>
      </c>
      <c r="Z48" s="72" t="s">
        <v>364</v>
      </c>
      <c r="AA48" s="41" t="s">
        <v>182</v>
      </c>
      <c r="AB48" s="147">
        <f t="shared" ca="1" si="1"/>
        <v>5.0000000000000001E-3</v>
      </c>
      <c r="AC48" s="147">
        <f t="shared" ca="1" si="2"/>
        <v>0</v>
      </c>
      <c r="AD48" s="186">
        <f t="shared" si="3"/>
        <v>1</v>
      </c>
      <c r="AE48" s="187">
        <f t="shared" si="4"/>
        <v>6</v>
      </c>
      <c r="AF48" s="187">
        <f t="shared" si="5"/>
        <v>47</v>
      </c>
      <c r="AG48" s="188">
        <f t="shared" si="6"/>
        <v>7.833333333333333</v>
      </c>
      <c r="AH48" s="189">
        <f t="shared" si="7"/>
        <v>3.9166666666666669E-2</v>
      </c>
      <c r="AI48" s="188">
        <f t="shared" ca="1" si="8"/>
        <v>-3.4166666666666672E-2</v>
      </c>
      <c r="AJ48" s="192" t="s">
        <v>235</v>
      </c>
    </row>
    <row r="49" spans="1:36" s="3" customFormat="1" ht="42" customHeight="1" x14ac:dyDescent="0.2">
      <c r="A49" s="142" t="s">
        <v>43</v>
      </c>
      <c r="B49" s="143" t="s">
        <v>305</v>
      </c>
      <c r="C49" s="142" t="s">
        <v>90</v>
      </c>
      <c r="D49" s="142" t="s">
        <v>97</v>
      </c>
      <c r="E49" s="142" t="s">
        <v>165</v>
      </c>
      <c r="F49" s="43" t="s">
        <v>239</v>
      </c>
      <c r="G49" s="44" t="str">
        <f t="shared" si="0"/>
        <v>Asesor de Control Interno</v>
      </c>
      <c r="H49" s="137">
        <v>44208</v>
      </c>
      <c r="I49" s="137">
        <v>44235</v>
      </c>
      <c r="J49" s="61"/>
      <c r="K49" s="61"/>
      <c r="L49" s="61"/>
      <c r="M49" s="61"/>
      <c r="N49" s="61"/>
      <c r="O49" s="61"/>
      <c r="P49" s="61"/>
      <c r="Q49" s="61"/>
      <c r="R49" s="61"/>
      <c r="S49" s="61"/>
      <c r="T49" s="61"/>
      <c r="U49" s="61"/>
      <c r="V49" s="41" t="s">
        <v>334</v>
      </c>
      <c r="W49" s="215">
        <v>5.0000000000000001E-3</v>
      </c>
      <c r="X49" s="137">
        <v>44249</v>
      </c>
      <c r="Y49" s="143" t="s">
        <v>368</v>
      </c>
      <c r="Z49" s="72" t="s">
        <v>481</v>
      </c>
      <c r="AA49" s="41" t="s">
        <v>182</v>
      </c>
      <c r="AB49" s="147">
        <f t="shared" ca="1" si="1"/>
        <v>5.0000000000000001E-3</v>
      </c>
      <c r="AC49" s="147">
        <f t="shared" ca="1" si="2"/>
        <v>0</v>
      </c>
      <c r="AD49" s="186">
        <f t="shared" si="3"/>
        <v>2</v>
      </c>
      <c r="AE49" s="187">
        <f t="shared" si="4"/>
        <v>27</v>
      </c>
      <c r="AF49" s="187">
        <f t="shared" si="5"/>
        <v>47</v>
      </c>
      <c r="AG49" s="188">
        <f t="shared" si="6"/>
        <v>1.7407407407407407</v>
      </c>
      <c r="AH49" s="189">
        <f t="shared" si="7"/>
        <v>8.7037037037037031E-3</v>
      </c>
      <c r="AI49" s="188">
        <f t="shared" ca="1" si="8"/>
        <v>-3.703703703703703E-3</v>
      </c>
      <c r="AJ49" s="192" t="s">
        <v>235</v>
      </c>
    </row>
    <row r="50" spans="1:36" s="3" customFormat="1" ht="42" customHeight="1" x14ac:dyDescent="0.2">
      <c r="A50" s="154" t="s">
        <v>50</v>
      </c>
      <c r="B50" s="143" t="s">
        <v>299</v>
      </c>
      <c r="C50" s="142" t="s">
        <v>140</v>
      </c>
      <c r="D50" s="142" t="s">
        <v>100</v>
      </c>
      <c r="E50" s="142" t="s">
        <v>165</v>
      </c>
      <c r="F50" s="43" t="s">
        <v>159</v>
      </c>
      <c r="G50" s="44" t="str">
        <f t="shared" si="0"/>
        <v>Director de Gestión Corporativa y CID</v>
      </c>
      <c r="H50" s="137">
        <v>44208</v>
      </c>
      <c r="I50" s="184">
        <v>44267</v>
      </c>
      <c r="J50" s="61"/>
      <c r="K50" s="61"/>
      <c r="L50" s="61"/>
      <c r="M50" s="61"/>
      <c r="N50" s="61"/>
      <c r="O50" s="61"/>
      <c r="P50" s="61"/>
      <c r="Q50" s="61"/>
      <c r="R50" s="61"/>
      <c r="S50" s="61"/>
      <c r="T50" s="61"/>
      <c r="U50" s="61"/>
      <c r="V50" s="41" t="s">
        <v>123</v>
      </c>
      <c r="W50" s="212">
        <v>2.5000000000000001E-3</v>
      </c>
      <c r="X50" s="137"/>
      <c r="Y50" s="72" t="s">
        <v>370</v>
      </c>
      <c r="Z50" s="72" t="s">
        <v>411</v>
      </c>
      <c r="AA50" s="41" t="s">
        <v>110</v>
      </c>
      <c r="AB50" s="152">
        <f t="shared" ca="1" si="1"/>
        <v>1.8E-3</v>
      </c>
      <c r="AC50" s="152">
        <f t="shared" ca="1" si="2"/>
        <v>7.000000000000001E-4</v>
      </c>
      <c r="AD50" s="186">
        <f t="shared" si="3"/>
        <v>3</v>
      </c>
      <c r="AE50" s="187">
        <f t="shared" si="4"/>
        <v>59</v>
      </c>
      <c r="AF50" s="187">
        <f t="shared" si="5"/>
        <v>47</v>
      </c>
      <c r="AG50" s="188">
        <f t="shared" si="6"/>
        <v>0.79661016949152541</v>
      </c>
      <c r="AH50" s="189">
        <f t="shared" si="7"/>
        <v>1.9915254237288134E-3</v>
      </c>
      <c r="AI50" s="188">
        <f t="shared" ca="1" si="8"/>
        <v>-1.9152542372881344E-4</v>
      </c>
      <c r="AJ50" s="196" t="s">
        <v>437</v>
      </c>
    </row>
    <row r="51" spans="1:36" ht="42" customHeight="1" x14ac:dyDescent="0.25">
      <c r="A51" s="142" t="s">
        <v>45</v>
      </c>
      <c r="B51" s="42" t="s">
        <v>354</v>
      </c>
      <c r="C51" s="142" t="s">
        <v>90</v>
      </c>
      <c r="D51" s="142" t="s">
        <v>97</v>
      </c>
      <c r="E51" s="142" t="s">
        <v>165</v>
      </c>
      <c r="F51" s="43" t="s">
        <v>239</v>
      </c>
      <c r="G51" s="44" t="str">
        <f t="shared" si="0"/>
        <v>Asesor de Control Interno</v>
      </c>
      <c r="H51" s="137">
        <v>44210</v>
      </c>
      <c r="I51" s="184">
        <v>44253</v>
      </c>
      <c r="J51" s="61"/>
      <c r="K51" s="61"/>
      <c r="L51" s="61"/>
      <c r="M51" s="61"/>
      <c r="N51" s="61"/>
      <c r="O51" s="61"/>
      <c r="P51" s="61"/>
      <c r="Q51" s="61"/>
      <c r="R51" s="61"/>
      <c r="S51" s="61"/>
      <c r="T51" s="61"/>
      <c r="U51" s="61"/>
      <c r="V51" s="41" t="s">
        <v>334</v>
      </c>
      <c r="W51" s="212">
        <v>5.0000000000000001E-3</v>
      </c>
      <c r="X51" s="137">
        <v>44255</v>
      </c>
      <c r="Y51" s="72" t="s">
        <v>372</v>
      </c>
      <c r="Z51" s="72" t="s">
        <v>463</v>
      </c>
      <c r="AA51" s="41" t="s">
        <v>57</v>
      </c>
      <c r="AB51" s="147">
        <f t="shared" ca="1" si="1"/>
        <v>5.0000000000000001E-3</v>
      </c>
      <c r="AC51" s="147">
        <f t="shared" ca="1" si="2"/>
        <v>0</v>
      </c>
      <c r="AD51" s="186">
        <f t="shared" si="3"/>
        <v>2</v>
      </c>
      <c r="AE51" s="187">
        <f t="shared" si="4"/>
        <v>43</v>
      </c>
      <c r="AF51" s="187">
        <f t="shared" si="5"/>
        <v>45</v>
      </c>
      <c r="AG51" s="188">
        <f t="shared" si="6"/>
        <v>1.0465116279069768</v>
      </c>
      <c r="AH51" s="189">
        <f t="shared" si="7"/>
        <v>5.2325581395348845E-3</v>
      </c>
      <c r="AI51" s="188">
        <f t="shared" ca="1" si="8"/>
        <v>-2.3255813953488441E-4</v>
      </c>
      <c r="AJ51" s="192" t="s">
        <v>235</v>
      </c>
    </row>
    <row r="52" spans="1:36" ht="42" customHeight="1" x14ac:dyDescent="0.25">
      <c r="A52" s="142" t="s">
        <v>45</v>
      </c>
      <c r="B52" s="42" t="s">
        <v>355</v>
      </c>
      <c r="C52" s="142" t="s">
        <v>90</v>
      </c>
      <c r="D52" s="142" t="s">
        <v>97</v>
      </c>
      <c r="E52" s="142" t="s">
        <v>165</v>
      </c>
      <c r="F52" s="43" t="s">
        <v>160</v>
      </c>
      <c r="G52" s="44" t="str">
        <f t="shared" si="0"/>
        <v>Asesor de Control Interno</v>
      </c>
      <c r="H52" s="137">
        <v>44210</v>
      </c>
      <c r="I52" s="184">
        <v>44253</v>
      </c>
      <c r="J52" s="61"/>
      <c r="K52" s="61"/>
      <c r="L52" s="61"/>
      <c r="M52" s="61"/>
      <c r="N52" s="61"/>
      <c r="O52" s="61"/>
      <c r="P52" s="61"/>
      <c r="Q52" s="61"/>
      <c r="R52" s="61"/>
      <c r="S52" s="61"/>
      <c r="T52" s="61"/>
      <c r="U52" s="61"/>
      <c r="V52" s="41" t="s">
        <v>334</v>
      </c>
      <c r="W52" s="212">
        <v>5.0000000000000001E-3</v>
      </c>
      <c r="X52" s="137">
        <v>44255</v>
      </c>
      <c r="Y52" s="72" t="s">
        <v>372</v>
      </c>
      <c r="Z52" s="72" t="s">
        <v>463</v>
      </c>
      <c r="AA52" s="142" t="s">
        <v>57</v>
      </c>
      <c r="AB52" s="147">
        <f t="shared" ca="1" si="1"/>
        <v>5.0000000000000001E-3</v>
      </c>
      <c r="AC52" s="147">
        <f t="shared" ca="1" si="2"/>
        <v>0</v>
      </c>
      <c r="AD52" s="186">
        <f t="shared" si="3"/>
        <v>2</v>
      </c>
      <c r="AE52" s="187">
        <f t="shared" si="4"/>
        <v>43</v>
      </c>
      <c r="AF52" s="187">
        <f t="shared" si="5"/>
        <v>45</v>
      </c>
      <c r="AG52" s="188">
        <f t="shared" si="6"/>
        <v>1.0465116279069768</v>
      </c>
      <c r="AH52" s="189">
        <f t="shared" si="7"/>
        <v>5.2325581395348845E-3</v>
      </c>
      <c r="AI52" s="188">
        <f t="shared" ca="1" si="8"/>
        <v>-2.3255813953488441E-4</v>
      </c>
      <c r="AJ52" s="192" t="s">
        <v>235</v>
      </c>
    </row>
    <row r="53" spans="1:36" ht="42" customHeight="1" x14ac:dyDescent="0.25">
      <c r="A53" s="154" t="s">
        <v>46</v>
      </c>
      <c r="B53" s="143" t="s">
        <v>350</v>
      </c>
      <c r="C53" s="142" t="s">
        <v>98</v>
      </c>
      <c r="D53" s="142" t="s">
        <v>98</v>
      </c>
      <c r="E53" s="142" t="s">
        <v>165</v>
      </c>
      <c r="F53" s="43" t="s">
        <v>240</v>
      </c>
      <c r="G53" s="44" t="str">
        <f t="shared" si="0"/>
        <v>Líderes de Cada Proceso</v>
      </c>
      <c r="H53" s="137">
        <v>44211</v>
      </c>
      <c r="I53" s="137">
        <v>44242</v>
      </c>
      <c r="J53" s="61"/>
      <c r="K53" s="61"/>
      <c r="L53" s="61"/>
      <c r="M53" s="61"/>
      <c r="N53" s="61"/>
      <c r="O53" s="61"/>
      <c r="P53" s="61"/>
      <c r="Q53" s="61"/>
      <c r="R53" s="61"/>
      <c r="S53" s="61"/>
      <c r="T53" s="61"/>
      <c r="U53" s="61"/>
      <c r="V53" s="41" t="s">
        <v>332</v>
      </c>
      <c r="W53" s="212">
        <v>0.01</v>
      </c>
      <c r="X53" s="137">
        <v>44242</v>
      </c>
      <c r="Y53" s="72" t="s">
        <v>373</v>
      </c>
      <c r="Z53" s="72" t="s">
        <v>427</v>
      </c>
      <c r="AA53" s="142" t="s">
        <v>152</v>
      </c>
      <c r="AB53" s="147">
        <f t="shared" ca="1" si="1"/>
        <v>0.01</v>
      </c>
      <c r="AC53" s="147">
        <f t="shared" ca="1" si="2"/>
        <v>0</v>
      </c>
      <c r="AD53" s="186">
        <f t="shared" si="3"/>
        <v>2</v>
      </c>
      <c r="AE53" s="187">
        <f t="shared" si="4"/>
        <v>31</v>
      </c>
      <c r="AF53" s="187">
        <f t="shared" si="5"/>
        <v>44</v>
      </c>
      <c r="AG53" s="188">
        <f t="shared" si="6"/>
        <v>1.4193548387096775</v>
      </c>
      <c r="AH53" s="189">
        <f t="shared" si="7"/>
        <v>1.4193548387096775E-2</v>
      </c>
      <c r="AI53" s="188">
        <f t="shared" ca="1" si="8"/>
        <v>-4.1935483870967748E-3</v>
      </c>
      <c r="AJ53" s="192" t="s">
        <v>235</v>
      </c>
    </row>
    <row r="54" spans="1:36" ht="42" customHeight="1" x14ac:dyDescent="0.25">
      <c r="A54" s="154" t="s">
        <v>44</v>
      </c>
      <c r="B54" s="143" t="s">
        <v>288</v>
      </c>
      <c r="C54" s="142" t="s">
        <v>90</v>
      </c>
      <c r="D54" s="142" t="s">
        <v>97</v>
      </c>
      <c r="E54" s="142" t="s">
        <v>165</v>
      </c>
      <c r="F54" s="43" t="s">
        <v>239</v>
      </c>
      <c r="G54" s="44" t="str">
        <f t="shared" si="0"/>
        <v>Asesor de Control Interno</v>
      </c>
      <c r="H54" s="137">
        <v>44214</v>
      </c>
      <c r="I54" s="137">
        <v>44224</v>
      </c>
      <c r="J54" s="61"/>
      <c r="K54" s="61"/>
      <c r="L54" s="61"/>
      <c r="M54" s="61"/>
      <c r="N54" s="61"/>
      <c r="O54" s="61"/>
      <c r="P54" s="61"/>
      <c r="Q54" s="61"/>
      <c r="R54" s="61"/>
      <c r="S54" s="61"/>
      <c r="T54" s="61"/>
      <c r="U54" s="61"/>
      <c r="V54" s="142" t="s">
        <v>215</v>
      </c>
      <c r="W54" s="212">
        <v>5.0000000000000001E-3</v>
      </c>
      <c r="X54" s="137">
        <v>44222</v>
      </c>
      <c r="Y54" s="72" t="s">
        <v>366</v>
      </c>
      <c r="Z54" s="72" t="s">
        <v>428</v>
      </c>
      <c r="AA54" s="41" t="s">
        <v>176</v>
      </c>
      <c r="AB54" s="147">
        <f t="shared" ca="1" si="1"/>
        <v>4.9999999999999992E-3</v>
      </c>
      <c r="AC54" s="147">
        <f t="shared" ca="1" si="2"/>
        <v>0</v>
      </c>
      <c r="AD54" s="186">
        <f t="shared" si="3"/>
        <v>1</v>
      </c>
      <c r="AE54" s="187">
        <f t="shared" si="4"/>
        <v>10</v>
      </c>
      <c r="AF54" s="187">
        <f t="shared" si="5"/>
        <v>41</v>
      </c>
      <c r="AG54" s="188">
        <f t="shared" si="6"/>
        <v>4.0999999999999996</v>
      </c>
      <c r="AH54" s="189">
        <f t="shared" si="7"/>
        <v>2.0499999999999997E-2</v>
      </c>
      <c r="AI54" s="188">
        <f t="shared" ca="1" si="8"/>
        <v>-1.5499999999999998E-2</v>
      </c>
      <c r="AJ54" s="192" t="s">
        <v>235</v>
      </c>
    </row>
    <row r="55" spans="1:36" ht="42" customHeight="1" x14ac:dyDescent="0.25">
      <c r="A55" s="142" t="s">
        <v>45</v>
      </c>
      <c r="B55" s="42" t="s">
        <v>310</v>
      </c>
      <c r="C55" s="142" t="s">
        <v>90</v>
      </c>
      <c r="D55" s="142" t="s">
        <v>97</v>
      </c>
      <c r="E55" s="142" t="s">
        <v>165</v>
      </c>
      <c r="F55" s="43" t="s">
        <v>239</v>
      </c>
      <c r="G55" s="44" t="str">
        <f t="shared" si="0"/>
        <v>Asesor de Control Interno</v>
      </c>
      <c r="H55" s="137">
        <v>44215</v>
      </c>
      <c r="I55" s="137">
        <v>44222</v>
      </c>
      <c r="J55" s="61"/>
      <c r="K55" s="61"/>
      <c r="L55" s="61"/>
      <c r="M55" s="61"/>
      <c r="N55" s="61"/>
      <c r="O55" s="61"/>
      <c r="P55" s="61"/>
      <c r="Q55" s="61"/>
      <c r="R55" s="61"/>
      <c r="S55" s="61"/>
      <c r="T55" s="61"/>
      <c r="U55" s="61"/>
      <c r="V55" s="41" t="s">
        <v>215</v>
      </c>
      <c r="W55" s="212">
        <v>3.0000000000000001E-3</v>
      </c>
      <c r="X55" s="137">
        <v>44223</v>
      </c>
      <c r="Y55" s="72" t="s">
        <v>367</v>
      </c>
      <c r="Z55" s="72" t="s">
        <v>367</v>
      </c>
      <c r="AA55" s="41" t="s">
        <v>57</v>
      </c>
      <c r="AB55" s="147">
        <f t="shared" ca="1" si="1"/>
        <v>3.0000000000000001E-3</v>
      </c>
      <c r="AC55" s="147">
        <f t="shared" ca="1" si="2"/>
        <v>0</v>
      </c>
      <c r="AD55" s="186">
        <f t="shared" si="3"/>
        <v>1</v>
      </c>
      <c r="AE55" s="187">
        <f t="shared" si="4"/>
        <v>7</v>
      </c>
      <c r="AF55" s="187">
        <f t="shared" si="5"/>
        <v>40</v>
      </c>
      <c r="AG55" s="188">
        <f t="shared" si="6"/>
        <v>5.7142857142857144</v>
      </c>
      <c r="AH55" s="189">
        <f t="shared" si="7"/>
        <v>1.7142857142857144E-2</v>
      </c>
      <c r="AI55" s="188">
        <f t="shared" ca="1" si="8"/>
        <v>-1.4142857142857145E-2</v>
      </c>
      <c r="AJ55" s="192" t="s">
        <v>235</v>
      </c>
    </row>
    <row r="56" spans="1:36" ht="42" customHeight="1" x14ac:dyDescent="0.25">
      <c r="A56" s="154" t="s">
        <v>46</v>
      </c>
      <c r="B56" s="143" t="s">
        <v>294</v>
      </c>
      <c r="C56" s="142" t="s">
        <v>98</v>
      </c>
      <c r="D56" s="142" t="s">
        <v>98</v>
      </c>
      <c r="E56" s="142" t="s">
        <v>165</v>
      </c>
      <c r="F56" s="43" t="s">
        <v>240</v>
      </c>
      <c r="G56" s="44" t="str">
        <f t="shared" si="0"/>
        <v>Líderes de Cada Proceso</v>
      </c>
      <c r="H56" s="137">
        <v>44215</v>
      </c>
      <c r="I56" s="137">
        <v>44242</v>
      </c>
      <c r="J56" s="61"/>
      <c r="K56" s="61"/>
      <c r="L56" s="61"/>
      <c r="M56" s="61"/>
      <c r="N56" s="61"/>
      <c r="O56" s="61"/>
      <c r="P56" s="61"/>
      <c r="Q56" s="61"/>
      <c r="R56" s="61"/>
      <c r="S56" s="61"/>
      <c r="T56" s="61"/>
      <c r="U56" s="61"/>
      <c r="V56" s="41" t="s">
        <v>123</v>
      </c>
      <c r="W56" s="212">
        <v>2E-3</v>
      </c>
      <c r="X56" s="137">
        <v>44242</v>
      </c>
      <c r="Y56" s="72" t="s">
        <v>373</v>
      </c>
      <c r="Z56" s="72" t="s">
        <v>429</v>
      </c>
      <c r="AA56" s="142" t="s">
        <v>152</v>
      </c>
      <c r="AB56" s="147">
        <f t="shared" ca="1" si="1"/>
        <v>2E-3</v>
      </c>
      <c r="AC56" s="147">
        <f t="shared" ca="1" si="2"/>
        <v>0</v>
      </c>
      <c r="AD56" s="186">
        <f t="shared" si="3"/>
        <v>2</v>
      </c>
      <c r="AE56" s="187">
        <f t="shared" si="4"/>
        <v>27</v>
      </c>
      <c r="AF56" s="187">
        <f t="shared" si="5"/>
        <v>40</v>
      </c>
      <c r="AG56" s="188">
        <f t="shared" si="6"/>
        <v>1.4814814814814814</v>
      </c>
      <c r="AH56" s="189">
        <f t="shared" si="7"/>
        <v>2.9629629629629628E-3</v>
      </c>
      <c r="AI56" s="188">
        <f t="shared" ca="1" si="8"/>
        <v>-9.6296296296296277E-4</v>
      </c>
      <c r="AJ56" s="192" t="s">
        <v>235</v>
      </c>
    </row>
    <row r="57" spans="1:36" ht="42" customHeight="1" x14ac:dyDescent="0.25">
      <c r="A57" s="154" t="s">
        <v>46</v>
      </c>
      <c r="B57" s="143" t="s">
        <v>295</v>
      </c>
      <c r="C57" s="142" t="s">
        <v>87</v>
      </c>
      <c r="D57" s="142" t="s">
        <v>96</v>
      </c>
      <c r="E57" s="142" t="s">
        <v>165</v>
      </c>
      <c r="F57" s="43" t="s">
        <v>240</v>
      </c>
      <c r="G57" s="44" t="str">
        <f t="shared" si="0"/>
        <v>Subdirector Administrativo</v>
      </c>
      <c r="H57" s="137">
        <v>44215</v>
      </c>
      <c r="I57" s="137">
        <v>44242</v>
      </c>
      <c r="J57" s="61"/>
      <c r="K57" s="61"/>
      <c r="L57" s="61"/>
      <c r="M57" s="61"/>
      <c r="N57" s="61"/>
      <c r="O57" s="61"/>
      <c r="P57" s="61"/>
      <c r="Q57" s="61"/>
      <c r="R57" s="61"/>
      <c r="S57" s="61"/>
      <c r="T57" s="61"/>
      <c r="U57" s="61"/>
      <c r="V57" s="41" t="s">
        <v>123</v>
      </c>
      <c r="W57" s="212">
        <v>2E-3</v>
      </c>
      <c r="X57" s="137">
        <v>44242</v>
      </c>
      <c r="Y57" s="72" t="s">
        <v>373</v>
      </c>
      <c r="Z57" s="72" t="s">
        <v>398</v>
      </c>
      <c r="AA57" s="142" t="s">
        <v>152</v>
      </c>
      <c r="AB57" s="147">
        <f t="shared" ca="1" si="1"/>
        <v>2E-3</v>
      </c>
      <c r="AC57" s="147">
        <f t="shared" ca="1" si="2"/>
        <v>0</v>
      </c>
      <c r="AD57" s="186">
        <f t="shared" si="3"/>
        <v>2</v>
      </c>
      <c r="AE57" s="187">
        <f t="shared" si="4"/>
        <v>27</v>
      </c>
      <c r="AF57" s="187">
        <f t="shared" si="5"/>
        <v>40</v>
      </c>
      <c r="AG57" s="188">
        <f t="shared" si="6"/>
        <v>1.4814814814814814</v>
      </c>
      <c r="AH57" s="189">
        <f t="shared" si="7"/>
        <v>2.9629629629629628E-3</v>
      </c>
      <c r="AI57" s="188">
        <f t="shared" ca="1" si="8"/>
        <v>-9.6296296296296277E-4</v>
      </c>
      <c r="AJ57" s="192" t="s">
        <v>235</v>
      </c>
    </row>
    <row r="58" spans="1:36" ht="42" customHeight="1" x14ac:dyDescent="0.25">
      <c r="A58" s="154" t="s">
        <v>46</v>
      </c>
      <c r="B58" s="143" t="s">
        <v>296</v>
      </c>
      <c r="C58" s="142" t="s">
        <v>87</v>
      </c>
      <c r="D58" s="142" t="s">
        <v>96</v>
      </c>
      <c r="E58" s="142" t="s">
        <v>165</v>
      </c>
      <c r="F58" s="43" t="s">
        <v>240</v>
      </c>
      <c r="G58" s="44" t="str">
        <f t="shared" si="0"/>
        <v>Subdirector Administrativo</v>
      </c>
      <c r="H58" s="137">
        <v>44215</v>
      </c>
      <c r="I58" s="137">
        <v>44242</v>
      </c>
      <c r="J58" s="61"/>
      <c r="K58" s="61"/>
      <c r="L58" s="61"/>
      <c r="M58" s="61"/>
      <c r="N58" s="61"/>
      <c r="O58" s="61"/>
      <c r="P58" s="61"/>
      <c r="Q58" s="61"/>
      <c r="R58" s="61"/>
      <c r="S58" s="61"/>
      <c r="T58" s="61"/>
      <c r="U58" s="61"/>
      <c r="V58" s="41" t="s">
        <v>123</v>
      </c>
      <c r="W58" s="212">
        <v>2E-3</v>
      </c>
      <c r="X58" s="137">
        <v>44242</v>
      </c>
      <c r="Y58" s="72" t="s">
        <v>373</v>
      </c>
      <c r="Z58" s="72" t="s">
        <v>430</v>
      </c>
      <c r="AA58" s="142" t="s">
        <v>152</v>
      </c>
      <c r="AB58" s="147">
        <f t="shared" ca="1" si="1"/>
        <v>2E-3</v>
      </c>
      <c r="AC58" s="147">
        <f t="shared" ca="1" si="2"/>
        <v>0</v>
      </c>
      <c r="AD58" s="186">
        <f t="shared" si="3"/>
        <v>2</v>
      </c>
      <c r="AE58" s="187">
        <f t="shared" si="4"/>
        <v>27</v>
      </c>
      <c r="AF58" s="187">
        <f t="shared" si="5"/>
        <v>40</v>
      </c>
      <c r="AG58" s="188">
        <f t="shared" si="6"/>
        <v>1.4814814814814814</v>
      </c>
      <c r="AH58" s="189">
        <f t="shared" si="7"/>
        <v>2.9629629629629628E-3</v>
      </c>
      <c r="AI58" s="188">
        <f t="shared" ca="1" si="8"/>
        <v>-9.6296296296296277E-4</v>
      </c>
      <c r="AJ58" s="192" t="s">
        <v>235</v>
      </c>
    </row>
    <row r="59" spans="1:36" ht="42" customHeight="1" x14ac:dyDescent="0.25">
      <c r="A59" s="154" t="s">
        <v>46</v>
      </c>
      <c r="B59" s="143" t="s">
        <v>298</v>
      </c>
      <c r="C59" s="142" t="s">
        <v>90</v>
      </c>
      <c r="D59" s="142" t="s">
        <v>97</v>
      </c>
      <c r="E59" s="142" t="s">
        <v>165</v>
      </c>
      <c r="F59" s="43" t="s">
        <v>240</v>
      </c>
      <c r="G59" s="44" t="str">
        <f t="shared" si="0"/>
        <v>Asesor de Control Interno</v>
      </c>
      <c r="H59" s="137">
        <v>44215</v>
      </c>
      <c r="I59" s="137">
        <v>44242</v>
      </c>
      <c r="J59" s="61"/>
      <c r="K59" s="61"/>
      <c r="L59" s="61"/>
      <c r="M59" s="61"/>
      <c r="N59" s="61"/>
      <c r="O59" s="61"/>
      <c r="P59" s="61"/>
      <c r="Q59" s="61"/>
      <c r="R59" s="61"/>
      <c r="S59" s="61"/>
      <c r="T59" s="61"/>
      <c r="U59" s="61"/>
      <c r="V59" s="41" t="s">
        <v>123</v>
      </c>
      <c r="W59" s="212">
        <v>2E-3</v>
      </c>
      <c r="X59" s="137">
        <v>44242</v>
      </c>
      <c r="Y59" s="72" t="s">
        <v>373</v>
      </c>
      <c r="Z59" s="72" t="s">
        <v>431</v>
      </c>
      <c r="AA59" s="142" t="s">
        <v>152</v>
      </c>
      <c r="AB59" s="147">
        <f t="shared" ca="1" si="1"/>
        <v>2E-3</v>
      </c>
      <c r="AC59" s="147">
        <f t="shared" ca="1" si="2"/>
        <v>0</v>
      </c>
      <c r="AD59" s="186">
        <f t="shared" si="3"/>
        <v>2</v>
      </c>
      <c r="AE59" s="187">
        <f t="shared" si="4"/>
        <v>27</v>
      </c>
      <c r="AF59" s="187">
        <f t="shared" si="5"/>
        <v>40</v>
      </c>
      <c r="AG59" s="188">
        <f t="shared" si="6"/>
        <v>1.4814814814814814</v>
      </c>
      <c r="AH59" s="189">
        <f t="shared" si="7"/>
        <v>2.9629629629629628E-3</v>
      </c>
      <c r="AI59" s="188">
        <f t="shared" ca="1" si="8"/>
        <v>-9.6296296296296277E-4</v>
      </c>
      <c r="AJ59" s="192" t="s">
        <v>235</v>
      </c>
    </row>
    <row r="60" spans="1:36" ht="42" customHeight="1" x14ac:dyDescent="0.25">
      <c r="A60" s="154" t="s">
        <v>46</v>
      </c>
      <c r="B60" s="143" t="s">
        <v>297</v>
      </c>
      <c r="C60" s="142" t="s">
        <v>87</v>
      </c>
      <c r="D60" s="142" t="s">
        <v>96</v>
      </c>
      <c r="E60" s="142" t="s">
        <v>165</v>
      </c>
      <c r="F60" s="43" t="s">
        <v>240</v>
      </c>
      <c r="G60" s="44" t="str">
        <f t="shared" si="0"/>
        <v>Subdirector Administrativo</v>
      </c>
      <c r="H60" s="137">
        <v>44215</v>
      </c>
      <c r="I60" s="137">
        <v>44242</v>
      </c>
      <c r="J60" s="61"/>
      <c r="K60" s="61"/>
      <c r="L60" s="61"/>
      <c r="M60" s="61"/>
      <c r="N60" s="61"/>
      <c r="O60" s="61"/>
      <c r="P60" s="61"/>
      <c r="Q60" s="61"/>
      <c r="R60" s="61"/>
      <c r="S60" s="61"/>
      <c r="T60" s="61"/>
      <c r="U60" s="61"/>
      <c r="V60" s="41" t="s">
        <v>123</v>
      </c>
      <c r="W60" s="212">
        <v>2E-3</v>
      </c>
      <c r="X60" s="137">
        <v>44242</v>
      </c>
      <c r="Y60" s="72" t="s">
        <v>373</v>
      </c>
      <c r="Z60" s="72" t="s">
        <v>432</v>
      </c>
      <c r="AA60" s="41" t="s">
        <v>152</v>
      </c>
      <c r="AB60" s="147">
        <f t="shared" ca="1" si="1"/>
        <v>2E-3</v>
      </c>
      <c r="AC60" s="147">
        <f t="shared" ca="1" si="2"/>
        <v>0</v>
      </c>
      <c r="AD60" s="186">
        <f t="shared" si="3"/>
        <v>2</v>
      </c>
      <c r="AE60" s="187">
        <f t="shared" si="4"/>
        <v>27</v>
      </c>
      <c r="AF60" s="187">
        <f t="shared" si="5"/>
        <v>40</v>
      </c>
      <c r="AG60" s="188">
        <f t="shared" si="6"/>
        <v>1.4814814814814814</v>
      </c>
      <c r="AH60" s="189">
        <f t="shared" si="7"/>
        <v>2.9629629629629628E-3</v>
      </c>
      <c r="AI60" s="188">
        <f t="shared" ca="1" si="8"/>
        <v>-9.6296296296296277E-4</v>
      </c>
      <c r="AJ60" s="192" t="s">
        <v>235</v>
      </c>
    </row>
    <row r="61" spans="1:36" ht="42" customHeight="1" x14ac:dyDescent="0.25">
      <c r="A61" s="142" t="s">
        <v>45</v>
      </c>
      <c r="B61" s="42" t="s">
        <v>289</v>
      </c>
      <c r="C61" s="142" t="s">
        <v>90</v>
      </c>
      <c r="D61" s="142" t="s">
        <v>97</v>
      </c>
      <c r="E61" s="142" t="s">
        <v>165</v>
      </c>
      <c r="F61" s="43" t="s">
        <v>239</v>
      </c>
      <c r="G61" s="44" t="str">
        <f t="shared" si="0"/>
        <v>Asesor de Control Interno</v>
      </c>
      <c r="H61" s="137">
        <v>44223</v>
      </c>
      <c r="I61" s="137">
        <v>44229</v>
      </c>
      <c r="J61" s="61"/>
      <c r="K61" s="61"/>
      <c r="L61" s="61"/>
      <c r="M61" s="61"/>
      <c r="N61" s="61"/>
      <c r="O61" s="61"/>
      <c r="P61" s="61"/>
      <c r="Q61" s="61"/>
      <c r="R61" s="61"/>
      <c r="S61" s="61"/>
      <c r="T61" s="61"/>
      <c r="U61" s="61"/>
      <c r="V61" s="41" t="s">
        <v>215</v>
      </c>
      <c r="W61" s="212">
        <v>3.0000000000000001E-3</v>
      </c>
      <c r="X61" s="137">
        <v>44230</v>
      </c>
      <c r="Y61" s="143" t="s">
        <v>399</v>
      </c>
      <c r="Z61" s="72" t="s">
        <v>400</v>
      </c>
      <c r="AA61" s="41" t="s">
        <v>57</v>
      </c>
      <c r="AB61" s="147">
        <f t="shared" ca="1" si="1"/>
        <v>3.0000000000000001E-3</v>
      </c>
      <c r="AC61" s="147">
        <f t="shared" ca="1" si="2"/>
        <v>0</v>
      </c>
      <c r="AD61" s="186">
        <f t="shared" si="3"/>
        <v>2</v>
      </c>
      <c r="AE61" s="187">
        <f t="shared" si="4"/>
        <v>6</v>
      </c>
      <c r="AF61" s="187">
        <f t="shared" si="5"/>
        <v>32</v>
      </c>
      <c r="AG61" s="188">
        <f t="shared" si="6"/>
        <v>5.333333333333333</v>
      </c>
      <c r="AH61" s="189">
        <f t="shared" si="7"/>
        <v>1.6E-2</v>
      </c>
      <c r="AI61" s="188">
        <f t="shared" ca="1" si="8"/>
        <v>-1.3000000000000001E-2</v>
      </c>
      <c r="AJ61" s="192" t="s">
        <v>235</v>
      </c>
    </row>
    <row r="62" spans="1:36" ht="42" customHeight="1" x14ac:dyDescent="0.25">
      <c r="A62" s="154" t="s">
        <v>46</v>
      </c>
      <c r="B62" s="143" t="s">
        <v>314</v>
      </c>
      <c r="C62" s="142" t="s">
        <v>82</v>
      </c>
      <c r="D62" s="142" t="s">
        <v>100</v>
      </c>
      <c r="E62" s="142" t="s">
        <v>165</v>
      </c>
      <c r="F62" s="43" t="s">
        <v>239</v>
      </c>
      <c r="G62" s="44" t="str">
        <f t="shared" si="0"/>
        <v>Director de Mejoramiento de Barrios</v>
      </c>
      <c r="H62" s="137">
        <v>44224</v>
      </c>
      <c r="I62" s="137">
        <v>44229</v>
      </c>
      <c r="J62" s="61"/>
      <c r="K62" s="61"/>
      <c r="L62" s="61"/>
      <c r="M62" s="61"/>
      <c r="N62" s="61"/>
      <c r="O62" s="61"/>
      <c r="P62" s="61"/>
      <c r="Q62" s="61"/>
      <c r="R62" s="61"/>
      <c r="S62" s="61"/>
      <c r="T62" s="61"/>
      <c r="U62" s="61"/>
      <c r="V62" s="140" t="s">
        <v>317</v>
      </c>
      <c r="W62" s="212">
        <v>1E-3</v>
      </c>
      <c r="X62" s="137">
        <v>44229</v>
      </c>
      <c r="Y62" s="72" t="s">
        <v>375</v>
      </c>
      <c r="Z62" s="72" t="s">
        <v>401</v>
      </c>
      <c r="AA62" s="41" t="s">
        <v>152</v>
      </c>
      <c r="AB62" s="147">
        <f t="shared" ca="1" si="1"/>
        <v>1E-3</v>
      </c>
      <c r="AC62" s="147">
        <f t="shared" ca="1" si="2"/>
        <v>0</v>
      </c>
      <c r="AD62" s="186">
        <f t="shared" si="3"/>
        <v>2</v>
      </c>
      <c r="AE62" s="187">
        <f t="shared" si="4"/>
        <v>5</v>
      </c>
      <c r="AF62" s="187">
        <f t="shared" si="5"/>
        <v>31</v>
      </c>
      <c r="AG62" s="188">
        <f t="shared" si="6"/>
        <v>6.2</v>
      </c>
      <c r="AH62" s="189">
        <f t="shared" si="7"/>
        <v>6.2000000000000006E-3</v>
      </c>
      <c r="AI62" s="188">
        <f t="shared" ca="1" si="8"/>
        <v>-5.2000000000000006E-3</v>
      </c>
      <c r="AJ62" s="192" t="s">
        <v>235</v>
      </c>
    </row>
    <row r="63" spans="1:36" ht="42" customHeight="1" x14ac:dyDescent="0.25">
      <c r="A63" s="142" t="s">
        <v>45</v>
      </c>
      <c r="B63" s="143" t="s">
        <v>114</v>
      </c>
      <c r="C63" s="142" t="s">
        <v>90</v>
      </c>
      <c r="D63" s="142" t="s">
        <v>97</v>
      </c>
      <c r="E63" s="142" t="s">
        <v>165</v>
      </c>
      <c r="F63" s="43" t="s">
        <v>206</v>
      </c>
      <c r="G63" s="44" t="str">
        <f t="shared" si="0"/>
        <v>Asesor de Control Interno</v>
      </c>
      <c r="H63" s="137">
        <v>44228</v>
      </c>
      <c r="I63" s="137">
        <v>44231</v>
      </c>
      <c r="J63" s="61"/>
      <c r="K63" s="61"/>
      <c r="L63" s="61"/>
      <c r="M63" s="61"/>
      <c r="N63" s="61"/>
      <c r="O63" s="61"/>
      <c r="P63" s="61"/>
      <c r="Q63" s="61"/>
      <c r="R63" s="61"/>
      <c r="S63" s="61"/>
      <c r="T63" s="61"/>
      <c r="U63" s="61"/>
      <c r="V63" s="142" t="s">
        <v>202</v>
      </c>
      <c r="W63" s="212">
        <v>3.0000000000000001E-3</v>
      </c>
      <c r="X63" s="137">
        <v>44231</v>
      </c>
      <c r="Y63" s="72" t="s">
        <v>403</v>
      </c>
      <c r="Z63" s="138" t="s">
        <v>404</v>
      </c>
      <c r="AA63" s="41" t="s">
        <v>57</v>
      </c>
      <c r="AB63" s="147">
        <f t="shared" ca="1" si="1"/>
        <v>3.0000000000000001E-3</v>
      </c>
      <c r="AC63" s="147">
        <f t="shared" ca="1" si="2"/>
        <v>0</v>
      </c>
      <c r="AD63" s="186">
        <f t="shared" si="3"/>
        <v>2</v>
      </c>
      <c r="AE63" s="187">
        <f t="shared" si="4"/>
        <v>3</v>
      </c>
      <c r="AF63" s="187">
        <f t="shared" si="5"/>
        <v>27</v>
      </c>
      <c r="AG63" s="188">
        <f t="shared" si="6"/>
        <v>9</v>
      </c>
      <c r="AH63" s="189">
        <f t="shared" si="7"/>
        <v>2.7E-2</v>
      </c>
      <c r="AI63" s="188">
        <f t="shared" ca="1" si="8"/>
        <v>-2.4E-2</v>
      </c>
      <c r="AJ63" s="192" t="s">
        <v>235</v>
      </c>
    </row>
    <row r="64" spans="1:36" ht="42" customHeight="1" x14ac:dyDescent="0.25">
      <c r="A64" s="154" t="s">
        <v>46</v>
      </c>
      <c r="B64" s="143" t="s">
        <v>93</v>
      </c>
      <c r="C64" s="142" t="s">
        <v>141</v>
      </c>
      <c r="D64" s="142" t="s">
        <v>96</v>
      </c>
      <c r="E64" s="142" t="s">
        <v>165</v>
      </c>
      <c r="F64" s="144" t="s">
        <v>240</v>
      </c>
      <c r="G64" s="44" t="str">
        <f t="shared" si="0"/>
        <v>Director de Gestión Corporativa y CID</v>
      </c>
      <c r="H64" s="137">
        <v>44228</v>
      </c>
      <c r="I64" s="137">
        <v>44236</v>
      </c>
      <c r="J64" s="61"/>
      <c r="K64" s="61"/>
      <c r="L64" s="61"/>
      <c r="M64" s="61"/>
      <c r="N64" s="61"/>
      <c r="O64" s="61"/>
      <c r="P64" s="61"/>
      <c r="Q64" s="61"/>
      <c r="R64" s="61"/>
      <c r="S64" s="61"/>
      <c r="T64" s="61"/>
      <c r="U64" s="61"/>
      <c r="V64" s="142" t="s">
        <v>332</v>
      </c>
      <c r="W64" s="212">
        <v>1E-3</v>
      </c>
      <c r="X64" s="137">
        <v>44237</v>
      </c>
      <c r="Y64" s="72" t="s">
        <v>406</v>
      </c>
      <c r="Z64" s="143" t="s">
        <v>433</v>
      </c>
      <c r="AA64" s="142" t="s">
        <v>152</v>
      </c>
      <c r="AB64" s="147">
        <f t="shared" ca="1" si="1"/>
        <v>1E-3</v>
      </c>
      <c r="AC64" s="147">
        <f t="shared" ca="1" si="2"/>
        <v>0</v>
      </c>
      <c r="AD64" s="186">
        <f t="shared" si="3"/>
        <v>2</v>
      </c>
      <c r="AE64" s="187">
        <f t="shared" si="4"/>
        <v>8</v>
      </c>
      <c r="AF64" s="187">
        <f t="shared" si="5"/>
        <v>27</v>
      </c>
      <c r="AG64" s="188">
        <f t="shared" si="6"/>
        <v>3.375</v>
      </c>
      <c r="AH64" s="189">
        <f t="shared" si="7"/>
        <v>3.375E-3</v>
      </c>
      <c r="AI64" s="188">
        <f t="shared" ca="1" si="8"/>
        <v>-2.3749999999999999E-3</v>
      </c>
      <c r="AJ64" s="192" t="s">
        <v>235</v>
      </c>
    </row>
    <row r="65" spans="1:36" ht="42" customHeight="1" x14ac:dyDescent="0.25">
      <c r="A65" s="154" t="s">
        <v>44</v>
      </c>
      <c r="B65" s="143" t="s">
        <v>92</v>
      </c>
      <c r="C65" s="142" t="s">
        <v>89</v>
      </c>
      <c r="D65" s="142" t="s">
        <v>96</v>
      </c>
      <c r="E65" s="142" t="s">
        <v>165</v>
      </c>
      <c r="F65" s="43" t="s">
        <v>203</v>
      </c>
      <c r="G65" s="44" t="str">
        <f t="shared" si="0"/>
        <v>Subdirector Financiero</v>
      </c>
      <c r="H65" s="137">
        <v>44228</v>
      </c>
      <c r="I65" s="137">
        <v>44236</v>
      </c>
      <c r="J65" s="61"/>
      <c r="K65" s="61"/>
      <c r="L65" s="61"/>
      <c r="M65" s="61"/>
      <c r="N65" s="61"/>
      <c r="O65" s="61"/>
      <c r="P65" s="61"/>
      <c r="Q65" s="61"/>
      <c r="R65" s="61"/>
      <c r="S65" s="61"/>
      <c r="T65" s="61"/>
      <c r="U65" s="61"/>
      <c r="V65" s="142" t="s">
        <v>123</v>
      </c>
      <c r="W65" s="212">
        <v>1E-3</v>
      </c>
      <c r="X65" s="137">
        <v>44237</v>
      </c>
      <c r="Y65" s="72" t="s">
        <v>408</v>
      </c>
      <c r="Z65" s="72" t="s">
        <v>276</v>
      </c>
      <c r="AA65" s="142" t="s">
        <v>152</v>
      </c>
      <c r="AB65" s="214">
        <v>1E-3</v>
      </c>
      <c r="AC65" s="147">
        <f t="shared" si="2"/>
        <v>0</v>
      </c>
      <c r="AD65" s="186">
        <f t="shared" si="3"/>
        <v>2</v>
      </c>
      <c r="AE65" s="187">
        <f t="shared" si="4"/>
        <v>8</v>
      </c>
      <c r="AF65" s="187">
        <f t="shared" si="5"/>
        <v>27</v>
      </c>
      <c r="AG65" s="188">
        <f t="shared" si="6"/>
        <v>3.375</v>
      </c>
      <c r="AH65" s="189">
        <f t="shared" si="7"/>
        <v>3.375E-3</v>
      </c>
      <c r="AI65" s="188">
        <f t="shared" si="8"/>
        <v>-2.3749999999999999E-3</v>
      </c>
      <c r="AJ65" s="192" t="s">
        <v>235</v>
      </c>
    </row>
    <row r="66" spans="1:36" ht="42" customHeight="1" x14ac:dyDescent="0.25">
      <c r="A66" s="142" t="s">
        <v>47</v>
      </c>
      <c r="B66" s="146" t="s">
        <v>192</v>
      </c>
      <c r="C66" s="142" t="s">
        <v>90</v>
      </c>
      <c r="D66" s="142" t="s">
        <v>97</v>
      </c>
      <c r="E66" s="142" t="s">
        <v>165</v>
      </c>
      <c r="F66" s="43" t="s">
        <v>263</v>
      </c>
      <c r="G66" s="44" t="str">
        <f t="shared" si="0"/>
        <v>Asesor de Control Interno</v>
      </c>
      <c r="H66" s="137">
        <v>44228</v>
      </c>
      <c r="I66" s="137">
        <v>44540</v>
      </c>
      <c r="J66" s="61"/>
      <c r="K66" s="61"/>
      <c r="L66" s="61"/>
      <c r="M66" s="61"/>
      <c r="N66" s="61"/>
      <c r="O66" s="61"/>
      <c r="P66" s="61"/>
      <c r="Q66" s="61"/>
      <c r="R66" s="61"/>
      <c r="S66" s="61"/>
      <c r="T66" s="61"/>
      <c r="U66" s="61"/>
      <c r="V66" s="142" t="s">
        <v>215</v>
      </c>
      <c r="W66" s="215">
        <v>7.4999999999999997E-3</v>
      </c>
      <c r="X66" s="213"/>
      <c r="Y66" s="72"/>
      <c r="Z66" s="72"/>
      <c r="AA66" s="41"/>
      <c r="AB66" s="70">
        <f t="shared" ref="AB66:AB71" ca="1" si="9">IF(ISERROR(VLOOKUP(AA66,INDIRECT(VLOOKUP(A66,ACTA,2,0)&amp;"A"),2,0))=TRUE,0,W66*(VLOOKUP(AA66,INDIRECT(VLOOKUP(A66,ACTA,2,0)&amp;"A"),2,0)))</f>
        <v>0</v>
      </c>
      <c r="AC66" s="70">
        <f t="shared" ca="1" si="2"/>
        <v>7.4999999999999997E-3</v>
      </c>
      <c r="AD66" s="186">
        <f t="shared" si="3"/>
        <v>12</v>
      </c>
      <c r="AE66" s="187">
        <f t="shared" si="4"/>
        <v>312</v>
      </c>
      <c r="AF66" s="187">
        <f t="shared" si="5"/>
        <v>27</v>
      </c>
      <c r="AG66" s="188">
        <f t="shared" si="6"/>
        <v>8.6538461538461536E-2</v>
      </c>
      <c r="AH66" s="189">
        <f t="shared" si="7"/>
        <v>6.4903846153846153E-4</v>
      </c>
      <c r="AI66" s="188">
        <f t="shared" ca="1" si="8"/>
        <v>-6.4903846153846153E-4</v>
      </c>
      <c r="AJ66" s="190"/>
    </row>
    <row r="67" spans="1:36" ht="42" customHeight="1" x14ac:dyDescent="0.25">
      <c r="A67" s="142" t="s">
        <v>47</v>
      </c>
      <c r="B67" s="146" t="s">
        <v>192</v>
      </c>
      <c r="C67" s="142" t="s">
        <v>90</v>
      </c>
      <c r="D67" s="142" t="s">
        <v>97</v>
      </c>
      <c r="E67" s="142" t="s">
        <v>165</v>
      </c>
      <c r="F67" s="144" t="s">
        <v>159</v>
      </c>
      <c r="G67" s="44" t="str">
        <f t="shared" si="0"/>
        <v>Asesor de Control Interno</v>
      </c>
      <c r="H67" s="137">
        <v>44228</v>
      </c>
      <c r="I67" s="137">
        <v>44540</v>
      </c>
      <c r="J67" s="61"/>
      <c r="K67" s="61"/>
      <c r="L67" s="61"/>
      <c r="M67" s="61"/>
      <c r="N67" s="61"/>
      <c r="O67" s="61"/>
      <c r="P67" s="61"/>
      <c r="Q67" s="61"/>
      <c r="R67" s="61"/>
      <c r="S67" s="61"/>
      <c r="T67" s="61"/>
      <c r="U67" s="61"/>
      <c r="V67" s="41" t="s">
        <v>215</v>
      </c>
      <c r="W67" s="215">
        <v>7.4999999999999997E-3</v>
      </c>
      <c r="X67" s="213"/>
      <c r="Y67" s="72"/>
      <c r="Z67" s="72"/>
      <c r="AA67" s="41"/>
      <c r="AB67" s="70">
        <f t="shared" ca="1" si="9"/>
        <v>0</v>
      </c>
      <c r="AC67" s="70">
        <f t="shared" ca="1" si="2"/>
        <v>7.4999999999999997E-3</v>
      </c>
      <c r="AD67" s="186">
        <f t="shared" si="3"/>
        <v>12</v>
      </c>
      <c r="AE67" s="187">
        <f t="shared" si="4"/>
        <v>312</v>
      </c>
      <c r="AF67" s="187">
        <f t="shared" si="5"/>
        <v>27</v>
      </c>
      <c r="AG67" s="188">
        <f t="shared" si="6"/>
        <v>8.6538461538461536E-2</v>
      </c>
      <c r="AH67" s="189">
        <f t="shared" si="7"/>
        <v>6.4903846153846153E-4</v>
      </c>
      <c r="AI67" s="188">
        <f t="shared" ca="1" si="8"/>
        <v>-6.4903846153846153E-4</v>
      </c>
      <c r="AJ67" s="190"/>
    </row>
    <row r="68" spans="1:36" ht="42" customHeight="1" x14ac:dyDescent="0.25">
      <c r="A68" s="154" t="s">
        <v>45</v>
      </c>
      <c r="B68" s="143" t="s">
        <v>356</v>
      </c>
      <c r="C68" s="142" t="s">
        <v>90</v>
      </c>
      <c r="D68" s="142" t="s">
        <v>97</v>
      </c>
      <c r="E68" s="142" t="s">
        <v>165</v>
      </c>
      <c r="F68" s="144" t="s">
        <v>203</v>
      </c>
      <c r="G68" s="44" t="str">
        <f t="shared" si="0"/>
        <v>Asesor de Control Interno</v>
      </c>
      <c r="H68" s="137">
        <v>44230</v>
      </c>
      <c r="I68" s="137">
        <v>44249</v>
      </c>
      <c r="J68" s="61"/>
      <c r="K68" s="61"/>
      <c r="L68" s="61"/>
      <c r="M68" s="61"/>
      <c r="N68" s="61"/>
      <c r="O68" s="61"/>
      <c r="P68" s="61"/>
      <c r="Q68" s="61"/>
      <c r="R68" s="61"/>
      <c r="S68" s="61"/>
      <c r="T68" s="61"/>
      <c r="U68" s="61"/>
      <c r="V68" s="41" t="s">
        <v>332</v>
      </c>
      <c r="W68" s="212">
        <v>1E-3</v>
      </c>
      <c r="X68" s="137">
        <v>44245</v>
      </c>
      <c r="Y68" s="72" t="s">
        <v>435</v>
      </c>
      <c r="Z68" s="72" t="s">
        <v>409</v>
      </c>
      <c r="AA68" s="41" t="s">
        <v>57</v>
      </c>
      <c r="AB68" s="147">
        <f t="shared" ca="1" si="9"/>
        <v>1E-3</v>
      </c>
      <c r="AC68" s="147">
        <f t="shared" ca="1" si="2"/>
        <v>0</v>
      </c>
      <c r="AD68" s="186">
        <f t="shared" si="3"/>
        <v>2</v>
      </c>
      <c r="AE68" s="187">
        <f t="shared" si="4"/>
        <v>19</v>
      </c>
      <c r="AF68" s="187">
        <f t="shared" si="5"/>
        <v>25</v>
      </c>
      <c r="AG68" s="188">
        <f t="shared" si="6"/>
        <v>1.3157894736842106</v>
      </c>
      <c r="AH68" s="189">
        <f t="shared" si="7"/>
        <v>1.3157894736842107E-3</v>
      </c>
      <c r="AI68" s="188">
        <f t="shared" ca="1" si="8"/>
        <v>-3.1578947368421069E-4</v>
      </c>
      <c r="AJ68" s="192" t="s">
        <v>235</v>
      </c>
    </row>
    <row r="69" spans="1:36" ht="42" customHeight="1" x14ac:dyDescent="0.25">
      <c r="A69" s="154" t="s">
        <v>44</v>
      </c>
      <c r="B69" s="72" t="s">
        <v>312</v>
      </c>
      <c r="C69" s="142" t="s">
        <v>89</v>
      </c>
      <c r="D69" s="142" t="s">
        <v>96</v>
      </c>
      <c r="E69" s="142" t="s">
        <v>165</v>
      </c>
      <c r="F69" s="43" t="s">
        <v>240</v>
      </c>
      <c r="G69" s="44" t="str">
        <f t="shared" si="0"/>
        <v>Subdirector Financiero</v>
      </c>
      <c r="H69" s="184">
        <v>44237</v>
      </c>
      <c r="I69" s="184">
        <v>44251</v>
      </c>
      <c r="J69" s="61"/>
      <c r="K69" s="61"/>
      <c r="L69" s="61"/>
      <c r="M69" s="61"/>
      <c r="N69" s="61"/>
      <c r="O69" s="61"/>
      <c r="P69" s="61"/>
      <c r="Q69" s="61"/>
      <c r="R69" s="61"/>
      <c r="S69" s="61"/>
      <c r="T69" s="61"/>
      <c r="U69" s="61"/>
      <c r="V69" s="142" t="s">
        <v>123</v>
      </c>
      <c r="W69" s="212">
        <v>0.01</v>
      </c>
      <c r="X69" s="137">
        <v>44253</v>
      </c>
      <c r="Y69" s="72" t="s">
        <v>413</v>
      </c>
      <c r="Z69" s="72" t="s">
        <v>464</v>
      </c>
      <c r="AA69" s="41" t="s">
        <v>176</v>
      </c>
      <c r="AB69" s="147">
        <f t="shared" ca="1" si="9"/>
        <v>9.9999999999999985E-3</v>
      </c>
      <c r="AC69" s="147">
        <f t="shared" ca="1" si="2"/>
        <v>0</v>
      </c>
      <c r="AD69" s="186">
        <f t="shared" si="3"/>
        <v>2</v>
      </c>
      <c r="AE69" s="187">
        <f t="shared" si="4"/>
        <v>14</v>
      </c>
      <c r="AF69" s="187">
        <f t="shared" si="5"/>
        <v>18</v>
      </c>
      <c r="AG69" s="188">
        <f t="shared" si="6"/>
        <v>1.2857142857142858</v>
      </c>
      <c r="AH69" s="189">
        <f t="shared" si="7"/>
        <v>1.2857142857142859E-2</v>
      </c>
      <c r="AI69" s="188">
        <f t="shared" ca="1" si="8"/>
        <v>-2.8571428571428602E-3</v>
      </c>
      <c r="AJ69" s="192" t="s">
        <v>235</v>
      </c>
    </row>
    <row r="70" spans="1:36" ht="42" customHeight="1" x14ac:dyDescent="0.25">
      <c r="A70" s="154" t="s">
        <v>44</v>
      </c>
      <c r="B70" s="72" t="s">
        <v>312</v>
      </c>
      <c r="C70" s="142" t="s">
        <v>89</v>
      </c>
      <c r="D70" s="142" t="s">
        <v>96</v>
      </c>
      <c r="E70" s="142" t="s">
        <v>165</v>
      </c>
      <c r="F70" s="144" t="s">
        <v>159</v>
      </c>
      <c r="G70" s="44" t="str">
        <f t="shared" si="0"/>
        <v>Subdirector Financiero</v>
      </c>
      <c r="H70" s="184">
        <v>44237</v>
      </c>
      <c r="I70" s="184">
        <v>44251</v>
      </c>
      <c r="J70" s="61"/>
      <c r="K70" s="61"/>
      <c r="L70" s="61"/>
      <c r="M70" s="61"/>
      <c r="N70" s="61"/>
      <c r="O70" s="61"/>
      <c r="P70" s="61"/>
      <c r="Q70" s="61"/>
      <c r="R70" s="61"/>
      <c r="S70" s="61"/>
      <c r="T70" s="61"/>
      <c r="U70" s="61"/>
      <c r="V70" s="41" t="s">
        <v>123</v>
      </c>
      <c r="W70" s="212">
        <v>0.01</v>
      </c>
      <c r="X70" s="137">
        <v>44253</v>
      </c>
      <c r="Y70" s="72" t="s">
        <v>413</v>
      </c>
      <c r="Z70" s="72" t="s">
        <v>464</v>
      </c>
      <c r="AA70" s="41" t="s">
        <v>176</v>
      </c>
      <c r="AB70" s="147">
        <f t="shared" ca="1" si="9"/>
        <v>9.9999999999999985E-3</v>
      </c>
      <c r="AC70" s="147">
        <f t="shared" ca="1" si="2"/>
        <v>0</v>
      </c>
      <c r="AD70" s="186">
        <f t="shared" si="3"/>
        <v>2</v>
      </c>
      <c r="AE70" s="187">
        <f t="shared" si="4"/>
        <v>14</v>
      </c>
      <c r="AF70" s="187">
        <f t="shared" si="5"/>
        <v>18</v>
      </c>
      <c r="AG70" s="188">
        <f t="shared" si="6"/>
        <v>1.2857142857142858</v>
      </c>
      <c r="AH70" s="189">
        <f t="shared" si="7"/>
        <v>1.2857142857142859E-2</v>
      </c>
      <c r="AI70" s="188">
        <f t="shared" ca="1" si="8"/>
        <v>-2.8571428571428602E-3</v>
      </c>
      <c r="AJ70" s="192" t="s">
        <v>235</v>
      </c>
    </row>
    <row r="71" spans="1:36" ht="42" customHeight="1" x14ac:dyDescent="0.25">
      <c r="A71" s="142" t="s">
        <v>43</v>
      </c>
      <c r="B71" s="143" t="s">
        <v>305</v>
      </c>
      <c r="C71" s="142" t="s">
        <v>90</v>
      </c>
      <c r="D71" s="142" t="s">
        <v>97</v>
      </c>
      <c r="E71" s="142" t="s">
        <v>165</v>
      </c>
      <c r="F71" s="144" t="s">
        <v>239</v>
      </c>
      <c r="G71" s="44" t="str">
        <f t="shared" si="0"/>
        <v>Asesor de Control Interno</v>
      </c>
      <c r="H71" s="137">
        <v>44241</v>
      </c>
      <c r="I71" s="137">
        <v>44260</v>
      </c>
      <c r="J71" s="61"/>
      <c r="K71" s="61"/>
      <c r="L71" s="61"/>
      <c r="M71" s="61"/>
      <c r="N71" s="61"/>
      <c r="O71" s="61"/>
      <c r="P71" s="61"/>
      <c r="Q71" s="61"/>
      <c r="R71" s="61"/>
      <c r="S71" s="61"/>
      <c r="T71" s="61"/>
      <c r="U71" s="61"/>
      <c r="V71" s="41" t="s">
        <v>334</v>
      </c>
      <c r="W71" s="215">
        <v>2.5000000000000001E-3</v>
      </c>
      <c r="X71" s="137"/>
      <c r="Y71" s="143" t="s">
        <v>438</v>
      </c>
      <c r="Z71" s="72" t="s">
        <v>515</v>
      </c>
      <c r="AA71" s="41" t="s">
        <v>174</v>
      </c>
      <c r="AB71" s="152">
        <f t="shared" ca="1" si="9"/>
        <v>2.2500000000000003E-3</v>
      </c>
      <c r="AC71" s="152">
        <f t="shared" ca="1" si="2"/>
        <v>2.4999999999999979E-4</v>
      </c>
      <c r="AD71" s="186">
        <f t="shared" ref="AD71" si="10">MONTH(I71)</f>
        <v>3</v>
      </c>
      <c r="AE71" s="187">
        <f>+I71-H71</f>
        <v>19</v>
      </c>
      <c r="AF71" s="187">
        <f>+$AF$18-H71</f>
        <v>14</v>
      </c>
      <c r="AG71" s="188">
        <f>+AF71/AE71</f>
        <v>0.73684210526315785</v>
      </c>
      <c r="AH71" s="189">
        <f>+AG71*W71</f>
        <v>1.8421052631578947E-3</v>
      </c>
      <c r="AI71" s="188">
        <f ca="1">+AB71-AH71</f>
        <v>4.0789473684210557E-4</v>
      </c>
      <c r="AJ71" s="194" t="s">
        <v>412</v>
      </c>
    </row>
    <row r="72" spans="1:36" ht="42" customHeight="1" x14ac:dyDescent="0.25">
      <c r="A72" s="154" t="s">
        <v>46</v>
      </c>
      <c r="B72" s="143" t="s">
        <v>219</v>
      </c>
      <c r="C72" s="142" t="s">
        <v>89</v>
      </c>
      <c r="D72" s="142" t="s">
        <v>96</v>
      </c>
      <c r="E72" s="142" t="s">
        <v>165</v>
      </c>
      <c r="F72" s="144" t="s">
        <v>240</v>
      </c>
      <c r="G72" s="44" t="str">
        <f t="shared" si="0"/>
        <v>Subdirector Financiero</v>
      </c>
      <c r="H72" s="137">
        <v>44250</v>
      </c>
      <c r="I72" s="137">
        <v>44253</v>
      </c>
      <c r="J72" s="61"/>
      <c r="K72" s="61"/>
      <c r="L72" s="61"/>
      <c r="M72" s="61"/>
      <c r="N72" s="61"/>
      <c r="O72" s="61"/>
      <c r="P72" s="61"/>
      <c r="Q72" s="61"/>
      <c r="R72" s="61"/>
      <c r="S72" s="61"/>
      <c r="T72" s="61"/>
      <c r="U72" s="61"/>
      <c r="V72" s="142" t="s">
        <v>332</v>
      </c>
      <c r="W72" s="212">
        <v>2E-3</v>
      </c>
      <c r="X72" s="137">
        <v>44253</v>
      </c>
      <c r="Y72" s="79" t="s">
        <v>414</v>
      </c>
      <c r="Z72" s="72" t="s">
        <v>464</v>
      </c>
      <c r="AA72" s="142" t="s">
        <v>176</v>
      </c>
      <c r="AB72" s="214">
        <v>2E-3</v>
      </c>
      <c r="AC72" s="147">
        <f t="shared" si="2"/>
        <v>0</v>
      </c>
      <c r="AD72" s="186">
        <f t="shared" ref="AD72:AD135" si="11">MONTH(I72)</f>
        <v>2</v>
      </c>
      <c r="AE72" s="187">
        <f t="shared" ref="AE72:AE135" si="12">+I72-H72</f>
        <v>3</v>
      </c>
      <c r="AF72" s="187">
        <f t="shared" ref="AF72:AF135" si="13">+$AF$18-H72</f>
        <v>5</v>
      </c>
      <c r="AG72" s="188">
        <f t="shared" ref="AG72:AG135" si="14">+AF72/AE72</f>
        <v>1.6666666666666667</v>
      </c>
      <c r="AH72" s="189">
        <f t="shared" ref="AH72:AH135" si="15">+AG72*W72</f>
        <v>3.3333333333333335E-3</v>
      </c>
      <c r="AI72" s="188">
        <f t="shared" ref="AI72:AI135" si="16">+AB72-AH72</f>
        <v>-1.3333333333333335E-3</v>
      </c>
      <c r="AJ72" s="192" t="s">
        <v>235</v>
      </c>
    </row>
    <row r="73" spans="1:36" ht="42" customHeight="1" x14ac:dyDescent="0.25">
      <c r="A73" s="154" t="s">
        <v>46</v>
      </c>
      <c r="B73" s="143" t="s">
        <v>313</v>
      </c>
      <c r="C73" s="142" t="s">
        <v>89</v>
      </c>
      <c r="D73" s="142" t="s">
        <v>96</v>
      </c>
      <c r="E73" s="142" t="s">
        <v>165</v>
      </c>
      <c r="F73" s="43" t="s">
        <v>240</v>
      </c>
      <c r="G73" s="44" t="str">
        <f t="shared" si="0"/>
        <v>Subdirector Financiero</v>
      </c>
      <c r="H73" s="137">
        <v>44250</v>
      </c>
      <c r="I73" s="137">
        <v>44253</v>
      </c>
      <c r="J73" s="61"/>
      <c r="K73" s="61"/>
      <c r="L73" s="61"/>
      <c r="M73" s="61"/>
      <c r="N73" s="61"/>
      <c r="O73" s="61"/>
      <c r="P73" s="61"/>
      <c r="Q73" s="61"/>
      <c r="R73" s="61"/>
      <c r="S73" s="61"/>
      <c r="T73" s="61"/>
      <c r="U73" s="61"/>
      <c r="V73" s="41" t="s">
        <v>332</v>
      </c>
      <c r="W73" s="212">
        <v>2E-3</v>
      </c>
      <c r="X73" s="137">
        <v>44253</v>
      </c>
      <c r="Y73" s="80" t="s">
        <v>410</v>
      </c>
      <c r="Z73" s="72" t="s">
        <v>464</v>
      </c>
      <c r="AA73" s="142" t="s">
        <v>152</v>
      </c>
      <c r="AB73" s="147">
        <f t="shared" ref="AB73:AB104" ca="1" si="17">IF(ISERROR(VLOOKUP(AA73,INDIRECT(VLOOKUP(A73,ACTA,2,0)&amp;"A"),2,0))=TRUE,0,W73*(VLOOKUP(AA73,INDIRECT(VLOOKUP(A73,ACTA,2,0)&amp;"A"),2,0)))</f>
        <v>2E-3</v>
      </c>
      <c r="AC73" s="147">
        <f t="shared" ca="1" si="2"/>
        <v>0</v>
      </c>
      <c r="AD73" s="186">
        <f t="shared" si="11"/>
        <v>2</v>
      </c>
      <c r="AE73" s="187">
        <f t="shared" si="12"/>
        <v>3</v>
      </c>
      <c r="AF73" s="187">
        <f t="shared" si="13"/>
        <v>5</v>
      </c>
      <c r="AG73" s="188">
        <f t="shared" si="14"/>
        <v>1.6666666666666667</v>
      </c>
      <c r="AH73" s="189">
        <f t="shared" si="15"/>
        <v>3.3333333333333335E-3</v>
      </c>
      <c r="AI73" s="188">
        <f t="shared" ca="1" si="16"/>
        <v>-1.3333333333333335E-3</v>
      </c>
      <c r="AJ73" s="192" t="s">
        <v>235</v>
      </c>
    </row>
    <row r="74" spans="1:36" ht="42" customHeight="1" x14ac:dyDescent="0.25">
      <c r="A74" s="142" t="s">
        <v>45</v>
      </c>
      <c r="B74" s="143" t="s">
        <v>289</v>
      </c>
      <c r="C74" s="142" t="s">
        <v>90</v>
      </c>
      <c r="D74" s="142" t="s">
        <v>97</v>
      </c>
      <c r="E74" s="142" t="s">
        <v>165</v>
      </c>
      <c r="F74" s="43" t="s">
        <v>239</v>
      </c>
      <c r="G74" s="44" t="str">
        <f t="shared" si="0"/>
        <v>Asesor de Control Interno</v>
      </c>
      <c r="H74" s="137">
        <v>44251</v>
      </c>
      <c r="I74" s="137">
        <v>44257</v>
      </c>
      <c r="J74" s="61"/>
      <c r="K74" s="61"/>
      <c r="L74" s="61"/>
      <c r="M74" s="61"/>
      <c r="N74" s="61"/>
      <c r="O74" s="61"/>
      <c r="P74" s="61"/>
      <c r="Q74" s="61"/>
      <c r="R74" s="61"/>
      <c r="S74" s="61"/>
      <c r="T74" s="61"/>
      <c r="U74" s="61"/>
      <c r="V74" s="41" t="s">
        <v>215</v>
      </c>
      <c r="W74" s="212">
        <v>3.0000000000000001E-3</v>
      </c>
      <c r="X74" s="137">
        <v>44258</v>
      </c>
      <c r="Y74" s="143" t="s">
        <v>399</v>
      </c>
      <c r="Z74" s="72" t="s">
        <v>514</v>
      </c>
      <c r="AA74" s="41" t="s">
        <v>57</v>
      </c>
      <c r="AB74" s="147">
        <f t="shared" ca="1" si="17"/>
        <v>3.0000000000000001E-3</v>
      </c>
      <c r="AC74" s="147">
        <f t="shared" ca="1" si="2"/>
        <v>0</v>
      </c>
      <c r="AD74" s="186">
        <f t="shared" si="11"/>
        <v>3</v>
      </c>
      <c r="AE74" s="187">
        <f t="shared" si="12"/>
        <v>6</v>
      </c>
      <c r="AF74" s="187">
        <f t="shared" si="13"/>
        <v>4</v>
      </c>
      <c r="AG74" s="188">
        <f t="shared" si="14"/>
        <v>0.66666666666666663</v>
      </c>
      <c r="AH74" s="189">
        <f t="shared" si="15"/>
        <v>2E-3</v>
      </c>
      <c r="AI74" s="188">
        <f t="shared" ca="1" si="16"/>
        <v>1E-3</v>
      </c>
      <c r="AJ74" s="192" t="s">
        <v>235</v>
      </c>
    </row>
    <row r="75" spans="1:36" ht="42" customHeight="1" x14ac:dyDescent="0.25">
      <c r="A75" s="154" t="s">
        <v>46</v>
      </c>
      <c r="B75" s="143" t="s">
        <v>314</v>
      </c>
      <c r="C75" s="142" t="s">
        <v>82</v>
      </c>
      <c r="D75" s="142" t="s">
        <v>100</v>
      </c>
      <c r="E75" s="142" t="s">
        <v>165</v>
      </c>
      <c r="F75" s="43" t="s">
        <v>239</v>
      </c>
      <c r="G75" s="44" t="str">
        <f t="shared" si="0"/>
        <v>Director de Mejoramiento de Barrios</v>
      </c>
      <c r="H75" s="137">
        <v>44252</v>
      </c>
      <c r="I75" s="137">
        <v>44257</v>
      </c>
      <c r="J75" s="61"/>
      <c r="K75" s="61"/>
      <c r="L75" s="61"/>
      <c r="M75" s="61"/>
      <c r="N75" s="61"/>
      <c r="O75" s="61"/>
      <c r="P75" s="61"/>
      <c r="Q75" s="61"/>
      <c r="R75" s="61"/>
      <c r="S75" s="61"/>
      <c r="T75" s="61"/>
      <c r="U75" s="61"/>
      <c r="V75" s="140" t="s">
        <v>317</v>
      </c>
      <c r="W75" s="212">
        <v>1E-3</v>
      </c>
      <c r="X75" s="137"/>
      <c r="Y75" s="72" t="s">
        <v>436</v>
      </c>
      <c r="Z75" s="72" t="s">
        <v>482</v>
      </c>
      <c r="AA75" s="41" t="s">
        <v>151</v>
      </c>
      <c r="AB75" s="152">
        <f t="shared" ca="1" si="17"/>
        <v>8.0000000000000004E-4</v>
      </c>
      <c r="AC75" s="152">
        <f t="shared" ca="1" si="2"/>
        <v>1.9999999999999998E-4</v>
      </c>
      <c r="AD75" s="186">
        <f t="shared" si="11"/>
        <v>3</v>
      </c>
      <c r="AE75" s="187">
        <f t="shared" si="12"/>
        <v>5</v>
      </c>
      <c r="AF75" s="187">
        <f t="shared" si="13"/>
        <v>3</v>
      </c>
      <c r="AG75" s="188">
        <f t="shared" si="14"/>
        <v>0.6</v>
      </c>
      <c r="AH75" s="189">
        <f t="shared" si="15"/>
        <v>5.9999999999999995E-4</v>
      </c>
      <c r="AI75" s="188">
        <f t="shared" ca="1" si="16"/>
        <v>2.0000000000000009E-4</v>
      </c>
      <c r="AJ75" s="194" t="s">
        <v>412</v>
      </c>
    </row>
    <row r="76" spans="1:36" ht="42" customHeight="1" x14ac:dyDescent="0.25">
      <c r="A76" s="154" t="s">
        <v>44</v>
      </c>
      <c r="B76" s="143" t="s">
        <v>331</v>
      </c>
      <c r="C76" s="142" t="s">
        <v>98</v>
      </c>
      <c r="D76" s="142" t="s">
        <v>98</v>
      </c>
      <c r="E76" s="142" t="s">
        <v>165</v>
      </c>
      <c r="F76" s="145" t="s">
        <v>239</v>
      </c>
      <c r="G76" s="44" t="str">
        <f t="shared" si="0"/>
        <v>Líderes de Cada Proceso</v>
      </c>
      <c r="H76" s="184">
        <v>44252</v>
      </c>
      <c r="I76" s="184">
        <v>44280</v>
      </c>
      <c r="J76" s="61"/>
      <c r="K76" s="61"/>
      <c r="L76" s="61"/>
      <c r="M76" s="61"/>
      <c r="N76" s="61"/>
      <c r="O76" s="61"/>
      <c r="P76" s="61"/>
      <c r="Q76" s="61"/>
      <c r="R76" s="61"/>
      <c r="S76" s="61"/>
      <c r="T76" s="61"/>
      <c r="U76" s="61"/>
      <c r="V76" s="142" t="s">
        <v>332</v>
      </c>
      <c r="W76" s="212">
        <v>0.02</v>
      </c>
      <c r="X76" s="137"/>
      <c r="Y76" s="80" t="s">
        <v>410</v>
      </c>
      <c r="Z76" s="72" t="s">
        <v>434</v>
      </c>
      <c r="AA76" s="142" t="s">
        <v>170</v>
      </c>
      <c r="AB76" s="152">
        <f t="shared" ca="1" si="17"/>
        <v>3.0000000000000001E-3</v>
      </c>
      <c r="AC76" s="152">
        <f t="shared" ca="1" si="2"/>
        <v>1.7000000000000001E-2</v>
      </c>
      <c r="AD76" s="186">
        <f t="shared" si="11"/>
        <v>3</v>
      </c>
      <c r="AE76" s="187">
        <f t="shared" si="12"/>
        <v>28</v>
      </c>
      <c r="AF76" s="187">
        <f t="shared" si="13"/>
        <v>3</v>
      </c>
      <c r="AG76" s="188">
        <f t="shared" si="14"/>
        <v>0.10714285714285714</v>
      </c>
      <c r="AH76" s="189">
        <f t="shared" si="15"/>
        <v>2.142857142857143E-3</v>
      </c>
      <c r="AI76" s="188">
        <f t="shared" ca="1" si="16"/>
        <v>8.571428571428571E-4</v>
      </c>
      <c r="AJ76" s="194" t="s">
        <v>412</v>
      </c>
    </row>
    <row r="77" spans="1:36" ht="42" customHeight="1" x14ac:dyDescent="0.25">
      <c r="A77" s="142" t="s">
        <v>45</v>
      </c>
      <c r="B77" s="143" t="s">
        <v>114</v>
      </c>
      <c r="C77" s="142" t="s">
        <v>90</v>
      </c>
      <c r="D77" s="142" t="s">
        <v>97</v>
      </c>
      <c r="E77" s="142" t="s">
        <v>165</v>
      </c>
      <c r="F77" s="144" t="s">
        <v>239</v>
      </c>
      <c r="G77" s="44" t="str">
        <f t="shared" si="0"/>
        <v>Asesor de Control Interno</v>
      </c>
      <c r="H77" s="137">
        <v>44257</v>
      </c>
      <c r="I77" s="137">
        <v>44259</v>
      </c>
      <c r="J77" s="61"/>
      <c r="K77" s="61"/>
      <c r="L77" s="61"/>
      <c r="M77" s="61"/>
      <c r="N77" s="61"/>
      <c r="O77" s="61"/>
      <c r="P77" s="61"/>
      <c r="Q77" s="61"/>
      <c r="R77" s="61"/>
      <c r="S77" s="61"/>
      <c r="T77" s="61"/>
      <c r="U77" s="61"/>
      <c r="V77" s="142" t="s">
        <v>202</v>
      </c>
      <c r="W77" s="212">
        <v>3.0000000000000001E-3</v>
      </c>
      <c r="X77" s="137"/>
      <c r="Y77" s="72"/>
      <c r="Z77" s="72"/>
      <c r="AA77" s="41"/>
      <c r="AB77" s="70">
        <f t="shared" ca="1" si="17"/>
        <v>0</v>
      </c>
      <c r="AC77" s="70">
        <f t="shared" ca="1" si="2"/>
        <v>3.0000000000000001E-3</v>
      </c>
      <c r="AD77" s="186">
        <f t="shared" si="11"/>
        <v>3</v>
      </c>
      <c r="AE77" s="187">
        <f t="shared" si="12"/>
        <v>2</v>
      </c>
      <c r="AF77" s="187">
        <f t="shared" si="13"/>
        <v>-2</v>
      </c>
      <c r="AG77" s="188">
        <f t="shared" si="14"/>
        <v>-1</v>
      </c>
      <c r="AH77" s="189">
        <f t="shared" si="15"/>
        <v>-3.0000000000000001E-3</v>
      </c>
      <c r="AI77" s="188">
        <f t="shared" ca="1" si="16"/>
        <v>3.0000000000000001E-3</v>
      </c>
      <c r="AJ77" s="190"/>
    </row>
    <row r="78" spans="1:36" ht="42" customHeight="1" x14ac:dyDescent="0.25">
      <c r="A78" s="154" t="s">
        <v>46</v>
      </c>
      <c r="B78" s="143" t="s">
        <v>93</v>
      </c>
      <c r="C78" s="142" t="s">
        <v>89</v>
      </c>
      <c r="D78" s="142" t="s">
        <v>96</v>
      </c>
      <c r="E78" s="142" t="s">
        <v>165</v>
      </c>
      <c r="F78" s="144" t="s">
        <v>240</v>
      </c>
      <c r="G78" s="44" t="str">
        <f t="shared" si="0"/>
        <v>Subdirector Financiero</v>
      </c>
      <c r="H78" s="137">
        <v>44257</v>
      </c>
      <c r="I78" s="137">
        <v>44264</v>
      </c>
      <c r="J78" s="61"/>
      <c r="K78" s="61"/>
      <c r="L78" s="61"/>
      <c r="M78" s="61"/>
      <c r="N78" s="61"/>
      <c r="O78" s="61"/>
      <c r="P78" s="61"/>
      <c r="Q78" s="61"/>
      <c r="R78" s="61"/>
      <c r="S78" s="61"/>
      <c r="T78" s="61"/>
      <c r="U78" s="61"/>
      <c r="V78" s="41" t="s">
        <v>332</v>
      </c>
      <c r="W78" s="212">
        <v>1E-3</v>
      </c>
      <c r="X78" s="137"/>
      <c r="Y78" s="72"/>
      <c r="Z78" s="72"/>
      <c r="AA78" s="41"/>
      <c r="AB78" s="70">
        <f t="shared" ca="1" si="17"/>
        <v>0</v>
      </c>
      <c r="AC78" s="70">
        <f t="shared" ca="1" si="2"/>
        <v>1E-3</v>
      </c>
      <c r="AD78" s="186">
        <f t="shared" si="11"/>
        <v>3</v>
      </c>
      <c r="AE78" s="187">
        <f t="shared" si="12"/>
        <v>7</v>
      </c>
      <c r="AF78" s="187">
        <f t="shared" si="13"/>
        <v>-2</v>
      </c>
      <c r="AG78" s="188">
        <f t="shared" si="14"/>
        <v>-0.2857142857142857</v>
      </c>
      <c r="AH78" s="189">
        <f t="shared" si="15"/>
        <v>-2.8571428571428568E-4</v>
      </c>
      <c r="AI78" s="188">
        <f t="shared" ca="1" si="16"/>
        <v>2.8571428571428568E-4</v>
      </c>
      <c r="AJ78" s="190"/>
    </row>
    <row r="79" spans="1:36" ht="42" customHeight="1" x14ac:dyDescent="0.25">
      <c r="A79" s="154" t="s">
        <v>44</v>
      </c>
      <c r="B79" s="143" t="s">
        <v>92</v>
      </c>
      <c r="C79" s="142" t="s">
        <v>89</v>
      </c>
      <c r="D79" s="142" t="s">
        <v>96</v>
      </c>
      <c r="E79" s="142" t="s">
        <v>165</v>
      </c>
      <c r="F79" s="144" t="s">
        <v>203</v>
      </c>
      <c r="G79" s="44" t="str">
        <f t="shared" si="0"/>
        <v>Subdirector Financiero</v>
      </c>
      <c r="H79" s="137">
        <v>44257</v>
      </c>
      <c r="I79" s="137">
        <v>44264</v>
      </c>
      <c r="J79" s="61"/>
      <c r="K79" s="61"/>
      <c r="L79" s="61"/>
      <c r="M79" s="61"/>
      <c r="N79" s="61"/>
      <c r="O79" s="61"/>
      <c r="P79" s="61"/>
      <c r="Q79" s="61"/>
      <c r="R79" s="61"/>
      <c r="S79" s="61"/>
      <c r="T79" s="61"/>
      <c r="U79" s="61"/>
      <c r="V79" s="41" t="s">
        <v>123</v>
      </c>
      <c r="W79" s="212">
        <v>1E-3</v>
      </c>
      <c r="X79" s="137"/>
      <c r="Y79" s="143"/>
      <c r="Z79" s="72"/>
      <c r="AA79" s="41"/>
      <c r="AB79" s="70">
        <f t="shared" ca="1" si="17"/>
        <v>0</v>
      </c>
      <c r="AC79" s="70">
        <f t="shared" ca="1" si="2"/>
        <v>1E-3</v>
      </c>
      <c r="AD79" s="186">
        <f t="shared" si="11"/>
        <v>3</v>
      </c>
      <c r="AE79" s="187">
        <f t="shared" si="12"/>
        <v>7</v>
      </c>
      <c r="AF79" s="187">
        <f t="shared" si="13"/>
        <v>-2</v>
      </c>
      <c r="AG79" s="188">
        <f t="shared" si="14"/>
        <v>-0.2857142857142857</v>
      </c>
      <c r="AH79" s="189">
        <f t="shared" si="15"/>
        <v>-2.8571428571428568E-4</v>
      </c>
      <c r="AI79" s="188">
        <f t="shared" ca="1" si="16"/>
        <v>2.8571428571428568E-4</v>
      </c>
      <c r="AJ79" s="190"/>
    </row>
    <row r="80" spans="1:36" ht="42" customHeight="1" x14ac:dyDescent="0.25">
      <c r="A80" s="142" t="s">
        <v>47</v>
      </c>
      <c r="B80" s="146" t="s">
        <v>309</v>
      </c>
      <c r="C80" s="142" t="s">
        <v>98</v>
      </c>
      <c r="D80" s="142" t="s">
        <v>98</v>
      </c>
      <c r="E80" s="142" t="s">
        <v>165</v>
      </c>
      <c r="F80" s="144" t="s">
        <v>263</v>
      </c>
      <c r="G80" s="44" t="str">
        <f t="shared" si="0"/>
        <v>Líderes de Cada Proceso</v>
      </c>
      <c r="H80" s="184">
        <v>44257</v>
      </c>
      <c r="I80" s="184">
        <v>44272</v>
      </c>
      <c r="J80" s="61"/>
      <c r="K80" s="61"/>
      <c r="L80" s="61"/>
      <c r="M80" s="61"/>
      <c r="N80" s="61"/>
      <c r="O80" s="61"/>
      <c r="P80" s="61"/>
      <c r="Q80" s="61"/>
      <c r="R80" s="61"/>
      <c r="S80" s="61"/>
      <c r="T80" s="61"/>
      <c r="U80" s="61"/>
      <c r="V80" s="142" t="s">
        <v>215</v>
      </c>
      <c r="W80" s="215">
        <v>0.03</v>
      </c>
      <c r="X80" s="137"/>
      <c r="Y80" s="72"/>
      <c r="Z80" s="72"/>
      <c r="AA80" s="41"/>
      <c r="AB80" s="70">
        <f t="shared" ca="1" si="17"/>
        <v>0</v>
      </c>
      <c r="AC80" s="70">
        <f t="shared" ca="1" si="2"/>
        <v>0.03</v>
      </c>
      <c r="AD80" s="186">
        <f t="shared" si="11"/>
        <v>3</v>
      </c>
      <c r="AE80" s="187">
        <f t="shared" si="12"/>
        <v>15</v>
      </c>
      <c r="AF80" s="187">
        <f t="shared" si="13"/>
        <v>-2</v>
      </c>
      <c r="AG80" s="188">
        <f t="shared" si="14"/>
        <v>-0.13333333333333333</v>
      </c>
      <c r="AH80" s="189">
        <f t="shared" si="15"/>
        <v>-4.0000000000000001E-3</v>
      </c>
      <c r="AI80" s="188">
        <f t="shared" ca="1" si="16"/>
        <v>4.0000000000000001E-3</v>
      </c>
      <c r="AJ80" s="196" t="s">
        <v>437</v>
      </c>
    </row>
    <row r="81" spans="1:36" ht="42" customHeight="1" x14ac:dyDescent="0.25">
      <c r="A81" s="142" t="s">
        <v>51</v>
      </c>
      <c r="B81" s="143" t="s">
        <v>323</v>
      </c>
      <c r="C81" s="142" t="s">
        <v>98</v>
      </c>
      <c r="D81" s="142" t="s">
        <v>98</v>
      </c>
      <c r="E81" s="142" t="s">
        <v>165</v>
      </c>
      <c r="F81" s="43" t="s">
        <v>263</v>
      </c>
      <c r="G81" s="44" t="str">
        <f t="shared" si="0"/>
        <v>Líderes de Cada Proceso</v>
      </c>
      <c r="H81" s="184">
        <v>44257</v>
      </c>
      <c r="I81" s="137">
        <v>44301</v>
      </c>
      <c r="J81" s="61"/>
      <c r="K81" s="61"/>
      <c r="L81" s="61"/>
      <c r="M81" s="61"/>
      <c r="N81" s="61"/>
      <c r="O81" s="61"/>
      <c r="P81" s="61"/>
      <c r="Q81" s="61"/>
      <c r="R81" s="61"/>
      <c r="S81" s="61"/>
      <c r="T81" s="61"/>
      <c r="U81" s="61"/>
      <c r="V81" s="41" t="s">
        <v>123</v>
      </c>
      <c r="W81" s="212">
        <v>5.0000000000000001E-3</v>
      </c>
      <c r="X81" s="137"/>
      <c r="Y81" s="72"/>
      <c r="Z81" s="72"/>
      <c r="AA81" s="41"/>
      <c r="AB81" s="70">
        <f t="shared" ca="1" si="17"/>
        <v>0</v>
      </c>
      <c r="AC81" s="70">
        <f t="shared" ca="1" si="2"/>
        <v>5.0000000000000001E-3</v>
      </c>
      <c r="AD81" s="186">
        <f t="shared" si="11"/>
        <v>4</v>
      </c>
      <c r="AE81" s="187">
        <f t="shared" si="12"/>
        <v>44</v>
      </c>
      <c r="AF81" s="187">
        <f t="shared" si="13"/>
        <v>-2</v>
      </c>
      <c r="AG81" s="188">
        <f t="shared" si="14"/>
        <v>-4.5454545454545456E-2</v>
      </c>
      <c r="AH81" s="189">
        <f t="shared" si="15"/>
        <v>-2.2727272727272727E-4</v>
      </c>
      <c r="AI81" s="188">
        <f t="shared" ca="1" si="16"/>
        <v>2.2727272727272727E-4</v>
      </c>
      <c r="AJ81" s="196" t="s">
        <v>437</v>
      </c>
    </row>
    <row r="82" spans="1:36" ht="42" customHeight="1" x14ac:dyDescent="0.25">
      <c r="A82" s="154" t="s">
        <v>44</v>
      </c>
      <c r="B82" s="143" t="s">
        <v>327</v>
      </c>
      <c r="C82" s="142" t="s">
        <v>73</v>
      </c>
      <c r="D82" s="142" t="s">
        <v>95</v>
      </c>
      <c r="E82" s="142" t="s">
        <v>165</v>
      </c>
      <c r="F82" s="43" t="s">
        <v>160</v>
      </c>
      <c r="G82" s="44" t="str">
        <f t="shared" si="0"/>
        <v xml:space="preserve">Jefe Oficina Asesora de Planeación </v>
      </c>
      <c r="H82" s="137">
        <v>44257</v>
      </c>
      <c r="I82" s="137">
        <v>44314</v>
      </c>
      <c r="J82" s="61"/>
      <c r="K82" s="61"/>
      <c r="L82" s="61"/>
      <c r="M82" s="61"/>
      <c r="N82" s="61"/>
      <c r="O82" s="61"/>
      <c r="P82" s="61"/>
      <c r="Q82" s="61"/>
      <c r="R82" s="61"/>
      <c r="S82" s="61"/>
      <c r="T82" s="61"/>
      <c r="U82" s="61"/>
      <c r="V82" s="142" t="s">
        <v>123</v>
      </c>
      <c r="W82" s="212">
        <v>0.01</v>
      </c>
      <c r="X82" s="137"/>
      <c r="Y82" s="72"/>
      <c r="Z82" s="72"/>
      <c r="AA82" s="41"/>
      <c r="AB82" s="70">
        <f t="shared" ca="1" si="17"/>
        <v>0</v>
      </c>
      <c r="AC82" s="70">
        <f t="shared" ca="1" si="2"/>
        <v>0.01</v>
      </c>
      <c r="AD82" s="186">
        <f t="shared" si="11"/>
        <v>4</v>
      </c>
      <c r="AE82" s="187">
        <f t="shared" si="12"/>
        <v>57</v>
      </c>
      <c r="AF82" s="187">
        <f t="shared" si="13"/>
        <v>-2</v>
      </c>
      <c r="AG82" s="188">
        <f t="shared" si="14"/>
        <v>-3.5087719298245612E-2</v>
      </c>
      <c r="AH82" s="189">
        <f t="shared" si="15"/>
        <v>-3.5087719298245611E-4</v>
      </c>
      <c r="AI82" s="188">
        <f t="shared" ca="1" si="16"/>
        <v>3.5087719298245611E-4</v>
      </c>
      <c r="AJ82" s="190"/>
    </row>
    <row r="83" spans="1:36" ht="42" customHeight="1" x14ac:dyDescent="0.25">
      <c r="A83" s="154" t="s">
        <v>44</v>
      </c>
      <c r="B83" s="143" t="s">
        <v>211</v>
      </c>
      <c r="C83" s="142" t="s">
        <v>79</v>
      </c>
      <c r="D83" s="142" t="s">
        <v>95</v>
      </c>
      <c r="E83" s="142" t="s">
        <v>165</v>
      </c>
      <c r="F83" s="43" t="s">
        <v>160</v>
      </c>
      <c r="G83" s="44" t="str">
        <f t="shared" ref="G83:G146" si="18">IF(LEN(C83)&gt;0,VLOOKUP(C83,PROCESO2,3,0),"")</f>
        <v>Jefe Oficina de Tecnologías de la Información y las Comunicaciones</v>
      </c>
      <c r="H83" s="137">
        <v>44263</v>
      </c>
      <c r="I83" s="137">
        <v>44274</v>
      </c>
      <c r="J83" s="61"/>
      <c r="K83" s="61"/>
      <c r="L83" s="61"/>
      <c r="M83" s="61"/>
      <c r="N83" s="61"/>
      <c r="O83" s="61"/>
      <c r="P83" s="61"/>
      <c r="Q83" s="61"/>
      <c r="R83" s="61"/>
      <c r="S83" s="61"/>
      <c r="T83" s="61"/>
      <c r="U83" s="61"/>
      <c r="V83" s="142" t="s">
        <v>202</v>
      </c>
      <c r="W83" s="212">
        <v>5.0000000000000001E-3</v>
      </c>
      <c r="X83" s="137"/>
      <c r="Y83" s="72"/>
      <c r="Z83" s="143"/>
      <c r="AA83" s="41"/>
      <c r="AB83" s="70">
        <f t="shared" ca="1" si="17"/>
        <v>0</v>
      </c>
      <c r="AC83" s="70">
        <f t="shared" ref="AC83:AC146" ca="1" si="19">+W83-AB83</f>
        <v>5.0000000000000001E-3</v>
      </c>
      <c r="AD83" s="186">
        <f t="shared" si="11"/>
        <v>3</v>
      </c>
      <c r="AE83" s="187">
        <f t="shared" si="12"/>
        <v>11</v>
      </c>
      <c r="AF83" s="187">
        <f t="shared" si="13"/>
        <v>-8</v>
      </c>
      <c r="AG83" s="188">
        <f t="shared" si="14"/>
        <v>-0.72727272727272729</v>
      </c>
      <c r="AH83" s="189">
        <f t="shared" si="15"/>
        <v>-3.6363636363636364E-3</v>
      </c>
      <c r="AI83" s="188">
        <f t="shared" ca="1" si="16"/>
        <v>3.6363636363636364E-3</v>
      </c>
      <c r="AJ83" s="190"/>
    </row>
    <row r="84" spans="1:36" ht="42" customHeight="1" x14ac:dyDescent="0.25">
      <c r="A84" s="142" t="s">
        <v>45</v>
      </c>
      <c r="B84" s="146" t="s">
        <v>210</v>
      </c>
      <c r="C84" s="142" t="s">
        <v>90</v>
      </c>
      <c r="D84" s="142" t="s">
        <v>97</v>
      </c>
      <c r="E84" s="142" t="s">
        <v>165</v>
      </c>
      <c r="F84" s="144" t="s">
        <v>239</v>
      </c>
      <c r="G84" s="44" t="str">
        <f t="shared" si="18"/>
        <v>Asesor de Control Interno</v>
      </c>
      <c r="H84" s="137">
        <v>44263</v>
      </c>
      <c r="I84" s="137">
        <v>44274</v>
      </c>
      <c r="J84" s="61"/>
      <c r="K84" s="61"/>
      <c r="L84" s="61"/>
      <c r="M84" s="61"/>
      <c r="N84" s="61"/>
      <c r="O84" s="61"/>
      <c r="P84" s="61"/>
      <c r="Q84" s="61"/>
      <c r="R84" s="61"/>
      <c r="S84" s="61"/>
      <c r="T84" s="61"/>
      <c r="U84" s="61"/>
      <c r="V84" s="41" t="s">
        <v>202</v>
      </c>
      <c r="W84" s="212">
        <v>5.0000000000000001E-3</v>
      </c>
      <c r="X84" s="137"/>
      <c r="Y84" s="143"/>
      <c r="Z84" s="72"/>
      <c r="AA84" s="41"/>
      <c r="AB84" s="70">
        <f t="shared" ca="1" si="17"/>
        <v>0</v>
      </c>
      <c r="AC84" s="70">
        <f t="shared" ca="1" si="19"/>
        <v>5.0000000000000001E-3</v>
      </c>
      <c r="AD84" s="186">
        <f t="shared" si="11"/>
        <v>3</v>
      </c>
      <c r="AE84" s="187">
        <f t="shared" si="12"/>
        <v>11</v>
      </c>
      <c r="AF84" s="187">
        <f t="shared" si="13"/>
        <v>-8</v>
      </c>
      <c r="AG84" s="188">
        <f t="shared" si="14"/>
        <v>-0.72727272727272729</v>
      </c>
      <c r="AH84" s="189">
        <f t="shared" si="15"/>
        <v>-3.6363636363636364E-3</v>
      </c>
      <c r="AI84" s="188">
        <f t="shared" ca="1" si="16"/>
        <v>3.6363636363636364E-3</v>
      </c>
      <c r="AJ84" s="190"/>
    </row>
    <row r="85" spans="1:36" ht="42" customHeight="1" x14ac:dyDescent="0.25">
      <c r="A85" s="142" t="s">
        <v>50</v>
      </c>
      <c r="B85" s="143" t="s">
        <v>319</v>
      </c>
      <c r="C85" s="142" t="s">
        <v>81</v>
      </c>
      <c r="D85" s="142" t="s">
        <v>100</v>
      </c>
      <c r="E85" s="142" t="s">
        <v>165</v>
      </c>
      <c r="F85" s="144" t="s">
        <v>263</v>
      </c>
      <c r="G85" s="44" t="str">
        <f t="shared" si="18"/>
        <v>Director de Urbanizaciones y Titulación</v>
      </c>
      <c r="H85" s="184">
        <v>44270</v>
      </c>
      <c r="I85" s="184">
        <v>44280</v>
      </c>
      <c r="J85" s="61"/>
      <c r="K85" s="61"/>
      <c r="L85" s="61"/>
      <c r="M85" s="61"/>
      <c r="N85" s="61"/>
      <c r="O85" s="61"/>
      <c r="P85" s="61"/>
      <c r="Q85" s="61"/>
      <c r="R85" s="61"/>
      <c r="S85" s="61"/>
      <c r="T85" s="61"/>
      <c r="U85" s="61"/>
      <c r="V85" s="142" t="s">
        <v>123</v>
      </c>
      <c r="W85" s="212">
        <v>3.7499999999999999E-3</v>
      </c>
      <c r="X85" s="137"/>
      <c r="Y85" s="72"/>
      <c r="Z85" s="72"/>
      <c r="AA85" s="41"/>
      <c r="AB85" s="70">
        <f t="shared" ca="1" si="17"/>
        <v>0</v>
      </c>
      <c r="AC85" s="70">
        <f t="shared" ca="1" si="19"/>
        <v>3.7499999999999999E-3</v>
      </c>
      <c r="AD85" s="186">
        <f t="shared" si="11"/>
        <v>3</v>
      </c>
      <c r="AE85" s="187">
        <f t="shared" si="12"/>
        <v>10</v>
      </c>
      <c r="AF85" s="187">
        <f t="shared" si="13"/>
        <v>-15</v>
      </c>
      <c r="AG85" s="188">
        <f t="shared" si="14"/>
        <v>-1.5</v>
      </c>
      <c r="AH85" s="189">
        <f t="shared" si="15"/>
        <v>-5.6249999999999998E-3</v>
      </c>
      <c r="AI85" s="188">
        <f t="shared" ca="1" si="16"/>
        <v>5.6249999999999998E-3</v>
      </c>
      <c r="AJ85" s="190"/>
    </row>
    <row r="86" spans="1:36" ht="42" customHeight="1" x14ac:dyDescent="0.25">
      <c r="A86" s="45" t="s">
        <v>50</v>
      </c>
      <c r="B86" s="143" t="s">
        <v>218</v>
      </c>
      <c r="C86" s="67" t="s">
        <v>141</v>
      </c>
      <c r="D86" s="45" t="s">
        <v>96</v>
      </c>
      <c r="E86" s="142" t="s">
        <v>165</v>
      </c>
      <c r="F86" s="43" t="s">
        <v>160</v>
      </c>
      <c r="G86" s="44" t="str">
        <f t="shared" si="18"/>
        <v>Director de Gestión Corporativa y CID</v>
      </c>
      <c r="H86" s="184">
        <v>44270</v>
      </c>
      <c r="I86" s="184">
        <v>44291</v>
      </c>
      <c r="J86" s="61"/>
      <c r="K86" s="61"/>
      <c r="L86" s="61"/>
      <c r="M86" s="61"/>
      <c r="N86" s="61"/>
      <c r="O86" s="61"/>
      <c r="P86" s="61"/>
      <c r="Q86" s="61"/>
      <c r="R86" s="61"/>
      <c r="S86" s="61"/>
      <c r="T86" s="61"/>
      <c r="U86" s="61"/>
      <c r="V86" s="142" t="s">
        <v>123</v>
      </c>
      <c r="W86" s="212">
        <v>5.0000000000000001E-3</v>
      </c>
      <c r="X86" s="137"/>
      <c r="Y86" s="72"/>
      <c r="Z86" s="72"/>
      <c r="AA86" s="41"/>
      <c r="AB86" s="70">
        <f t="shared" ca="1" si="17"/>
        <v>0</v>
      </c>
      <c r="AC86" s="70">
        <f t="shared" ca="1" si="19"/>
        <v>5.0000000000000001E-3</v>
      </c>
      <c r="AD86" s="186">
        <f t="shared" si="11"/>
        <v>4</v>
      </c>
      <c r="AE86" s="187">
        <f t="shared" si="12"/>
        <v>21</v>
      </c>
      <c r="AF86" s="187">
        <f t="shared" si="13"/>
        <v>-15</v>
      </c>
      <c r="AG86" s="188">
        <f t="shared" si="14"/>
        <v>-0.7142857142857143</v>
      </c>
      <c r="AH86" s="189">
        <f t="shared" si="15"/>
        <v>-3.5714285714285718E-3</v>
      </c>
      <c r="AI86" s="188">
        <f t="shared" ca="1" si="16"/>
        <v>3.5714285714285718E-3</v>
      </c>
      <c r="AJ86" s="196" t="s">
        <v>437</v>
      </c>
    </row>
    <row r="87" spans="1:36" ht="42" customHeight="1" x14ac:dyDescent="0.25">
      <c r="A87" s="142" t="s">
        <v>50</v>
      </c>
      <c r="B87" s="143" t="s">
        <v>241</v>
      </c>
      <c r="C87" s="142" t="s">
        <v>140</v>
      </c>
      <c r="D87" s="142" t="s">
        <v>100</v>
      </c>
      <c r="E87" s="142" t="s">
        <v>165</v>
      </c>
      <c r="F87" s="144" t="s">
        <v>159</v>
      </c>
      <c r="G87" s="44" t="str">
        <f t="shared" si="18"/>
        <v>Director de Gestión Corporativa y CID</v>
      </c>
      <c r="H87" s="184">
        <v>44270</v>
      </c>
      <c r="I87" s="137">
        <v>44294</v>
      </c>
      <c r="J87" s="61"/>
      <c r="K87" s="61"/>
      <c r="L87" s="61"/>
      <c r="M87" s="61"/>
      <c r="N87" s="61"/>
      <c r="O87" s="61"/>
      <c r="P87" s="61"/>
      <c r="Q87" s="61"/>
      <c r="R87" s="61"/>
      <c r="S87" s="61"/>
      <c r="T87" s="61"/>
      <c r="U87" s="61"/>
      <c r="V87" s="41" t="s">
        <v>123</v>
      </c>
      <c r="W87" s="212">
        <v>2.5000000000000001E-3</v>
      </c>
      <c r="X87" s="137"/>
      <c r="Y87" s="72"/>
      <c r="Z87" s="72"/>
      <c r="AA87" s="41"/>
      <c r="AB87" s="70">
        <f t="shared" ca="1" si="17"/>
        <v>0</v>
      </c>
      <c r="AC87" s="70">
        <f t="shared" ca="1" si="19"/>
        <v>2.5000000000000001E-3</v>
      </c>
      <c r="AD87" s="186">
        <f t="shared" si="11"/>
        <v>4</v>
      </c>
      <c r="AE87" s="187">
        <f t="shared" si="12"/>
        <v>24</v>
      </c>
      <c r="AF87" s="187">
        <f t="shared" si="13"/>
        <v>-15</v>
      </c>
      <c r="AG87" s="188">
        <f t="shared" si="14"/>
        <v>-0.625</v>
      </c>
      <c r="AH87" s="189">
        <f t="shared" si="15"/>
        <v>-1.5625000000000001E-3</v>
      </c>
      <c r="AI87" s="188">
        <f t="shared" ca="1" si="16"/>
        <v>1.5625000000000001E-3</v>
      </c>
      <c r="AJ87" s="190"/>
    </row>
    <row r="88" spans="1:36" ht="42" customHeight="1" x14ac:dyDescent="0.25">
      <c r="A88" s="142" t="s">
        <v>50</v>
      </c>
      <c r="B88" s="143" t="s">
        <v>352</v>
      </c>
      <c r="C88" s="142" t="s">
        <v>81</v>
      </c>
      <c r="D88" s="142" t="s">
        <v>100</v>
      </c>
      <c r="E88" s="142" t="s">
        <v>165</v>
      </c>
      <c r="F88" s="145" t="s">
        <v>159</v>
      </c>
      <c r="G88" s="44" t="str">
        <f t="shared" si="18"/>
        <v>Director de Urbanizaciones y Titulación</v>
      </c>
      <c r="H88" s="184">
        <v>44270</v>
      </c>
      <c r="I88" s="137">
        <v>44294</v>
      </c>
      <c r="J88" s="61"/>
      <c r="K88" s="61"/>
      <c r="L88" s="61"/>
      <c r="M88" s="61"/>
      <c r="N88" s="61"/>
      <c r="O88" s="61"/>
      <c r="P88" s="61"/>
      <c r="Q88" s="61"/>
      <c r="R88" s="61"/>
      <c r="S88" s="61"/>
      <c r="T88" s="61"/>
      <c r="U88" s="61"/>
      <c r="V88" s="142" t="s">
        <v>123</v>
      </c>
      <c r="W88" s="212">
        <v>5.0000000000000001E-3</v>
      </c>
      <c r="X88" s="137"/>
      <c r="Y88" s="80"/>
      <c r="Z88" s="72"/>
      <c r="AA88" s="41"/>
      <c r="AB88" s="70">
        <f t="shared" ca="1" si="17"/>
        <v>0</v>
      </c>
      <c r="AC88" s="70">
        <f t="shared" ca="1" si="19"/>
        <v>5.0000000000000001E-3</v>
      </c>
      <c r="AD88" s="186">
        <f t="shared" si="11"/>
        <v>4</v>
      </c>
      <c r="AE88" s="187">
        <f t="shared" si="12"/>
        <v>24</v>
      </c>
      <c r="AF88" s="187">
        <f t="shared" si="13"/>
        <v>-15</v>
      </c>
      <c r="AG88" s="188">
        <f t="shared" si="14"/>
        <v>-0.625</v>
      </c>
      <c r="AH88" s="189">
        <f t="shared" si="15"/>
        <v>-3.1250000000000002E-3</v>
      </c>
      <c r="AI88" s="188">
        <f t="shared" ca="1" si="16"/>
        <v>3.1250000000000002E-3</v>
      </c>
      <c r="AJ88" s="190"/>
    </row>
    <row r="89" spans="1:36" ht="42" customHeight="1" x14ac:dyDescent="0.25">
      <c r="A89" s="142" t="s">
        <v>43</v>
      </c>
      <c r="B89" s="143" t="s">
        <v>305</v>
      </c>
      <c r="C89" s="142" t="s">
        <v>90</v>
      </c>
      <c r="D89" s="142" t="s">
        <v>97</v>
      </c>
      <c r="E89" s="142" t="s">
        <v>165</v>
      </c>
      <c r="F89" s="144" t="s">
        <v>239</v>
      </c>
      <c r="G89" s="44" t="str">
        <f t="shared" si="18"/>
        <v>Asesor de Control Interno</v>
      </c>
      <c r="H89" s="184">
        <v>44270</v>
      </c>
      <c r="I89" s="184">
        <v>44298</v>
      </c>
      <c r="J89" s="61"/>
      <c r="K89" s="61"/>
      <c r="L89" s="61"/>
      <c r="M89" s="61"/>
      <c r="N89" s="61"/>
      <c r="O89" s="61"/>
      <c r="P89" s="61"/>
      <c r="Q89" s="61"/>
      <c r="R89" s="61"/>
      <c r="S89" s="61"/>
      <c r="T89" s="61"/>
      <c r="U89" s="61"/>
      <c r="V89" s="41" t="s">
        <v>334</v>
      </c>
      <c r="W89" s="215">
        <v>2.5000000000000001E-3</v>
      </c>
      <c r="X89" s="137"/>
      <c r="Y89" s="143"/>
      <c r="Z89" s="72"/>
      <c r="AA89" s="41"/>
      <c r="AB89" s="70">
        <f t="shared" ca="1" si="17"/>
        <v>0</v>
      </c>
      <c r="AC89" s="70">
        <f t="shared" ca="1" si="19"/>
        <v>2.5000000000000001E-3</v>
      </c>
      <c r="AD89" s="186">
        <f t="shared" si="11"/>
        <v>4</v>
      </c>
      <c r="AE89" s="187">
        <f t="shared" si="12"/>
        <v>28</v>
      </c>
      <c r="AF89" s="187">
        <f t="shared" si="13"/>
        <v>-15</v>
      </c>
      <c r="AG89" s="188">
        <f t="shared" si="14"/>
        <v>-0.5357142857142857</v>
      </c>
      <c r="AH89" s="189">
        <f t="shared" si="15"/>
        <v>-1.3392857142857143E-3</v>
      </c>
      <c r="AI89" s="188">
        <f t="shared" ca="1" si="16"/>
        <v>1.3392857142857143E-3</v>
      </c>
      <c r="AJ89" s="190"/>
    </row>
    <row r="90" spans="1:36" ht="42" customHeight="1" x14ac:dyDescent="0.25">
      <c r="A90" s="142" t="s">
        <v>45</v>
      </c>
      <c r="B90" s="143" t="s">
        <v>329</v>
      </c>
      <c r="C90" s="142" t="s">
        <v>90</v>
      </c>
      <c r="D90" s="142" t="s">
        <v>97</v>
      </c>
      <c r="E90" s="142" t="s">
        <v>165</v>
      </c>
      <c r="F90" s="144" t="s">
        <v>160</v>
      </c>
      <c r="G90" s="44" t="str">
        <f t="shared" si="18"/>
        <v>Asesor de Control Interno</v>
      </c>
      <c r="H90" s="137">
        <v>44270</v>
      </c>
      <c r="I90" s="137">
        <v>44454</v>
      </c>
      <c r="J90" s="61"/>
      <c r="K90" s="61"/>
      <c r="L90" s="61"/>
      <c r="M90" s="61"/>
      <c r="N90" s="61"/>
      <c r="O90" s="61"/>
      <c r="P90" s="61"/>
      <c r="Q90" s="61"/>
      <c r="R90" s="61"/>
      <c r="S90" s="61"/>
      <c r="T90" s="61"/>
      <c r="U90" s="61"/>
      <c r="V90" s="41" t="s">
        <v>334</v>
      </c>
      <c r="W90" s="212">
        <v>3.0000000000000001E-3</v>
      </c>
      <c r="X90" s="213"/>
      <c r="Y90" s="72"/>
      <c r="Z90" s="72"/>
      <c r="AA90" s="41"/>
      <c r="AB90" s="70">
        <f t="shared" ca="1" si="17"/>
        <v>0</v>
      </c>
      <c r="AC90" s="70">
        <f t="shared" ca="1" si="19"/>
        <v>3.0000000000000001E-3</v>
      </c>
      <c r="AD90" s="186">
        <f t="shared" si="11"/>
        <v>9</v>
      </c>
      <c r="AE90" s="187">
        <f t="shared" si="12"/>
        <v>184</v>
      </c>
      <c r="AF90" s="187">
        <f t="shared" si="13"/>
        <v>-15</v>
      </c>
      <c r="AG90" s="188">
        <f t="shared" si="14"/>
        <v>-8.1521739130434784E-2</v>
      </c>
      <c r="AH90" s="189">
        <f t="shared" si="15"/>
        <v>-2.4456521739130437E-4</v>
      </c>
      <c r="AI90" s="188">
        <f t="shared" ca="1" si="16"/>
        <v>2.4456521739130437E-4</v>
      </c>
      <c r="AJ90" s="190"/>
    </row>
    <row r="91" spans="1:36" ht="42" customHeight="1" x14ac:dyDescent="0.25">
      <c r="A91" s="142" t="s">
        <v>45</v>
      </c>
      <c r="B91" s="143" t="s">
        <v>329</v>
      </c>
      <c r="C91" s="142" t="s">
        <v>90</v>
      </c>
      <c r="D91" s="142" t="s">
        <v>97</v>
      </c>
      <c r="E91" s="142" t="s">
        <v>165</v>
      </c>
      <c r="F91" s="144" t="s">
        <v>260</v>
      </c>
      <c r="G91" s="44" t="str">
        <f t="shared" si="18"/>
        <v>Asesor de Control Interno</v>
      </c>
      <c r="H91" s="137">
        <v>44270</v>
      </c>
      <c r="I91" s="137">
        <v>44454</v>
      </c>
      <c r="J91" s="61"/>
      <c r="K91" s="61"/>
      <c r="L91" s="61"/>
      <c r="M91" s="61"/>
      <c r="N91" s="61"/>
      <c r="O91" s="61"/>
      <c r="P91" s="61"/>
      <c r="Q91" s="61"/>
      <c r="R91" s="61"/>
      <c r="S91" s="61"/>
      <c r="T91" s="61"/>
      <c r="U91" s="61"/>
      <c r="V91" s="142" t="s">
        <v>334</v>
      </c>
      <c r="W91" s="212">
        <v>3.0000000000000001E-3</v>
      </c>
      <c r="X91" s="213"/>
      <c r="Y91" s="72"/>
      <c r="Z91" s="72"/>
      <c r="AA91" s="41"/>
      <c r="AB91" s="70">
        <f t="shared" ca="1" si="17"/>
        <v>0</v>
      </c>
      <c r="AC91" s="70">
        <f t="shared" ca="1" si="19"/>
        <v>3.0000000000000001E-3</v>
      </c>
      <c r="AD91" s="186">
        <f t="shared" si="11"/>
        <v>9</v>
      </c>
      <c r="AE91" s="187">
        <f t="shared" si="12"/>
        <v>184</v>
      </c>
      <c r="AF91" s="187">
        <f t="shared" si="13"/>
        <v>-15</v>
      </c>
      <c r="AG91" s="188">
        <f t="shared" si="14"/>
        <v>-8.1521739130434784E-2</v>
      </c>
      <c r="AH91" s="189">
        <f t="shared" si="15"/>
        <v>-2.4456521739130437E-4</v>
      </c>
      <c r="AI91" s="188">
        <f t="shared" ca="1" si="16"/>
        <v>2.4456521739130437E-4</v>
      </c>
      <c r="AJ91" s="190"/>
    </row>
    <row r="92" spans="1:36" ht="42" customHeight="1" x14ac:dyDescent="0.25">
      <c r="A92" s="142" t="s">
        <v>45</v>
      </c>
      <c r="B92" s="143" t="s">
        <v>329</v>
      </c>
      <c r="C92" s="142" t="s">
        <v>90</v>
      </c>
      <c r="D92" s="142" t="s">
        <v>97</v>
      </c>
      <c r="E92" s="142" t="s">
        <v>165</v>
      </c>
      <c r="F92" s="144" t="s">
        <v>240</v>
      </c>
      <c r="G92" s="44" t="str">
        <f t="shared" si="18"/>
        <v>Asesor de Control Interno</v>
      </c>
      <c r="H92" s="137">
        <v>44270</v>
      </c>
      <c r="I92" s="137">
        <v>44454</v>
      </c>
      <c r="J92" s="61"/>
      <c r="K92" s="61"/>
      <c r="L92" s="61"/>
      <c r="M92" s="61"/>
      <c r="N92" s="61"/>
      <c r="O92" s="61"/>
      <c r="P92" s="61"/>
      <c r="Q92" s="61"/>
      <c r="R92" s="61"/>
      <c r="S92" s="61"/>
      <c r="T92" s="61"/>
      <c r="U92" s="61"/>
      <c r="V92" s="142" t="s">
        <v>334</v>
      </c>
      <c r="W92" s="212">
        <v>3.0000000000000001E-3</v>
      </c>
      <c r="X92" s="213"/>
      <c r="Y92" s="72"/>
      <c r="Z92" s="72"/>
      <c r="AA92" s="41"/>
      <c r="AB92" s="70">
        <f t="shared" ca="1" si="17"/>
        <v>0</v>
      </c>
      <c r="AC92" s="70">
        <f t="shared" ca="1" si="19"/>
        <v>3.0000000000000001E-3</v>
      </c>
      <c r="AD92" s="186">
        <f t="shared" si="11"/>
        <v>9</v>
      </c>
      <c r="AE92" s="187">
        <f t="shared" si="12"/>
        <v>184</v>
      </c>
      <c r="AF92" s="187">
        <f t="shared" si="13"/>
        <v>-15</v>
      </c>
      <c r="AG92" s="188">
        <f t="shared" si="14"/>
        <v>-8.1521739130434784E-2</v>
      </c>
      <c r="AH92" s="189">
        <f t="shared" si="15"/>
        <v>-2.4456521739130437E-4</v>
      </c>
      <c r="AI92" s="188">
        <f t="shared" ca="1" si="16"/>
        <v>2.4456521739130437E-4</v>
      </c>
      <c r="AJ92" s="190"/>
    </row>
    <row r="93" spans="1:36" ht="42" customHeight="1" x14ac:dyDescent="0.25">
      <c r="A93" s="142" t="s">
        <v>45</v>
      </c>
      <c r="B93" s="143" t="s">
        <v>329</v>
      </c>
      <c r="C93" s="142" t="s">
        <v>90</v>
      </c>
      <c r="D93" s="142" t="s">
        <v>97</v>
      </c>
      <c r="E93" s="142" t="s">
        <v>165</v>
      </c>
      <c r="F93" s="144" t="s">
        <v>239</v>
      </c>
      <c r="G93" s="44" t="str">
        <f t="shared" si="18"/>
        <v>Asesor de Control Interno</v>
      </c>
      <c r="H93" s="137">
        <v>44270</v>
      </c>
      <c r="I93" s="137">
        <v>44454</v>
      </c>
      <c r="J93" s="61"/>
      <c r="K93" s="61"/>
      <c r="L93" s="61"/>
      <c r="M93" s="61"/>
      <c r="N93" s="61"/>
      <c r="O93" s="61"/>
      <c r="P93" s="61"/>
      <c r="Q93" s="61"/>
      <c r="R93" s="61"/>
      <c r="S93" s="61"/>
      <c r="T93" s="61"/>
      <c r="U93" s="61"/>
      <c r="V93" s="142" t="s">
        <v>334</v>
      </c>
      <c r="W93" s="212">
        <v>3.0000000000000001E-3</v>
      </c>
      <c r="X93" s="213"/>
      <c r="Y93" s="72"/>
      <c r="Z93" s="72"/>
      <c r="AA93" s="41"/>
      <c r="AB93" s="70">
        <f t="shared" ca="1" si="17"/>
        <v>0</v>
      </c>
      <c r="AC93" s="70">
        <f t="shared" ca="1" si="19"/>
        <v>3.0000000000000001E-3</v>
      </c>
      <c r="AD93" s="186">
        <f t="shared" si="11"/>
        <v>9</v>
      </c>
      <c r="AE93" s="187">
        <f t="shared" si="12"/>
        <v>184</v>
      </c>
      <c r="AF93" s="187">
        <f t="shared" si="13"/>
        <v>-15</v>
      </c>
      <c r="AG93" s="188">
        <f t="shared" si="14"/>
        <v>-8.1521739130434784E-2</v>
      </c>
      <c r="AH93" s="189">
        <f t="shared" si="15"/>
        <v>-2.4456521739130437E-4</v>
      </c>
      <c r="AI93" s="188">
        <f t="shared" ca="1" si="16"/>
        <v>2.4456521739130437E-4</v>
      </c>
      <c r="AJ93" s="190"/>
    </row>
    <row r="94" spans="1:36" ht="42" customHeight="1" x14ac:dyDescent="0.25">
      <c r="A94" s="142" t="s">
        <v>45</v>
      </c>
      <c r="B94" s="143" t="s">
        <v>329</v>
      </c>
      <c r="C94" s="142" t="s">
        <v>90</v>
      </c>
      <c r="D94" s="142" t="s">
        <v>97</v>
      </c>
      <c r="E94" s="142" t="s">
        <v>165</v>
      </c>
      <c r="F94" s="144" t="s">
        <v>263</v>
      </c>
      <c r="G94" s="44" t="str">
        <f t="shared" si="18"/>
        <v>Asesor de Control Interno</v>
      </c>
      <c r="H94" s="137">
        <v>44270</v>
      </c>
      <c r="I94" s="137">
        <v>44454</v>
      </c>
      <c r="J94" s="61"/>
      <c r="K94" s="61"/>
      <c r="L94" s="61"/>
      <c r="M94" s="61"/>
      <c r="N94" s="61"/>
      <c r="O94" s="61"/>
      <c r="P94" s="61"/>
      <c r="Q94" s="61"/>
      <c r="R94" s="61"/>
      <c r="S94" s="61"/>
      <c r="T94" s="61"/>
      <c r="U94" s="61"/>
      <c r="V94" s="142" t="s">
        <v>334</v>
      </c>
      <c r="W94" s="212">
        <v>3.0000000000000001E-3</v>
      </c>
      <c r="X94" s="213"/>
      <c r="Y94" s="72"/>
      <c r="Z94" s="72"/>
      <c r="AA94" s="41"/>
      <c r="AB94" s="70">
        <f t="shared" ca="1" si="17"/>
        <v>0</v>
      </c>
      <c r="AC94" s="70">
        <f t="shared" ca="1" si="19"/>
        <v>3.0000000000000001E-3</v>
      </c>
      <c r="AD94" s="186">
        <f t="shared" si="11"/>
        <v>9</v>
      </c>
      <c r="AE94" s="187">
        <f t="shared" si="12"/>
        <v>184</v>
      </c>
      <c r="AF94" s="187">
        <f t="shared" si="13"/>
        <v>-15</v>
      </c>
      <c r="AG94" s="188">
        <f t="shared" si="14"/>
        <v>-8.1521739130434784E-2</v>
      </c>
      <c r="AH94" s="189">
        <f t="shared" si="15"/>
        <v>-2.4456521739130437E-4</v>
      </c>
      <c r="AI94" s="188">
        <f t="shared" ca="1" si="16"/>
        <v>2.4456521739130437E-4</v>
      </c>
      <c r="AJ94" s="190"/>
    </row>
    <row r="95" spans="1:36" ht="42" customHeight="1" x14ac:dyDescent="0.25">
      <c r="A95" s="142" t="s">
        <v>45</v>
      </c>
      <c r="B95" s="42" t="s">
        <v>329</v>
      </c>
      <c r="C95" s="142" t="s">
        <v>90</v>
      </c>
      <c r="D95" s="142" t="s">
        <v>97</v>
      </c>
      <c r="E95" s="142" t="s">
        <v>165</v>
      </c>
      <c r="F95" s="43" t="s">
        <v>159</v>
      </c>
      <c r="G95" s="44" t="str">
        <f t="shared" si="18"/>
        <v>Asesor de Control Interno</v>
      </c>
      <c r="H95" s="137">
        <v>44270</v>
      </c>
      <c r="I95" s="137">
        <v>44454</v>
      </c>
      <c r="J95" s="61"/>
      <c r="K95" s="61"/>
      <c r="L95" s="61"/>
      <c r="M95" s="61"/>
      <c r="N95" s="61"/>
      <c r="O95" s="61"/>
      <c r="P95" s="61"/>
      <c r="Q95" s="61"/>
      <c r="R95" s="61"/>
      <c r="S95" s="61"/>
      <c r="T95" s="61"/>
      <c r="U95" s="61"/>
      <c r="V95" s="142" t="s">
        <v>334</v>
      </c>
      <c r="W95" s="212">
        <v>3.0000000000000001E-3</v>
      </c>
      <c r="X95" s="213"/>
      <c r="Y95" s="72"/>
      <c r="Z95" s="72"/>
      <c r="AA95" s="41"/>
      <c r="AB95" s="70">
        <f t="shared" ca="1" si="17"/>
        <v>0</v>
      </c>
      <c r="AC95" s="70">
        <f t="shared" ca="1" si="19"/>
        <v>3.0000000000000001E-3</v>
      </c>
      <c r="AD95" s="186">
        <f t="shared" si="11"/>
        <v>9</v>
      </c>
      <c r="AE95" s="187">
        <f t="shared" si="12"/>
        <v>184</v>
      </c>
      <c r="AF95" s="187">
        <f t="shared" si="13"/>
        <v>-15</v>
      </c>
      <c r="AG95" s="188">
        <f t="shared" si="14"/>
        <v>-8.1521739130434784E-2</v>
      </c>
      <c r="AH95" s="189">
        <f t="shared" si="15"/>
        <v>-2.4456521739130437E-4</v>
      </c>
      <c r="AI95" s="188">
        <f t="shared" ca="1" si="16"/>
        <v>2.4456521739130437E-4</v>
      </c>
      <c r="AJ95" s="190"/>
    </row>
    <row r="96" spans="1:36" ht="42" customHeight="1" x14ac:dyDescent="0.25">
      <c r="A96" s="142" t="s">
        <v>50</v>
      </c>
      <c r="B96" s="238" t="s">
        <v>513</v>
      </c>
      <c r="C96" s="142" t="s">
        <v>87</v>
      </c>
      <c r="D96" s="142" t="s">
        <v>96</v>
      </c>
      <c r="E96" s="142" t="s">
        <v>165</v>
      </c>
      <c r="F96" s="144" t="s">
        <v>240</v>
      </c>
      <c r="G96" s="44" t="str">
        <f t="shared" si="18"/>
        <v>Subdirector Administrativo</v>
      </c>
      <c r="H96" s="184">
        <v>44274</v>
      </c>
      <c r="I96" s="184">
        <v>44302</v>
      </c>
      <c r="J96" s="61"/>
      <c r="K96" s="61"/>
      <c r="L96" s="61"/>
      <c r="M96" s="61"/>
      <c r="N96" s="61"/>
      <c r="O96" s="61"/>
      <c r="P96" s="61"/>
      <c r="Q96" s="61"/>
      <c r="R96" s="61"/>
      <c r="S96" s="61"/>
      <c r="T96" s="61"/>
      <c r="U96" s="61"/>
      <c r="V96" s="142" t="s">
        <v>123</v>
      </c>
      <c r="W96" s="212">
        <v>5.0000000000000001E-3</v>
      </c>
      <c r="X96" s="137"/>
      <c r="Y96" s="143"/>
      <c r="Z96" s="72"/>
      <c r="AA96" s="41"/>
      <c r="AB96" s="70">
        <f t="shared" ca="1" si="17"/>
        <v>0</v>
      </c>
      <c r="AC96" s="70">
        <f t="shared" ca="1" si="19"/>
        <v>5.0000000000000001E-3</v>
      </c>
      <c r="AD96" s="186">
        <f t="shared" si="11"/>
        <v>4</v>
      </c>
      <c r="AE96" s="187">
        <f t="shared" si="12"/>
        <v>28</v>
      </c>
      <c r="AF96" s="187">
        <f t="shared" si="13"/>
        <v>-19</v>
      </c>
      <c r="AG96" s="188">
        <f t="shared" si="14"/>
        <v>-0.6785714285714286</v>
      </c>
      <c r="AH96" s="189">
        <f t="shared" si="15"/>
        <v>-3.3928571428571432E-3</v>
      </c>
      <c r="AI96" s="188">
        <f t="shared" ca="1" si="16"/>
        <v>3.3928571428571432E-3</v>
      </c>
      <c r="AJ96" s="190"/>
    </row>
    <row r="97" spans="1:36" ht="42" customHeight="1" x14ac:dyDescent="0.25">
      <c r="A97" s="142" t="s">
        <v>46</v>
      </c>
      <c r="B97" s="42" t="s">
        <v>207</v>
      </c>
      <c r="C97" s="142" t="s">
        <v>90</v>
      </c>
      <c r="D97" s="142" t="s">
        <v>97</v>
      </c>
      <c r="E97" s="142" t="s">
        <v>165</v>
      </c>
      <c r="F97" s="144" t="s">
        <v>240</v>
      </c>
      <c r="G97" s="44" t="str">
        <f t="shared" si="18"/>
        <v>Asesor de Control Interno</v>
      </c>
      <c r="H97" s="137">
        <v>44278</v>
      </c>
      <c r="I97" s="137">
        <v>44285</v>
      </c>
      <c r="J97" s="61"/>
      <c r="K97" s="61"/>
      <c r="L97" s="61"/>
      <c r="M97" s="61"/>
      <c r="N97" s="61"/>
      <c r="O97" s="61"/>
      <c r="P97" s="61"/>
      <c r="Q97" s="61"/>
      <c r="R97" s="61"/>
      <c r="S97" s="61"/>
      <c r="T97" s="61"/>
      <c r="U97" s="61"/>
      <c r="V97" s="41" t="s">
        <v>332</v>
      </c>
      <c r="W97" s="212">
        <v>2E-3</v>
      </c>
      <c r="X97" s="213"/>
      <c r="Y97" s="72"/>
      <c r="Z97" s="72"/>
      <c r="AA97" s="41"/>
      <c r="AB97" s="70">
        <f t="shared" ca="1" si="17"/>
        <v>0</v>
      </c>
      <c r="AC97" s="70">
        <f t="shared" ca="1" si="19"/>
        <v>2E-3</v>
      </c>
      <c r="AD97" s="186">
        <f t="shared" si="11"/>
        <v>3</v>
      </c>
      <c r="AE97" s="187">
        <f t="shared" si="12"/>
        <v>7</v>
      </c>
      <c r="AF97" s="187">
        <f t="shared" si="13"/>
        <v>-23</v>
      </c>
      <c r="AG97" s="188">
        <f t="shared" si="14"/>
        <v>-3.2857142857142856</v>
      </c>
      <c r="AH97" s="189">
        <f t="shared" si="15"/>
        <v>-6.5714285714285709E-3</v>
      </c>
      <c r="AI97" s="188">
        <f t="shared" ca="1" si="16"/>
        <v>6.5714285714285709E-3</v>
      </c>
      <c r="AJ97" s="190"/>
    </row>
    <row r="98" spans="1:36" ht="42" customHeight="1" x14ac:dyDescent="0.25">
      <c r="A98" s="142" t="s">
        <v>50</v>
      </c>
      <c r="B98" s="143" t="s">
        <v>321</v>
      </c>
      <c r="C98" s="142" t="s">
        <v>82</v>
      </c>
      <c r="D98" s="142" t="s">
        <v>100</v>
      </c>
      <c r="E98" s="142" t="s">
        <v>165</v>
      </c>
      <c r="F98" s="144" t="s">
        <v>263</v>
      </c>
      <c r="G98" s="44" t="str">
        <f t="shared" si="18"/>
        <v>Director de Mejoramiento de Barrios</v>
      </c>
      <c r="H98" s="184">
        <v>44281</v>
      </c>
      <c r="I98" s="184">
        <v>44294</v>
      </c>
      <c r="J98" s="61"/>
      <c r="K98" s="61"/>
      <c r="L98" s="61"/>
      <c r="M98" s="61"/>
      <c r="N98" s="61"/>
      <c r="O98" s="61"/>
      <c r="P98" s="61"/>
      <c r="Q98" s="61"/>
      <c r="R98" s="61"/>
      <c r="S98" s="61"/>
      <c r="T98" s="61"/>
      <c r="U98" s="61"/>
      <c r="V98" s="142" t="s">
        <v>123</v>
      </c>
      <c r="W98" s="212">
        <v>0.01</v>
      </c>
      <c r="X98" s="137"/>
      <c r="Y98" s="72"/>
      <c r="Z98" s="72"/>
      <c r="AA98" s="41"/>
      <c r="AB98" s="70">
        <f t="shared" ca="1" si="17"/>
        <v>0</v>
      </c>
      <c r="AC98" s="70">
        <f t="shared" ca="1" si="19"/>
        <v>0.01</v>
      </c>
      <c r="AD98" s="186">
        <f t="shared" si="11"/>
        <v>4</v>
      </c>
      <c r="AE98" s="187">
        <f t="shared" si="12"/>
        <v>13</v>
      </c>
      <c r="AF98" s="187">
        <f t="shared" si="13"/>
        <v>-26</v>
      </c>
      <c r="AG98" s="188">
        <f t="shared" si="14"/>
        <v>-2</v>
      </c>
      <c r="AH98" s="189">
        <f t="shared" si="15"/>
        <v>-0.02</v>
      </c>
      <c r="AI98" s="188">
        <f t="shared" ca="1" si="16"/>
        <v>0.02</v>
      </c>
      <c r="AJ98" s="190"/>
    </row>
    <row r="99" spans="1:36" ht="42" customHeight="1" x14ac:dyDescent="0.25">
      <c r="A99" s="142" t="s">
        <v>50</v>
      </c>
      <c r="B99" s="143" t="s">
        <v>318</v>
      </c>
      <c r="C99" s="142" t="s">
        <v>127</v>
      </c>
      <c r="D99" s="142" t="s">
        <v>95</v>
      </c>
      <c r="E99" s="142" t="s">
        <v>165</v>
      </c>
      <c r="F99" s="144" t="s">
        <v>160</v>
      </c>
      <c r="G99" s="44" t="str">
        <f t="shared" si="18"/>
        <v xml:space="preserve">Director Jurídico </v>
      </c>
      <c r="H99" s="184">
        <v>44281</v>
      </c>
      <c r="I99" s="184">
        <v>44319</v>
      </c>
      <c r="J99" s="61"/>
      <c r="K99" s="61"/>
      <c r="L99" s="81"/>
      <c r="M99" s="61"/>
      <c r="N99" s="61"/>
      <c r="O99" s="61"/>
      <c r="P99" s="61"/>
      <c r="Q99" s="61"/>
      <c r="R99" s="61"/>
      <c r="S99" s="61"/>
      <c r="T99" s="61"/>
      <c r="U99" s="61"/>
      <c r="V99" s="142" t="s">
        <v>123</v>
      </c>
      <c r="W99" s="215">
        <v>5.0000000000000001E-3</v>
      </c>
      <c r="X99" s="137"/>
      <c r="Y99" s="72"/>
      <c r="Z99" s="72"/>
      <c r="AA99" s="41"/>
      <c r="AB99" s="70">
        <f t="shared" ca="1" si="17"/>
        <v>0</v>
      </c>
      <c r="AC99" s="70">
        <f t="shared" ca="1" si="19"/>
        <v>5.0000000000000001E-3</v>
      </c>
      <c r="AD99" s="186">
        <f t="shared" si="11"/>
        <v>5</v>
      </c>
      <c r="AE99" s="187">
        <f t="shared" si="12"/>
        <v>38</v>
      </c>
      <c r="AF99" s="187">
        <f t="shared" si="13"/>
        <v>-26</v>
      </c>
      <c r="AG99" s="188">
        <f t="shared" si="14"/>
        <v>-0.68421052631578949</v>
      </c>
      <c r="AH99" s="189">
        <f t="shared" si="15"/>
        <v>-3.4210526315789475E-3</v>
      </c>
      <c r="AI99" s="188">
        <f t="shared" ca="1" si="16"/>
        <v>3.4210526315789475E-3</v>
      </c>
      <c r="AJ99" s="190"/>
    </row>
    <row r="100" spans="1:36" ht="42" customHeight="1" x14ac:dyDescent="0.25">
      <c r="A100" s="142" t="s">
        <v>45</v>
      </c>
      <c r="B100" s="42" t="s">
        <v>289</v>
      </c>
      <c r="C100" s="142" t="s">
        <v>90</v>
      </c>
      <c r="D100" s="142" t="s">
        <v>97</v>
      </c>
      <c r="E100" s="142" t="s">
        <v>165</v>
      </c>
      <c r="F100" s="145" t="s">
        <v>239</v>
      </c>
      <c r="G100" s="44" t="str">
        <f t="shared" si="18"/>
        <v>Asesor de Control Interno</v>
      </c>
      <c r="H100" s="137">
        <v>44284</v>
      </c>
      <c r="I100" s="137">
        <v>44292</v>
      </c>
      <c r="J100" s="61"/>
      <c r="K100" s="61"/>
      <c r="L100" s="61"/>
      <c r="M100" s="61"/>
      <c r="N100" s="61"/>
      <c r="O100" s="61"/>
      <c r="P100" s="61"/>
      <c r="Q100" s="61"/>
      <c r="R100" s="61"/>
      <c r="S100" s="61"/>
      <c r="T100" s="61"/>
      <c r="U100" s="61"/>
      <c r="V100" s="142" t="s">
        <v>215</v>
      </c>
      <c r="W100" s="212">
        <v>3.0000000000000001E-3</v>
      </c>
      <c r="X100" s="137"/>
      <c r="Y100" s="72"/>
      <c r="Z100" s="72"/>
      <c r="AA100" s="41"/>
      <c r="AB100" s="70">
        <f t="shared" ca="1" si="17"/>
        <v>0</v>
      </c>
      <c r="AC100" s="70">
        <f t="shared" ca="1" si="19"/>
        <v>3.0000000000000001E-3</v>
      </c>
      <c r="AD100" s="186">
        <f t="shared" si="11"/>
        <v>4</v>
      </c>
      <c r="AE100" s="187">
        <f t="shared" si="12"/>
        <v>8</v>
      </c>
      <c r="AF100" s="187">
        <f t="shared" si="13"/>
        <v>-29</v>
      </c>
      <c r="AG100" s="188">
        <f t="shared" si="14"/>
        <v>-3.625</v>
      </c>
      <c r="AH100" s="189">
        <f t="shared" si="15"/>
        <v>-1.0875000000000001E-2</v>
      </c>
      <c r="AI100" s="188">
        <f t="shared" ca="1" si="16"/>
        <v>1.0875000000000001E-2</v>
      </c>
      <c r="AJ100" s="190"/>
    </row>
    <row r="101" spans="1:36" ht="42" customHeight="1" x14ac:dyDescent="0.25">
      <c r="A101" s="154" t="s">
        <v>46</v>
      </c>
      <c r="B101" s="42" t="s">
        <v>314</v>
      </c>
      <c r="C101" s="142" t="s">
        <v>82</v>
      </c>
      <c r="D101" s="142" t="s">
        <v>100</v>
      </c>
      <c r="E101" s="142" t="s">
        <v>165</v>
      </c>
      <c r="F101" s="145" t="s">
        <v>239</v>
      </c>
      <c r="G101" s="44" t="str">
        <f t="shared" si="18"/>
        <v>Director de Mejoramiento de Barrios</v>
      </c>
      <c r="H101" s="137">
        <v>44285</v>
      </c>
      <c r="I101" s="137">
        <v>44292</v>
      </c>
      <c r="J101" s="61"/>
      <c r="K101" s="61"/>
      <c r="L101" s="61"/>
      <c r="M101" s="61"/>
      <c r="N101" s="61"/>
      <c r="O101" s="61"/>
      <c r="P101" s="61"/>
      <c r="Q101" s="61"/>
      <c r="R101" s="61"/>
      <c r="S101" s="61"/>
      <c r="T101" s="61"/>
      <c r="U101" s="61"/>
      <c r="V101" s="140" t="s">
        <v>317</v>
      </c>
      <c r="W101" s="212">
        <v>1E-3</v>
      </c>
      <c r="X101" s="137"/>
      <c r="Y101" s="72"/>
      <c r="Z101" s="72"/>
      <c r="AA101" s="41"/>
      <c r="AB101" s="70">
        <f t="shared" ca="1" si="17"/>
        <v>0</v>
      </c>
      <c r="AC101" s="70">
        <f t="shared" ca="1" si="19"/>
        <v>1E-3</v>
      </c>
      <c r="AD101" s="186">
        <f t="shared" si="11"/>
        <v>4</v>
      </c>
      <c r="AE101" s="187">
        <f t="shared" si="12"/>
        <v>7</v>
      </c>
      <c r="AF101" s="187">
        <f t="shared" si="13"/>
        <v>-30</v>
      </c>
      <c r="AG101" s="188">
        <f t="shared" si="14"/>
        <v>-4.2857142857142856</v>
      </c>
      <c r="AH101" s="189">
        <f t="shared" si="15"/>
        <v>-4.2857142857142859E-3</v>
      </c>
      <c r="AI101" s="188">
        <f t="shared" ca="1" si="16"/>
        <v>4.2857142857142859E-3</v>
      </c>
      <c r="AJ101" s="190"/>
    </row>
    <row r="102" spans="1:36" ht="42" customHeight="1" x14ac:dyDescent="0.25">
      <c r="A102" s="142" t="s">
        <v>45</v>
      </c>
      <c r="B102" s="143" t="s">
        <v>114</v>
      </c>
      <c r="C102" s="142" t="s">
        <v>90</v>
      </c>
      <c r="D102" s="142" t="s">
        <v>97</v>
      </c>
      <c r="E102" s="142" t="s">
        <v>165</v>
      </c>
      <c r="F102" s="145" t="s">
        <v>239</v>
      </c>
      <c r="G102" s="44" t="str">
        <f t="shared" si="18"/>
        <v>Asesor de Control Interno</v>
      </c>
      <c r="H102" s="137">
        <v>44291</v>
      </c>
      <c r="I102" s="137">
        <v>44294</v>
      </c>
      <c r="J102" s="61"/>
      <c r="K102" s="61"/>
      <c r="L102" s="61"/>
      <c r="M102" s="61"/>
      <c r="N102" s="61"/>
      <c r="O102" s="61"/>
      <c r="P102" s="61"/>
      <c r="Q102" s="61"/>
      <c r="R102" s="61"/>
      <c r="S102" s="61"/>
      <c r="T102" s="61"/>
      <c r="U102" s="61"/>
      <c r="V102" s="142" t="s">
        <v>202</v>
      </c>
      <c r="W102" s="212">
        <v>3.0000000000000001E-3</v>
      </c>
      <c r="X102" s="137"/>
      <c r="Y102" s="72"/>
      <c r="Z102" s="72"/>
      <c r="AA102" s="41"/>
      <c r="AB102" s="70">
        <f t="shared" ca="1" si="17"/>
        <v>0</v>
      </c>
      <c r="AC102" s="70">
        <f t="shared" ca="1" si="19"/>
        <v>3.0000000000000001E-3</v>
      </c>
      <c r="AD102" s="186">
        <f t="shared" si="11"/>
        <v>4</v>
      </c>
      <c r="AE102" s="187">
        <f t="shared" si="12"/>
        <v>3</v>
      </c>
      <c r="AF102" s="187">
        <f t="shared" si="13"/>
        <v>-36</v>
      </c>
      <c r="AG102" s="188">
        <f t="shared" si="14"/>
        <v>-12</v>
      </c>
      <c r="AH102" s="189">
        <f t="shared" si="15"/>
        <v>-3.6000000000000004E-2</v>
      </c>
      <c r="AI102" s="188">
        <f t="shared" ca="1" si="16"/>
        <v>3.6000000000000004E-2</v>
      </c>
      <c r="AJ102" s="190"/>
    </row>
    <row r="103" spans="1:36" ht="42" customHeight="1" x14ac:dyDescent="0.25">
      <c r="A103" s="142" t="s">
        <v>45</v>
      </c>
      <c r="B103" s="143" t="s">
        <v>254</v>
      </c>
      <c r="C103" s="142" t="s">
        <v>90</v>
      </c>
      <c r="D103" s="142" t="s">
        <v>97</v>
      </c>
      <c r="E103" s="142" t="s">
        <v>165</v>
      </c>
      <c r="F103" s="144" t="s">
        <v>160</v>
      </c>
      <c r="G103" s="44" t="str">
        <f t="shared" si="18"/>
        <v>Asesor de Control Interno</v>
      </c>
      <c r="H103" s="137">
        <v>44291</v>
      </c>
      <c r="I103" s="137">
        <v>44295</v>
      </c>
      <c r="J103" s="61"/>
      <c r="K103" s="61"/>
      <c r="L103" s="61"/>
      <c r="M103" s="61"/>
      <c r="N103" s="61"/>
      <c r="O103" s="61"/>
      <c r="P103" s="61"/>
      <c r="Q103" s="61"/>
      <c r="R103" s="61"/>
      <c r="S103" s="61"/>
      <c r="T103" s="61"/>
      <c r="U103" s="61"/>
      <c r="V103" s="142" t="s">
        <v>215</v>
      </c>
      <c r="W103" s="212">
        <v>3.0000000000000001E-3</v>
      </c>
      <c r="X103" s="137"/>
      <c r="Y103" s="72"/>
      <c r="Z103" s="143"/>
      <c r="AA103" s="41"/>
      <c r="AB103" s="70">
        <f t="shared" ca="1" si="17"/>
        <v>0</v>
      </c>
      <c r="AC103" s="70">
        <f t="shared" ca="1" si="19"/>
        <v>3.0000000000000001E-3</v>
      </c>
      <c r="AD103" s="186">
        <f t="shared" si="11"/>
        <v>4</v>
      </c>
      <c r="AE103" s="187">
        <f t="shared" si="12"/>
        <v>4</v>
      </c>
      <c r="AF103" s="187">
        <f t="shared" si="13"/>
        <v>-36</v>
      </c>
      <c r="AG103" s="188">
        <f t="shared" si="14"/>
        <v>-9</v>
      </c>
      <c r="AH103" s="189">
        <f t="shared" si="15"/>
        <v>-2.7E-2</v>
      </c>
      <c r="AI103" s="188">
        <f t="shared" ca="1" si="16"/>
        <v>2.7E-2</v>
      </c>
      <c r="AJ103" s="190"/>
    </row>
    <row r="104" spans="1:36" ht="42" customHeight="1" x14ac:dyDescent="0.25">
      <c r="A104" s="154" t="s">
        <v>46</v>
      </c>
      <c r="B104" s="143" t="s">
        <v>93</v>
      </c>
      <c r="C104" s="142" t="s">
        <v>141</v>
      </c>
      <c r="D104" s="142" t="s">
        <v>96</v>
      </c>
      <c r="E104" s="142" t="s">
        <v>165</v>
      </c>
      <c r="F104" s="144" t="s">
        <v>240</v>
      </c>
      <c r="G104" s="44" t="str">
        <f t="shared" si="18"/>
        <v>Director de Gestión Corporativa y CID</v>
      </c>
      <c r="H104" s="137">
        <v>44291</v>
      </c>
      <c r="I104" s="137">
        <v>44299</v>
      </c>
      <c r="J104" s="61"/>
      <c r="K104" s="61"/>
      <c r="L104" s="61"/>
      <c r="M104" s="61"/>
      <c r="N104" s="61"/>
      <c r="O104" s="61"/>
      <c r="P104" s="61"/>
      <c r="Q104" s="61"/>
      <c r="R104" s="61"/>
      <c r="S104" s="61"/>
      <c r="T104" s="61"/>
      <c r="U104" s="61"/>
      <c r="V104" s="142" t="s">
        <v>332</v>
      </c>
      <c r="W104" s="212">
        <v>1E-3</v>
      </c>
      <c r="X104" s="137"/>
      <c r="Y104" s="72"/>
      <c r="Z104" s="72"/>
      <c r="AA104" s="41"/>
      <c r="AB104" s="70">
        <f t="shared" ca="1" si="17"/>
        <v>0</v>
      </c>
      <c r="AC104" s="70">
        <f t="shared" ca="1" si="19"/>
        <v>1E-3</v>
      </c>
      <c r="AD104" s="186">
        <f t="shared" si="11"/>
        <v>4</v>
      </c>
      <c r="AE104" s="187">
        <f t="shared" si="12"/>
        <v>8</v>
      </c>
      <c r="AF104" s="187">
        <f t="shared" si="13"/>
        <v>-36</v>
      </c>
      <c r="AG104" s="188">
        <f t="shared" si="14"/>
        <v>-4.5</v>
      </c>
      <c r="AH104" s="189">
        <f t="shared" si="15"/>
        <v>-4.5000000000000005E-3</v>
      </c>
      <c r="AI104" s="188">
        <f t="shared" ca="1" si="16"/>
        <v>4.5000000000000005E-3</v>
      </c>
      <c r="AJ104" s="190"/>
    </row>
    <row r="105" spans="1:36" ht="42" customHeight="1" x14ac:dyDescent="0.25">
      <c r="A105" s="154" t="s">
        <v>44</v>
      </c>
      <c r="B105" s="143" t="s">
        <v>92</v>
      </c>
      <c r="C105" s="142" t="s">
        <v>89</v>
      </c>
      <c r="D105" s="142" t="s">
        <v>96</v>
      </c>
      <c r="E105" s="142" t="s">
        <v>165</v>
      </c>
      <c r="F105" s="144" t="s">
        <v>203</v>
      </c>
      <c r="G105" s="44" t="str">
        <f t="shared" si="18"/>
        <v>Subdirector Financiero</v>
      </c>
      <c r="H105" s="137">
        <v>44291</v>
      </c>
      <c r="I105" s="137">
        <v>44299</v>
      </c>
      <c r="J105" s="61"/>
      <c r="K105" s="61"/>
      <c r="L105" s="61"/>
      <c r="M105" s="61"/>
      <c r="N105" s="61"/>
      <c r="O105" s="61"/>
      <c r="P105" s="61"/>
      <c r="Q105" s="61"/>
      <c r="R105" s="61"/>
      <c r="S105" s="61"/>
      <c r="T105" s="61"/>
      <c r="U105" s="61"/>
      <c r="V105" s="142" t="s">
        <v>123</v>
      </c>
      <c r="W105" s="212">
        <v>1E-3</v>
      </c>
      <c r="X105" s="137"/>
      <c r="Y105" s="143"/>
      <c r="Z105" s="72"/>
      <c r="AA105" s="41"/>
      <c r="AB105" s="70">
        <f t="shared" ref="AB105:AB136" ca="1" si="20">IF(ISERROR(VLOOKUP(AA105,INDIRECT(VLOOKUP(A105,ACTA,2,0)&amp;"A"),2,0))=TRUE,0,W105*(VLOOKUP(AA105,INDIRECT(VLOOKUP(A105,ACTA,2,0)&amp;"A"),2,0)))</f>
        <v>0</v>
      </c>
      <c r="AC105" s="70">
        <f t="shared" ca="1" si="19"/>
        <v>1E-3</v>
      </c>
      <c r="AD105" s="186">
        <f t="shared" si="11"/>
        <v>4</v>
      </c>
      <c r="AE105" s="187">
        <f t="shared" si="12"/>
        <v>8</v>
      </c>
      <c r="AF105" s="187">
        <f t="shared" si="13"/>
        <v>-36</v>
      </c>
      <c r="AG105" s="188">
        <f t="shared" si="14"/>
        <v>-4.5</v>
      </c>
      <c r="AH105" s="189">
        <f t="shared" si="15"/>
        <v>-4.5000000000000005E-3</v>
      </c>
      <c r="AI105" s="188">
        <f t="shared" ca="1" si="16"/>
        <v>4.5000000000000005E-3</v>
      </c>
      <c r="AJ105" s="190"/>
    </row>
    <row r="106" spans="1:36" ht="42" customHeight="1" x14ac:dyDescent="0.25">
      <c r="A106" s="154" t="s">
        <v>44</v>
      </c>
      <c r="B106" s="42" t="s">
        <v>209</v>
      </c>
      <c r="C106" s="142" t="s">
        <v>87</v>
      </c>
      <c r="D106" s="142" t="s">
        <v>96</v>
      </c>
      <c r="E106" s="142" t="s">
        <v>165</v>
      </c>
      <c r="F106" s="144" t="s">
        <v>240</v>
      </c>
      <c r="G106" s="44" t="str">
        <f t="shared" si="18"/>
        <v>Subdirector Administrativo</v>
      </c>
      <c r="H106" s="137">
        <v>44291</v>
      </c>
      <c r="I106" s="137">
        <v>44309</v>
      </c>
      <c r="J106" s="61"/>
      <c r="K106" s="61"/>
      <c r="L106" s="61"/>
      <c r="M106" s="61"/>
      <c r="N106" s="61"/>
      <c r="O106" s="61"/>
      <c r="P106" s="61"/>
      <c r="Q106" s="61"/>
      <c r="R106" s="61"/>
      <c r="S106" s="61"/>
      <c r="T106" s="61"/>
      <c r="U106" s="61"/>
      <c r="V106" s="142" t="s">
        <v>123</v>
      </c>
      <c r="W106" s="212">
        <v>7.4999999999999997E-3</v>
      </c>
      <c r="X106" s="137"/>
      <c r="Y106" s="72"/>
      <c r="Z106" s="72"/>
      <c r="AA106" s="41"/>
      <c r="AB106" s="70">
        <f t="shared" ca="1" si="20"/>
        <v>0</v>
      </c>
      <c r="AC106" s="70">
        <f t="shared" ca="1" si="19"/>
        <v>7.4999999999999997E-3</v>
      </c>
      <c r="AD106" s="186">
        <f t="shared" si="11"/>
        <v>4</v>
      </c>
      <c r="AE106" s="187">
        <f t="shared" si="12"/>
        <v>18</v>
      </c>
      <c r="AF106" s="187">
        <f t="shared" si="13"/>
        <v>-36</v>
      </c>
      <c r="AG106" s="188">
        <f t="shared" si="14"/>
        <v>-2</v>
      </c>
      <c r="AH106" s="189">
        <f t="shared" si="15"/>
        <v>-1.4999999999999999E-2</v>
      </c>
      <c r="AI106" s="188">
        <f t="shared" ca="1" si="16"/>
        <v>1.4999999999999999E-2</v>
      </c>
      <c r="AJ106" s="190"/>
    </row>
    <row r="107" spans="1:36" ht="42" customHeight="1" x14ac:dyDescent="0.25">
      <c r="A107" s="142" t="s">
        <v>43</v>
      </c>
      <c r="B107" s="143" t="s">
        <v>305</v>
      </c>
      <c r="C107" s="142" t="s">
        <v>90</v>
      </c>
      <c r="D107" s="142" t="s">
        <v>97</v>
      </c>
      <c r="E107" s="142" t="s">
        <v>165</v>
      </c>
      <c r="F107" s="145" t="s">
        <v>239</v>
      </c>
      <c r="G107" s="44" t="str">
        <f t="shared" si="18"/>
        <v>Asesor de Control Interno</v>
      </c>
      <c r="H107" s="137">
        <v>44291</v>
      </c>
      <c r="I107" s="137">
        <v>44309</v>
      </c>
      <c r="J107" s="61"/>
      <c r="K107" s="61"/>
      <c r="L107" s="61"/>
      <c r="M107" s="61"/>
      <c r="N107" s="61"/>
      <c r="O107" s="61"/>
      <c r="P107" s="61"/>
      <c r="Q107" s="61"/>
      <c r="R107" s="61"/>
      <c r="S107" s="61"/>
      <c r="T107" s="61"/>
      <c r="U107" s="61"/>
      <c r="V107" s="41" t="s">
        <v>334</v>
      </c>
      <c r="W107" s="215">
        <v>5.0000000000000001E-3</v>
      </c>
      <c r="X107" s="137"/>
      <c r="Y107" s="143"/>
      <c r="Z107" s="72"/>
      <c r="AA107" s="41"/>
      <c r="AB107" s="70">
        <f t="shared" ca="1" si="20"/>
        <v>0</v>
      </c>
      <c r="AC107" s="70">
        <f t="shared" ca="1" si="19"/>
        <v>5.0000000000000001E-3</v>
      </c>
      <c r="AD107" s="186">
        <f t="shared" si="11"/>
        <v>4</v>
      </c>
      <c r="AE107" s="187">
        <f t="shared" si="12"/>
        <v>18</v>
      </c>
      <c r="AF107" s="187">
        <f t="shared" si="13"/>
        <v>-36</v>
      </c>
      <c r="AG107" s="188">
        <f t="shared" si="14"/>
        <v>-2</v>
      </c>
      <c r="AH107" s="189">
        <f t="shared" si="15"/>
        <v>-0.01</v>
      </c>
      <c r="AI107" s="188">
        <f t="shared" ca="1" si="16"/>
        <v>0.01</v>
      </c>
      <c r="AJ107" s="190"/>
    </row>
    <row r="108" spans="1:36" ht="42" customHeight="1" x14ac:dyDescent="0.25">
      <c r="A108" s="154" t="s">
        <v>44</v>
      </c>
      <c r="B108" s="143" t="s">
        <v>280</v>
      </c>
      <c r="C108" s="142" t="s">
        <v>89</v>
      </c>
      <c r="D108" s="142" t="s">
        <v>96</v>
      </c>
      <c r="E108" s="142" t="s">
        <v>165</v>
      </c>
      <c r="F108" s="144" t="s">
        <v>159</v>
      </c>
      <c r="G108" s="44" t="str">
        <f t="shared" si="18"/>
        <v>Subdirector Financiero</v>
      </c>
      <c r="H108" s="137">
        <v>44291</v>
      </c>
      <c r="I108" s="137">
        <v>44316</v>
      </c>
      <c r="J108" s="61"/>
      <c r="K108" s="61"/>
      <c r="L108" s="61"/>
      <c r="M108" s="61"/>
      <c r="N108" s="61"/>
      <c r="O108" s="61"/>
      <c r="P108" s="61"/>
      <c r="Q108" s="61"/>
      <c r="R108" s="61"/>
      <c r="S108" s="61"/>
      <c r="T108" s="61"/>
      <c r="U108" s="61"/>
      <c r="V108" s="142" t="s">
        <v>123</v>
      </c>
      <c r="W108" s="212">
        <v>3.0000000000000001E-3</v>
      </c>
      <c r="X108" s="137"/>
      <c r="Y108" s="72"/>
      <c r="Z108" s="72"/>
      <c r="AA108" s="41"/>
      <c r="AB108" s="70">
        <f t="shared" ca="1" si="20"/>
        <v>0</v>
      </c>
      <c r="AC108" s="70">
        <f t="shared" ca="1" si="19"/>
        <v>3.0000000000000001E-3</v>
      </c>
      <c r="AD108" s="186">
        <f t="shared" si="11"/>
        <v>4</v>
      </c>
      <c r="AE108" s="187">
        <f t="shared" si="12"/>
        <v>25</v>
      </c>
      <c r="AF108" s="187">
        <f t="shared" si="13"/>
        <v>-36</v>
      </c>
      <c r="AG108" s="188">
        <f t="shared" si="14"/>
        <v>-1.44</v>
      </c>
      <c r="AH108" s="189">
        <f t="shared" si="15"/>
        <v>-4.3200000000000001E-3</v>
      </c>
      <c r="AI108" s="188">
        <f t="shared" ca="1" si="16"/>
        <v>4.3200000000000001E-3</v>
      </c>
      <c r="AJ108" s="190"/>
    </row>
    <row r="109" spans="1:36" ht="42" customHeight="1" x14ac:dyDescent="0.25">
      <c r="A109" s="142" t="s">
        <v>50</v>
      </c>
      <c r="B109" s="143" t="s">
        <v>320</v>
      </c>
      <c r="C109" s="142" t="s">
        <v>83</v>
      </c>
      <c r="D109" s="142" t="s">
        <v>100</v>
      </c>
      <c r="E109" s="142" t="s">
        <v>165</v>
      </c>
      <c r="F109" s="144" t="s">
        <v>263</v>
      </c>
      <c r="G109" s="44" t="str">
        <f t="shared" si="18"/>
        <v>Director de Mejoramiento de Vivienda</v>
      </c>
      <c r="H109" s="184">
        <v>44295</v>
      </c>
      <c r="I109" s="184">
        <v>44306</v>
      </c>
      <c r="J109" s="61"/>
      <c r="K109" s="61"/>
      <c r="L109" s="61"/>
      <c r="M109" s="61"/>
      <c r="N109" s="61"/>
      <c r="O109" s="61"/>
      <c r="P109" s="61"/>
      <c r="Q109" s="61"/>
      <c r="R109" s="61"/>
      <c r="S109" s="61"/>
      <c r="T109" s="61"/>
      <c r="U109" s="61"/>
      <c r="V109" s="142" t="s">
        <v>123</v>
      </c>
      <c r="W109" s="212">
        <v>0.01</v>
      </c>
      <c r="X109" s="137"/>
      <c r="Y109" s="72"/>
      <c r="Z109" s="72"/>
      <c r="AA109" s="41"/>
      <c r="AB109" s="70">
        <f t="shared" ca="1" si="20"/>
        <v>0</v>
      </c>
      <c r="AC109" s="70">
        <f t="shared" ca="1" si="19"/>
        <v>0.01</v>
      </c>
      <c r="AD109" s="186">
        <f t="shared" si="11"/>
        <v>4</v>
      </c>
      <c r="AE109" s="187">
        <f t="shared" si="12"/>
        <v>11</v>
      </c>
      <c r="AF109" s="187">
        <f t="shared" si="13"/>
        <v>-40</v>
      </c>
      <c r="AG109" s="188">
        <f t="shared" si="14"/>
        <v>-3.6363636363636362</v>
      </c>
      <c r="AH109" s="189">
        <f t="shared" si="15"/>
        <v>-3.6363636363636362E-2</v>
      </c>
      <c r="AI109" s="188">
        <f t="shared" ca="1" si="16"/>
        <v>3.6363636363636362E-2</v>
      </c>
      <c r="AJ109" s="190"/>
    </row>
    <row r="110" spans="1:36" ht="42" customHeight="1" x14ac:dyDescent="0.25">
      <c r="A110" s="154" t="s">
        <v>44</v>
      </c>
      <c r="B110" s="143" t="s">
        <v>94</v>
      </c>
      <c r="C110" s="142" t="s">
        <v>87</v>
      </c>
      <c r="D110" s="142" t="s">
        <v>96</v>
      </c>
      <c r="E110" s="142" t="s">
        <v>165</v>
      </c>
      <c r="F110" s="144" t="s">
        <v>159</v>
      </c>
      <c r="G110" s="44" t="str">
        <f t="shared" si="18"/>
        <v>Subdirector Administrativo</v>
      </c>
      <c r="H110" s="137">
        <v>44299</v>
      </c>
      <c r="I110" s="137">
        <v>44329</v>
      </c>
      <c r="J110" s="61"/>
      <c r="K110" s="61"/>
      <c r="L110" s="61"/>
      <c r="M110" s="61"/>
      <c r="N110" s="61"/>
      <c r="O110" s="61"/>
      <c r="P110" s="61"/>
      <c r="Q110" s="61"/>
      <c r="R110" s="61"/>
      <c r="S110" s="61"/>
      <c r="T110" s="61"/>
      <c r="U110" s="61"/>
      <c r="V110" s="142" t="s">
        <v>123</v>
      </c>
      <c r="W110" s="212">
        <v>0.01</v>
      </c>
      <c r="X110" s="137"/>
      <c r="Y110" s="143"/>
      <c r="Z110" s="72"/>
      <c r="AA110" s="41"/>
      <c r="AB110" s="70">
        <f t="shared" ca="1" si="20"/>
        <v>0</v>
      </c>
      <c r="AC110" s="70">
        <f t="shared" ca="1" si="19"/>
        <v>0.01</v>
      </c>
      <c r="AD110" s="186">
        <f t="shared" si="11"/>
        <v>5</v>
      </c>
      <c r="AE110" s="187">
        <f t="shared" si="12"/>
        <v>30</v>
      </c>
      <c r="AF110" s="187">
        <f t="shared" si="13"/>
        <v>-44</v>
      </c>
      <c r="AG110" s="188">
        <f t="shared" si="14"/>
        <v>-1.4666666666666666</v>
      </c>
      <c r="AH110" s="189">
        <f t="shared" si="15"/>
        <v>-1.4666666666666666E-2</v>
      </c>
      <c r="AI110" s="188">
        <f t="shared" ca="1" si="16"/>
        <v>1.4666666666666666E-2</v>
      </c>
      <c r="AJ110" s="190"/>
    </row>
    <row r="111" spans="1:36" ht="42" customHeight="1" x14ac:dyDescent="0.25">
      <c r="A111" s="142" t="s">
        <v>50</v>
      </c>
      <c r="B111" s="143" t="s">
        <v>322</v>
      </c>
      <c r="C111" s="142" t="s">
        <v>80</v>
      </c>
      <c r="D111" s="142" t="s">
        <v>100</v>
      </c>
      <c r="E111" s="142" t="s">
        <v>165</v>
      </c>
      <c r="F111" s="144" t="s">
        <v>263</v>
      </c>
      <c r="G111" s="44" t="str">
        <f t="shared" si="18"/>
        <v>Director de Reasentamientos Humanos</v>
      </c>
      <c r="H111" s="184">
        <v>44307</v>
      </c>
      <c r="I111" s="184">
        <v>44316</v>
      </c>
      <c r="J111" s="61"/>
      <c r="K111" s="61"/>
      <c r="L111" s="61"/>
      <c r="M111" s="61"/>
      <c r="N111" s="61"/>
      <c r="O111" s="61"/>
      <c r="P111" s="61"/>
      <c r="Q111" s="61"/>
      <c r="R111" s="61"/>
      <c r="S111" s="61"/>
      <c r="T111" s="61"/>
      <c r="U111" s="61"/>
      <c r="V111" s="142" t="s">
        <v>123</v>
      </c>
      <c r="W111" s="212">
        <v>3.7499999999999999E-3</v>
      </c>
      <c r="X111" s="137"/>
      <c r="Y111" s="72"/>
      <c r="Z111" s="72"/>
      <c r="AA111" s="41"/>
      <c r="AB111" s="70">
        <f t="shared" ca="1" si="20"/>
        <v>0</v>
      </c>
      <c r="AC111" s="70">
        <f t="shared" ca="1" si="19"/>
        <v>3.7499999999999999E-3</v>
      </c>
      <c r="AD111" s="186">
        <f t="shared" si="11"/>
        <v>4</v>
      </c>
      <c r="AE111" s="187">
        <f t="shared" si="12"/>
        <v>9</v>
      </c>
      <c r="AF111" s="187">
        <f t="shared" si="13"/>
        <v>-52</v>
      </c>
      <c r="AG111" s="188">
        <f t="shared" si="14"/>
        <v>-5.7777777777777777</v>
      </c>
      <c r="AH111" s="189">
        <f t="shared" si="15"/>
        <v>-2.1666666666666664E-2</v>
      </c>
      <c r="AI111" s="188">
        <f t="shared" ca="1" si="16"/>
        <v>2.1666666666666664E-2</v>
      </c>
      <c r="AJ111" s="190"/>
    </row>
    <row r="112" spans="1:36" ht="42" customHeight="1" x14ac:dyDescent="0.25">
      <c r="A112" s="154" t="s">
        <v>51</v>
      </c>
      <c r="B112" s="143" t="s">
        <v>357</v>
      </c>
      <c r="C112" s="142" t="s">
        <v>98</v>
      </c>
      <c r="D112" s="142" t="s">
        <v>98</v>
      </c>
      <c r="E112" s="142" t="s">
        <v>165</v>
      </c>
      <c r="F112" s="144" t="s">
        <v>263</v>
      </c>
      <c r="G112" s="44" t="str">
        <f t="shared" si="18"/>
        <v>Líderes de Cada Proceso</v>
      </c>
      <c r="H112" s="137">
        <v>44312</v>
      </c>
      <c r="I112" s="137">
        <v>44330</v>
      </c>
      <c r="J112" s="61"/>
      <c r="K112" s="61"/>
      <c r="L112" s="61"/>
      <c r="M112" s="61"/>
      <c r="N112" s="61"/>
      <c r="O112" s="61"/>
      <c r="P112" s="61"/>
      <c r="Q112" s="61"/>
      <c r="R112" s="61"/>
      <c r="S112" s="61"/>
      <c r="T112" s="61"/>
      <c r="U112" s="61"/>
      <c r="V112" s="142" t="s">
        <v>123</v>
      </c>
      <c r="W112" s="212">
        <v>1.6E-2</v>
      </c>
      <c r="X112" s="137"/>
      <c r="Y112" s="143"/>
      <c r="Z112" s="72"/>
      <c r="AA112" s="41"/>
      <c r="AB112" s="70">
        <f t="shared" ca="1" si="20"/>
        <v>0</v>
      </c>
      <c r="AC112" s="70">
        <f t="shared" ca="1" si="19"/>
        <v>1.6E-2</v>
      </c>
      <c r="AD112" s="186">
        <f t="shared" si="11"/>
        <v>5</v>
      </c>
      <c r="AE112" s="187">
        <f t="shared" si="12"/>
        <v>18</v>
      </c>
      <c r="AF112" s="187">
        <f t="shared" si="13"/>
        <v>-57</v>
      </c>
      <c r="AG112" s="188">
        <f t="shared" si="14"/>
        <v>-3.1666666666666665</v>
      </c>
      <c r="AH112" s="189">
        <f t="shared" si="15"/>
        <v>-5.0666666666666665E-2</v>
      </c>
      <c r="AI112" s="188">
        <f t="shared" ca="1" si="16"/>
        <v>5.0666666666666665E-2</v>
      </c>
      <c r="AJ112" s="190"/>
    </row>
    <row r="113" spans="1:36" ht="42" customHeight="1" x14ac:dyDescent="0.25">
      <c r="A113" s="154" t="s">
        <v>51</v>
      </c>
      <c r="B113" s="143" t="s">
        <v>358</v>
      </c>
      <c r="C113" s="142" t="s">
        <v>98</v>
      </c>
      <c r="D113" s="142" t="s">
        <v>98</v>
      </c>
      <c r="E113" s="142" t="s">
        <v>165</v>
      </c>
      <c r="F113" s="144" t="s">
        <v>263</v>
      </c>
      <c r="G113" s="44" t="str">
        <f t="shared" si="18"/>
        <v>Líderes de Cada Proceso</v>
      </c>
      <c r="H113" s="137">
        <v>44312</v>
      </c>
      <c r="I113" s="137">
        <v>44330</v>
      </c>
      <c r="J113" s="61"/>
      <c r="K113" s="61"/>
      <c r="L113" s="61"/>
      <c r="M113" s="61"/>
      <c r="N113" s="61"/>
      <c r="O113" s="61"/>
      <c r="P113" s="61"/>
      <c r="Q113" s="61"/>
      <c r="R113" s="61"/>
      <c r="S113" s="61"/>
      <c r="T113" s="61"/>
      <c r="U113" s="61"/>
      <c r="V113" s="41" t="s">
        <v>123</v>
      </c>
      <c r="W113" s="212">
        <v>1.6E-2</v>
      </c>
      <c r="X113" s="137"/>
      <c r="Y113" s="143"/>
      <c r="Z113" s="72"/>
      <c r="AA113" s="41"/>
      <c r="AB113" s="70">
        <f t="shared" ca="1" si="20"/>
        <v>0</v>
      </c>
      <c r="AC113" s="70">
        <f t="shared" ca="1" si="19"/>
        <v>1.6E-2</v>
      </c>
      <c r="AD113" s="186">
        <f t="shared" si="11"/>
        <v>5</v>
      </c>
      <c r="AE113" s="187">
        <f t="shared" si="12"/>
        <v>18</v>
      </c>
      <c r="AF113" s="187">
        <f t="shared" si="13"/>
        <v>-57</v>
      </c>
      <c r="AG113" s="188">
        <f t="shared" si="14"/>
        <v>-3.1666666666666665</v>
      </c>
      <c r="AH113" s="189">
        <f t="shared" si="15"/>
        <v>-5.0666666666666665E-2</v>
      </c>
      <c r="AI113" s="188">
        <f t="shared" ca="1" si="16"/>
        <v>5.0666666666666665E-2</v>
      </c>
      <c r="AJ113" s="190"/>
    </row>
    <row r="114" spans="1:36" ht="42" customHeight="1" x14ac:dyDescent="0.25">
      <c r="A114" s="142" t="s">
        <v>45</v>
      </c>
      <c r="B114" s="143" t="s">
        <v>289</v>
      </c>
      <c r="C114" s="142" t="s">
        <v>90</v>
      </c>
      <c r="D114" s="142" t="s">
        <v>97</v>
      </c>
      <c r="E114" s="142" t="s">
        <v>165</v>
      </c>
      <c r="F114" s="145" t="s">
        <v>239</v>
      </c>
      <c r="G114" s="44" t="str">
        <f t="shared" si="18"/>
        <v>Asesor de Control Interno</v>
      </c>
      <c r="H114" s="137">
        <v>44314</v>
      </c>
      <c r="I114" s="137">
        <v>44320</v>
      </c>
      <c r="J114" s="61"/>
      <c r="K114" s="61"/>
      <c r="L114" s="61"/>
      <c r="M114" s="61"/>
      <c r="N114" s="61"/>
      <c r="O114" s="61"/>
      <c r="P114" s="61"/>
      <c r="Q114" s="61"/>
      <c r="R114" s="61"/>
      <c r="S114" s="61"/>
      <c r="T114" s="61"/>
      <c r="U114" s="61"/>
      <c r="V114" s="41" t="s">
        <v>215</v>
      </c>
      <c r="W114" s="212">
        <v>3.0000000000000001E-3</v>
      </c>
      <c r="X114" s="137"/>
      <c r="Y114" s="143"/>
      <c r="Z114" s="72"/>
      <c r="AA114" s="41"/>
      <c r="AB114" s="70">
        <f t="shared" ca="1" si="20"/>
        <v>0</v>
      </c>
      <c r="AC114" s="70">
        <f t="shared" ca="1" si="19"/>
        <v>3.0000000000000001E-3</v>
      </c>
      <c r="AD114" s="186">
        <f t="shared" si="11"/>
        <v>5</v>
      </c>
      <c r="AE114" s="187">
        <f t="shared" si="12"/>
        <v>6</v>
      </c>
      <c r="AF114" s="187">
        <f t="shared" si="13"/>
        <v>-59</v>
      </c>
      <c r="AG114" s="188">
        <f t="shared" si="14"/>
        <v>-9.8333333333333339</v>
      </c>
      <c r="AH114" s="189">
        <f t="shared" si="15"/>
        <v>-2.9500000000000002E-2</v>
      </c>
      <c r="AI114" s="188">
        <f t="shared" ca="1" si="16"/>
        <v>2.9500000000000002E-2</v>
      </c>
      <c r="AJ114" s="190"/>
    </row>
    <row r="115" spans="1:36" ht="42" customHeight="1" x14ac:dyDescent="0.25">
      <c r="A115" s="154" t="s">
        <v>46</v>
      </c>
      <c r="B115" s="143" t="s">
        <v>314</v>
      </c>
      <c r="C115" s="142" t="s">
        <v>82</v>
      </c>
      <c r="D115" s="142" t="s">
        <v>100</v>
      </c>
      <c r="E115" s="142" t="s">
        <v>165</v>
      </c>
      <c r="F115" s="145" t="s">
        <v>239</v>
      </c>
      <c r="G115" s="44" t="str">
        <f t="shared" si="18"/>
        <v>Director de Mejoramiento de Barrios</v>
      </c>
      <c r="H115" s="137">
        <v>44315</v>
      </c>
      <c r="I115" s="137">
        <v>44320</v>
      </c>
      <c r="J115" s="61"/>
      <c r="K115" s="61"/>
      <c r="L115" s="61"/>
      <c r="M115" s="61"/>
      <c r="N115" s="61"/>
      <c r="O115" s="61"/>
      <c r="P115" s="61"/>
      <c r="Q115" s="61"/>
      <c r="R115" s="61"/>
      <c r="S115" s="61"/>
      <c r="T115" s="61"/>
      <c r="U115" s="61"/>
      <c r="V115" s="140" t="s">
        <v>317</v>
      </c>
      <c r="W115" s="212">
        <v>1E-3</v>
      </c>
      <c r="X115" s="137"/>
      <c r="Y115" s="72"/>
      <c r="Z115" s="72"/>
      <c r="AA115" s="41"/>
      <c r="AB115" s="70">
        <f t="shared" ca="1" si="20"/>
        <v>0</v>
      </c>
      <c r="AC115" s="70">
        <f t="shared" ca="1" si="19"/>
        <v>1E-3</v>
      </c>
      <c r="AD115" s="186">
        <f t="shared" si="11"/>
        <v>5</v>
      </c>
      <c r="AE115" s="187">
        <f t="shared" si="12"/>
        <v>5</v>
      </c>
      <c r="AF115" s="187">
        <f t="shared" si="13"/>
        <v>-60</v>
      </c>
      <c r="AG115" s="188">
        <f t="shared" si="14"/>
        <v>-12</v>
      </c>
      <c r="AH115" s="189">
        <f t="shared" si="15"/>
        <v>-1.2E-2</v>
      </c>
      <c r="AI115" s="188">
        <f t="shared" ca="1" si="16"/>
        <v>1.2E-2</v>
      </c>
      <c r="AJ115" s="190"/>
    </row>
    <row r="116" spans="1:36" ht="42" customHeight="1" x14ac:dyDescent="0.25">
      <c r="A116" s="142" t="s">
        <v>45</v>
      </c>
      <c r="B116" s="143" t="s">
        <v>114</v>
      </c>
      <c r="C116" s="142" t="s">
        <v>90</v>
      </c>
      <c r="D116" s="142" t="s">
        <v>97</v>
      </c>
      <c r="E116" s="142" t="s">
        <v>165</v>
      </c>
      <c r="F116" s="145" t="s">
        <v>239</v>
      </c>
      <c r="G116" s="44" t="str">
        <f t="shared" si="18"/>
        <v>Asesor de Control Interno</v>
      </c>
      <c r="H116" s="137">
        <v>44319</v>
      </c>
      <c r="I116" s="137">
        <v>44322</v>
      </c>
      <c r="J116" s="61"/>
      <c r="K116" s="61"/>
      <c r="L116" s="61"/>
      <c r="M116" s="61"/>
      <c r="N116" s="61"/>
      <c r="O116" s="61"/>
      <c r="P116" s="61"/>
      <c r="Q116" s="61"/>
      <c r="R116" s="61"/>
      <c r="S116" s="61"/>
      <c r="T116" s="61"/>
      <c r="U116" s="61"/>
      <c r="V116" s="142" t="s">
        <v>202</v>
      </c>
      <c r="W116" s="212">
        <v>3.0000000000000001E-3</v>
      </c>
      <c r="X116" s="137"/>
      <c r="Y116" s="143"/>
      <c r="Z116" s="72"/>
      <c r="AA116" s="41"/>
      <c r="AB116" s="70">
        <f t="shared" ca="1" si="20"/>
        <v>0</v>
      </c>
      <c r="AC116" s="70">
        <f t="shared" ca="1" si="19"/>
        <v>3.0000000000000001E-3</v>
      </c>
      <c r="AD116" s="186">
        <f t="shared" si="11"/>
        <v>5</v>
      </c>
      <c r="AE116" s="187">
        <f t="shared" si="12"/>
        <v>3</v>
      </c>
      <c r="AF116" s="187">
        <f t="shared" si="13"/>
        <v>-64</v>
      </c>
      <c r="AG116" s="188">
        <f t="shared" si="14"/>
        <v>-21.333333333333332</v>
      </c>
      <c r="AH116" s="189">
        <f t="shared" si="15"/>
        <v>-6.4000000000000001E-2</v>
      </c>
      <c r="AI116" s="188">
        <f t="shared" ca="1" si="16"/>
        <v>6.4000000000000001E-2</v>
      </c>
      <c r="AJ116" s="190"/>
    </row>
    <row r="117" spans="1:36" ht="42" customHeight="1" x14ac:dyDescent="0.25">
      <c r="A117" s="154" t="s">
        <v>46</v>
      </c>
      <c r="B117" s="143" t="s">
        <v>93</v>
      </c>
      <c r="C117" s="142" t="s">
        <v>89</v>
      </c>
      <c r="D117" s="142" t="s">
        <v>96</v>
      </c>
      <c r="E117" s="142" t="s">
        <v>165</v>
      </c>
      <c r="F117" s="144" t="s">
        <v>240</v>
      </c>
      <c r="G117" s="44" t="str">
        <f t="shared" si="18"/>
        <v>Subdirector Financiero</v>
      </c>
      <c r="H117" s="137">
        <v>44319</v>
      </c>
      <c r="I117" s="137">
        <v>44327</v>
      </c>
      <c r="J117" s="61"/>
      <c r="K117" s="61"/>
      <c r="L117" s="61"/>
      <c r="M117" s="61"/>
      <c r="N117" s="61"/>
      <c r="O117" s="61"/>
      <c r="P117" s="61"/>
      <c r="Q117" s="61"/>
      <c r="R117" s="61"/>
      <c r="S117" s="61"/>
      <c r="T117" s="61"/>
      <c r="U117" s="61"/>
      <c r="V117" s="142" t="s">
        <v>332</v>
      </c>
      <c r="W117" s="212">
        <v>1E-3</v>
      </c>
      <c r="X117" s="137"/>
      <c r="Y117" s="72"/>
      <c r="Z117" s="72"/>
      <c r="AA117" s="41"/>
      <c r="AB117" s="70">
        <f t="shared" ca="1" si="20"/>
        <v>0</v>
      </c>
      <c r="AC117" s="70">
        <f t="shared" ca="1" si="19"/>
        <v>1E-3</v>
      </c>
      <c r="AD117" s="186">
        <f t="shared" si="11"/>
        <v>5</v>
      </c>
      <c r="AE117" s="187">
        <f t="shared" si="12"/>
        <v>8</v>
      </c>
      <c r="AF117" s="187">
        <f t="shared" si="13"/>
        <v>-64</v>
      </c>
      <c r="AG117" s="188">
        <f t="shared" si="14"/>
        <v>-8</v>
      </c>
      <c r="AH117" s="189">
        <f t="shared" si="15"/>
        <v>-8.0000000000000002E-3</v>
      </c>
      <c r="AI117" s="188">
        <f t="shared" ca="1" si="16"/>
        <v>8.0000000000000002E-3</v>
      </c>
      <c r="AJ117" s="190"/>
    </row>
    <row r="118" spans="1:36" ht="42" customHeight="1" x14ac:dyDescent="0.25">
      <c r="A118" s="154" t="s">
        <v>44</v>
      </c>
      <c r="B118" s="143" t="s">
        <v>92</v>
      </c>
      <c r="C118" s="142" t="s">
        <v>89</v>
      </c>
      <c r="D118" s="142" t="s">
        <v>96</v>
      </c>
      <c r="E118" s="142" t="s">
        <v>165</v>
      </c>
      <c r="F118" s="144" t="s">
        <v>203</v>
      </c>
      <c r="G118" s="44" t="str">
        <f t="shared" si="18"/>
        <v>Subdirector Financiero</v>
      </c>
      <c r="H118" s="137">
        <v>44319</v>
      </c>
      <c r="I118" s="137">
        <v>44327</v>
      </c>
      <c r="J118" s="61"/>
      <c r="K118" s="61"/>
      <c r="L118" s="61"/>
      <c r="M118" s="61"/>
      <c r="N118" s="61"/>
      <c r="O118" s="61"/>
      <c r="P118" s="61"/>
      <c r="Q118" s="61"/>
      <c r="R118" s="61"/>
      <c r="S118" s="61"/>
      <c r="T118" s="61"/>
      <c r="U118" s="61"/>
      <c r="V118" s="142" t="s">
        <v>123</v>
      </c>
      <c r="W118" s="212">
        <v>1E-3</v>
      </c>
      <c r="X118" s="137"/>
      <c r="Y118" s="143"/>
      <c r="Z118" s="143"/>
      <c r="AA118" s="41"/>
      <c r="AB118" s="70">
        <f t="shared" ca="1" si="20"/>
        <v>0</v>
      </c>
      <c r="AC118" s="70">
        <f t="shared" ca="1" si="19"/>
        <v>1E-3</v>
      </c>
      <c r="AD118" s="186">
        <f t="shared" si="11"/>
        <v>5</v>
      </c>
      <c r="AE118" s="187">
        <f t="shared" si="12"/>
        <v>8</v>
      </c>
      <c r="AF118" s="187">
        <f t="shared" si="13"/>
        <v>-64</v>
      </c>
      <c r="AG118" s="188">
        <f t="shared" si="14"/>
        <v>-8</v>
      </c>
      <c r="AH118" s="189">
        <f t="shared" si="15"/>
        <v>-8.0000000000000002E-3</v>
      </c>
      <c r="AI118" s="188">
        <f t="shared" ca="1" si="16"/>
        <v>8.0000000000000002E-3</v>
      </c>
      <c r="AJ118" s="190"/>
    </row>
    <row r="119" spans="1:36" ht="42" customHeight="1" x14ac:dyDescent="0.25">
      <c r="A119" s="142" t="s">
        <v>50</v>
      </c>
      <c r="B119" s="143" t="s">
        <v>468</v>
      </c>
      <c r="C119" s="142" t="s">
        <v>81</v>
      </c>
      <c r="D119" s="142" t="s">
        <v>100</v>
      </c>
      <c r="E119" s="142" t="s">
        <v>165</v>
      </c>
      <c r="F119" s="144" t="s">
        <v>240</v>
      </c>
      <c r="G119" s="44" t="str">
        <f t="shared" si="18"/>
        <v>Director de Urbanizaciones y Titulación</v>
      </c>
      <c r="H119" s="137">
        <v>44319</v>
      </c>
      <c r="I119" s="137">
        <v>44377</v>
      </c>
      <c r="J119" s="61"/>
      <c r="K119" s="61"/>
      <c r="L119" s="61"/>
      <c r="M119" s="61"/>
      <c r="N119" s="61"/>
      <c r="O119" s="61"/>
      <c r="P119" s="61"/>
      <c r="Q119" s="61"/>
      <c r="R119" s="61"/>
      <c r="S119" s="61"/>
      <c r="T119" s="61"/>
      <c r="U119" s="61"/>
      <c r="V119" s="142" t="s">
        <v>123</v>
      </c>
      <c r="W119" s="212">
        <v>1.25E-3</v>
      </c>
      <c r="X119" s="137"/>
      <c r="Y119" s="72"/>
      <c r="Z119" s="72"/>
      <c r="AA119" s="41"/>
      <c r="AB119" s="70">
        <f t="shared" ca="1" si="20"/>
        <v>0</v>
      </c>
      <c r="AC119" s="70">
        <f t="shared" ca="1" si="19"/>
        <v>1.25E-3</v>
      </c>
      <c r="AD119" s="186">
        <f t="shared" si="11"/>
        <v>6</v>
      </c>
      <c r="AE119" s="187">
        <f t="shared" si="12"/>
        <v>58</v>
      </c>
      <c r="AF119" s="187">
        <f t="shared" si="13"/>
        <v>-64</v>
      </c>
      <c r="AG119" s="188">
        <f t="shared" si="14"/>
        <v>-1.103448275862069</v>
      </c>
      <c r="AH119" s="189">
        <f t="shared" si="15"/>
        <v>-1.3793103448275863E-3</v>
      </c>
      <c r="AI119" s="188">
        <f t="shared" ca="1" si="16"/>
        <v>1.3793103448275863E-3</v>
      </c>
      <c r="AJ119" s="190"/>
    </row>
    <row r="120" spans="1:36" ht="42" customHeight="1" x14ac:dyDescent="0.25">
      <c r="A120" s="142" t="s">
        <v>50</v>
      </c>
      <c r="B120" s="143" t="s">
        <v>468</v>
      </c>
      <c r="C120" s="142" t="s">
        <v>89</v>
      </c>
      <c r="D120" s="142" t="s">
        <v>96</v>
      </c>
      <c r="E120" s="142" t="s">
        <v>165</v>
      </c>
      <c r="F120" s="144" t="s">
        <v>240</v>
      </c>
      <c r="G120" s="44" t="str">
        <f t="shared" si="18"/>
        <v>Subdirector Financiero</v>
      </c>
      <c r="H120" s="137">
        <v>44319</v>
      </c>
      <c r="I120" s="137">
        <v>44377</v>
      </c>
      <c r="J120" s="61"/>
      <c r="K120" s="61"/>
      <c r="L120" s="61"/>
      <c r="M120" s="61"/>
      <c r="N120" s="61"/>
      <c r="O120" s="61"/>
      <c r="P120" s="61"/>
      <c r="Q120" s="61"/>
      <c r="R120" s="61"/>
      <c r="S120" s="61"/>
      <c r="T120" s="61"/>
      <c r="U120" s="61"/>
      <c r="V120" s="142" t="s">
        <v>123</v>
      </c>
      <c r="W120" s="212">
        <v>1.25E-3</v>
      </c>
      <c r="X120" s="137"/>
      <c r="Y120" s="80"/>
      <c r="Z120" s="72"/>
      <c r="AA120" s="41"/>
      <c r="AB120" s="70">
        <f t="shared" ca="1" si="20"/>
        <v>0</v>
      </c>
      <c r="AC120" s="70">
        <f t="shared" ca="1" si="19"/>
        <v>1.25E-3</v>
      </c>
      <c r="AD120" s="186">
        <f t="shared" si="11"/>
        <v>6</v>
      </c>
      <c r="AE120" s="187">
        <f t="shared" si="12"/>
        <v>58</v>
      </c>
      <c r="AF120" s="187">
        <f t="shared" si="13"/>
        <v>-64</v>
      </c>
      <c r="AG120" s="188">
        <f t="shared" si="14"/>
        <v>-1.103448275862069</v>
      </c>
      <c r="AH120" s="189">
        <f t="shared" si="15"/>
        <v>-1.3793103448275863E-3</v>
      </c>
      <c r="AI120" s="188">
        <f t="shared" ca="1" si="16"/>
        <v>1.3793103448275863E-3</v>
      </c>
      <c r="AJ120" s="190"/>
    </row>
    <row r="121" spans="1:36" ht="25.8" customHeight="1" x14ac:dyDescent="0.25">
      <c r="A121" s="142" t="s">
        <v>50</v>
      </c>
      <c r="B121" s="143" t="s">
        <v>465</v>
      </c>
      <c r="C121" s="142" t="s">
        <v>89</v>
      </c>
      <c r="D121" s="142" t="s">
        <v>96</v>
      </c>
      <c r="E121" s="142" t="s">
        <v>165</v>
      </c>
      <c r="F121" s="144" t="s">
        <v>240</v>
      </c>
      <c r="G121" s="44" t="str">
        <f t="shared" si="18"/>
        <v>Subdirector Financiero</v>
      </c>
      <c r="H121" s="137">
        <v>44319</v>
      </c>
      <c r="I121" s="137">
        <v>44377</v>
      </c>
      <c r="J121" s="61"/>
      <c r="K121" s="61"/>
      <c r="L121" s="61"/>
      <c r="M121" s="61"/>
      <c r="N121" s="61"/>
      <c r="O121" s="61"/>
      <c r="P121" s="61"/>
      <c r="Q121" s="61"/>
      <c r="R121" s="61"/>
      <c r="S121" s="61"/>
      <c r="T121" s="61"/>
      <c r="U121" s="61"/>
      <c r="V121" s="142" t="s">
        <v>123</v>
      </c>
      <c r="W121" s="212">
        <v>1.25E-3</v>
      </c>
      <c r="X121" s="137"/>
      <c r="Y121" s="72"/>
      <c r="Z121" s="72"/>
      <c r="AA121" s="142"/>
      <c r="AB121" s="70">
        <f t="shared" ca="1" si="20"/>
        <v>0</v>
      </c>
      <c r="AC121" s="70">
        <f t="shared" ca="1" si="19"/>
        <v>1.25E-3</v>
      </c>
      <c r="AD121" s="186">
        <f t="shared" si="11"/>
        <v>6</v>
      </c>
      <c r="AE121" s="187">
        <f t="shared" si="12"/>
        <v>58</v>
      </c>
      <c r="AF121" s="187">
        <f t="shared" si="13"/>
        <v>-64</v>
      </c>
      <c r="AG121" s="188">
        <f t="shared" si="14"/>
        <v>-1.103448275862069</v>
      </c>
      <c r="AH121" s="189">
        <f t="shared" si="15"/>
        <v>-1.3793103448275863E-3</v>
      </c>
      <c r="AI121" s="188">
        <f t="shared" ca="1" si="16"/>
        <v>1.3793103448275863E-3</v>
      </c>
      <c r="AJ121" s="190"/>
    </row>
    <row r="122" spans="1:36" ht="25.8" customHeight="1" x14ac:dyDescent="0.25">
      <c r="A122" s="142" t="s">
        <v>50</v>
      </c>
      <c r="B122" s="143" t="s">
        <v>465</v>
      </c>
      <c r="C122" s="142" t="s">
        <v>81</v>
      </c>
      <c r="D122" s="142" t="s">
        <v>100</v>
      </c>
      <c r="E122" s="142" t="s">
        <v>165</v>
      </c>
      <c r="F122" s="144" t="s">
        <v>240</v>
      </c>
      <c r="G122" s="44" t="str">
        <f t="shared" si="18"/>
        <v>Director de Urbanizaciones y Titulación</v>
      </c>
      <c r="H122" s="137">
        <v>44319</v>
      </c>
      <c r="I122" s="137">
        <v>44377</v>
      </c>
      <c r="J122" s="61"/>
      <c r="K122" s="61"/>
      <c r="L122" s="61"/>
      <c r="M122" s="61"/>
      <c r="N122" s="61"/>
      <c r="O122" s="61"/>
      <c r="P122" s="61"/>
      <c r="Q122" s="61"/>
      <c r="R122" s="61"/>
      <c r="S122" s="61"/>
      <c r="T122" s="61"/>
      <c r="U122" s="61"/>
      <c r="V122" s="142" t="s">
        <v>123</v>
      </c>
      <c r="W122" s="212">
        <v>1.25E-3</v>
      </c>
      <c r="X122" s="137"/>
      <c r="Y122" s="72"/>
      <c r="Z122" s="72"/>
      <c r="AA122" s="142"/>
      <c r="AB122" s="70">
        <f t="shared" ca="1" si="20"/>
        <v>0</v>
      </c>
      <c r="AC122" s="70">
        <f t="shared" ca="1" si="19"/>
        <v>1.25E-3</v>
      </c>
      <c r="AD122" s="186">
        <f t="shared" si="11"/>
        <v>6</v>
      </c>
      <c r="AE122" s="187">
        <f t="shared" si="12"/>
        <v>58</v>
      </c>
      <c r="AF122" s="187">
        <f t="shared" si="13"/>
        <v>-64</v>
      </c>
      <c r="AG122" s="188">
        <f t="shared" si="14"/>
        <v>-1.103448275862069</v>
      </c>
      <c r="AH122" s="189">
        <f t="shared" si="15"/>
        <v>-1.3793103448275863E-3</v>
      </c>
      <c r="AI122" s="188">
        <f t="shared" ca="1" si="16"/>
        <v>1.3793103448275863E-3</v>
      </c>
      <c r="AJ122" s="190"/>
    </row>
    <row r="123" spans="1:36" ht="25.8" customHeight="1" x14ac:dyDescent="0.25">
      <c r="A123" s="142" t="s">
        <v>50</v>
      </c>
      <c r="B123" s="143" t="s">
        <v>467</v>
      </c>
      <c r="C123" s="142" t="s">
        <v>81</v>
      </c>
      <c r="D123" s="142" t="s">
        <v>100</v>
      </c>
      <c r="E123" s="142" t="s">
        <v>165</v>
      </c>
      <c r="F123" s="144" t="s">
        <v>240</v>
      </c>
      <c r="G123" s="44" t="str">
        <f t="shared" si="18"/>
        <v>Director de Urbanizaciones y Titulación</v>
      </c>
      <c r="H123" s="137">
        <v>44319</v>
      </c>
      <c r="I123" s="137">
        <v>44377</v>
      </c>
      <c r="J123" s="61"/>
      <c r="K123" s="61"/>
      <c r="L123" s="61"/>
      <c r="M123" s="61"/>
      <c r="N123" s="61"/>
      <c r="O123" s="61"/>
      <c r="P123" s="61"/>
      <c r="Q123" s="61"/>
      <c r="R123" s="61"/>
      <c r="S123" s="61"/>
      <c r="T123" s="61"/>
      <c r="U123" s="61"/>
      <c r="V123" s="142" t="s">
        <v>123</v>
      </c>
      <c r="W123" s="212">
        <v>1.25E-3</v>
      </c>
      <c r="X123" s="137"/>
      <c r="Y123" s="72"/>
      <c r="Z123" s="72"/>
      <c r="AA123" s="142"/>
      <c r="AB123" s="70">
        <f t="shared" ca="1" si="20"/>
        <v>0</v>
      </c>
      <c r="AC123" s="70">
        <f t="shared" ca="1" si="19"/>
        <v>1.25E-3</v>
      </c>
      <c r="AD123" s="186">
        <f t="shared" si="11"/>
        <v>6</v>
      </c>
      <c r="AE123" s="187">
        <f t="shared" si="12"/>
        <v>58</v>
      </c>
      <c r="AF123" s="187">
        <f t="shared" si="13"/>
        <v>-64</v>
      </c>
      <c r="AG123" s="188">
        <f t="shared" si="14"/>
        <v>-1.103448275862069</v>
      </c>
      <c r="AH123" s="189">
        <f t="shared" si="15"/>
        <v>-1.3793103448275863E-3</v>
      </c>
      <c r="AI123" s="188">
        <f t="shared" ca="1" si="16"/>
        <v>1.3793103448275863E-3</v>
      </c>
      <c r="AJ123" s="190"/>
    </row>
    <row r="124" spans="1:36" ht="25.8" customHeight="1" x14ac:dyDescent="0.25">
      <c r="A124" s="142" t="s">
        <v>50</v>
      </c>
      <c r="B124" s="143" t="s">
        <v>467</v>
      </c>
      <c r="C124" s="142" t="s">
        <v>87</v>
      </c>
      <c r="D124" s="142" t="s">
        <v>96</v>
      </c>
      <c r="E124" s="142" t="s">
        <v>165</v>
      </c>
      <c r="F124" s="144" t="s">
        <v>240</v>
      </c>
      <c r="G124" s="44" t="str">
        <f t="shared" si="18"/>
        <v>Subdirector Administrativo</v>
      </c>
      <c r="H124" s="137">
        <v>44319</v>
      </c>
      <c r="I124" s="137">
        <v>44377</v>
      </c>
      <c r="J124" s="61"/>
      <c r="K124" s="61"/>
      <c r="L124" s="61"/>
      <c r="M124" s="61"/>
      <c r="N124" s="61"/>
      <c r="O124" s="61"/>
      <c r="P124" s="61"/>
      <c r="Q124" s="61"/>
      <c r="R124" s="61"/>
      <c r="S124" s="61"/>
      <c r="T124" s="61"/>
      <c r="U124" s="61"/>
      <c r="V124" s="142" t="s">
        <v>123</v>
      </c>
      <c r="W124" s="212">
        <v>1.25E-3</v>
      </c>
      <c r="X124" s="137"/>
      <c r="Y124" s="72"/>
      <c r="Z124" s="72"/>
      <c r="AA124" s="142"/>
      <c r="AB124" s="70">
        <f t="shared" ca="1" si="20"/>
        <v>0</v>
      </c>
      <c r="AC124" s="70">
        <f t="shared" ca="1" si="19"/>
        <v>1.25E-3</v>
      </c>
      <c r="AD124" s="186">
        <f t="shared" si="11"/>
        <v>6</v>
      </c>
      <c r="AE124" s="187">
        <f t="shared" si="12"/>
        <v>58</v>
      </c>
      <c r="AF124" s="187">
        <f t="shared" si="13"/>
        <v>-64</v>
      </c>
      <c r="AG124" s="188">
        <f t="shared" si="14"/>
        <v>-1.103448275862069</v>
      </c>
      <c r="AH124" s="189">
        <f t="shared" si="15"/>
        <v>-1.3793103448275863E-3</v>
      </c>
      <c r="AI124" s="188">
        <f t="shared" ca="1" si="16"/>
        <v>1.3793103448275863E-3</v>
      </c>
      <c r="AJ124" s="190"/>
    </row>
    <row r="125" spans="1:36" ht="42" customHeight="1" x14ac:dyDescent="0.25">
      <c r="A125" s="142" t="s">
        <v>50</v>
      </c>
      <c r="B125" s="143" t="s">
        <v>466</v>
      </c>
      <c r="C125" s="142" t="s">
        <v>76</v>
      </c>
      <c r="D125" s="142" t="s">
        <v>96</v>
      </c>
      <c r="E125" s="142" t="s">
        <v>165</v>
      </c>
      <c r="F125" s="144" t="s">
        <v>240</v>
      </c>
      <c r="G125" s="44" t="str">
        <f t="shared" si="18"/>
        <v>Subdirector Administrativo</v>
      </c>
      <c r="H125" s="137">
        <v>44319</v>
      </c>
      <c r="I125" s="137">
        <v>44377</v>
      </c>
      <c r="J125" s="61"/>
      <c r="K125" s="61"/>
      <c r="L125" s="61"/>
      <c r="M125" s="61"/>
      <c r="N125" s="61"/>
      <c r="O125" s="61"/>
      <c r="P125" s="61"/>
      <c r="Q125" s="61"/>
      <c r="R125" s="61"/>
      <c r="S125" s="61"/>
      <c r="T125" s="61"/>
      <c r="U125" s="61"/>
      <c r="V125" s="142" t="s">
        <v>123</v>
      </c>
      <c r="W125" s="212">
        <v>1.25E-3</v>
      </c>
      <c r="X125" s="137"/>
      <c r="Y125" s="72"/>
      <c r="Z125" s="72"/>
      <c r="AA125" s="142"/>
      <c r="AB125" s="70">
        <f t="shared" ca="1" si="20"/>
        <v>0</v>
      </c>
      <c r="AC125" s="70">
        <f t="shared" ca="1" si="19"/>
        <v>1.25E-3</v>
      </c>
      <c r="AD125" s="186">
        <f t="shared" si="11"/>
        <v>6</v>
      </c>
      <c r="AE125" s="187">
        <f t="shared" si="12"/>
        <v>58</v>
      </c>
      <c r="AF125" s="187">
        <f t="shared" si="13"/>
        <v>-64</v>
      </c>
      <c r="AG125" s="188">
        <f t="shared" si="14"/>
        <v>-1.103448275862069</v>
      </c>
      <c r="AH125" s="189">
        <f t="shared" si="15"/>
        <v>-1.3793103448275863E-3</v>
      </c>
      <c r="AI125" s="188">
        <f t="shared" ca="1" si="16"/>
        <v>1.3793103448275863E-3</v>
      </c>
      <c r="AJ125" s="190"/>
    </row>
    <row r="126" spans="1:36" ht="42" customHeight="1" x14ac:dyDescent="0.25">
      <c r="A126" s="142" t="s">
        <v>50</v>
      </c>
      <c r="B126" s="143" t="s">
        <v>340</v>
      </c>
      <c r="C126" s="142" t="s">
        <v>82</v>
      </c>
      <c r="D126" s="142" t="s">
        <v>100</v>
      </c>
      <c r="E126" s="142" t="s">
        <v>165</v>
      </c>
      <c r="F126" s="145" t="s">
        <v>240</v>
      </c>
      <c r="G126" s="44" t="str">
        <f t="shared" si="18"/>
        <v>Director de Mejoramiento de Barrios</v>
      </c>
      <c r="H126" s="137">
        <v>44319</v>
      </c>
      <c r="I126" s="137">
        <v>44377</v>
      </c>
      <c r="J126" s="61"/>
      <c r="K126" s="61"/>
      <c r="L126" s="61"/>
      <c r="M126" s="61"/>
      <c r="N126" s="61"/>
      <c r="O126" s="61"/>
      <c r="P126" s="61"/>
      <c r="Q126" s="61"/>
      <c r="R126" s="61"/>
      <c r="S126" s="61"/>
      <c r="T126" s="61"/>
      <c r="U126" s="61"/>
      <c r="V126" s="142" t="s">
        <v>123</v>
      </c>
      <c r="W126" s="212">
        <v>5.0000000000000001E-3</v>
      </c>
      <c r="X126" s="137"/>
      <c r="Y126" s="80"/>
      <c r="Z126" s="72"/>
      <c r="AA126" s="41"/>
      <c r="AB126" s="70">
        <f t="shared" ca="1" si="20"/>
        <v>0</v>
      </c>
      <c r="AC126" s="70">
        <f t="shared" ca="1" si="19"/>
        <v>5.0000000000000001E-3</v>
      </c>
      <c r="AD126" s="186">
        <f t="shared" si="11"/>
        <v>6</v>
      </c>
      <c r="AE126" s="187">
        <f t="shared" si="12"/>
        <v>58</v>
      </c>
      <c r="AF126" s="187">
        <f t="shared" si="13"/>
        <v>-64</v>
      </c>
      <c r="AG126" s="188">
        <f t="shared" si="14"/>
        <v>-1.103448275862069</v>
      </c>
      <c r="AH126" s="189">
        <f t="shared" si="15"/>
        <v>-5.5172413793103453E-3</v>
      </c>
      <c r="AI126" s="188">
        <f t="shared" ca="1" si="16"/>
        <v>5.5172413793103453E-3</v>
      </c>
      <c r="AJ126" s="190"/>
    </row>
    <row r="127" spans="1:36" ht="42" customHeight="1" x14ac:dyDescent="0.25">
      <c r="A127" s="142" t="s">
        <v>50</v>
      </c>
      <c r="B127" s="143" t="s">
        <v>216</v>
      </c>
      <c r="C127" s="67" t="s">
        <v>141</v>
      </c>
      <c r="D127" s="45" t="s">
        <v>96</v>
      </c>
      <c r="E127" s="142" t="s">
        <v>165</v>
      </c>
      <c r="F127" s="144" t="s">
        <v>160</v>
      </c>
      <c r="G127" s="44" t="str">
        <f t="shared" si="18"/>
        <v>Director de Gestión Corporativa y CID</v>
      </c>
      <c r="H127" s="184">
        <v>44320</v>
      </c>
      <c r="I127" s="184">
        <v>44356</v>
      </c>
      <c r="J127" s="61"/>
      <c r="K127" s="61"/>
      <c r="L127" s="61"/>
      <c r="M127" s="61"/>
      <c r="N127" s="61"/>
      <c r="O127" s="61"/>
      <c r="P127" s="61"/>
      <c r="Q127" s="61"/>
      <c r="R127" s="61"/>
      <c r="S127" s="61"/>
      <c r="T127" s="61"/>
      <c r="U127" s="61"/>
      <c r="V127" s="142" t="s">
        <v>123</v>
      </c>
      <c r="W127" s="212">
        <v>5.0000000000000001E-3</v>
      </c>
      <c r="X127" s="137"/>
      <c r="Y127" s="72"/>
      <c r="Z127" s="72"/>
      <c r="AA127" s="41"/>
      <c r="AB127" s="70">
        <f t="shared" ca="1" si="20"/>
        <v>0</v>
      </c>
      <c r="AC127" s="70">
        <f t="shared" ca="1" si="19"/>
        <v>5.0000000000000001E-3</v>
      </c>
      <c r="AD127" s="186">
        <f t="shared" si="11"/>
        <v>6</v>
      </c>
      <c r="AE127" s="187">
        <f t="shared" si="12"/>
        <v>36</v>
      </c>
      <c r="AF127" s="187">
        <f t="shared" si="13"/>
        <v>-65</v>
      </c>
      <c r="AG127" s="188">
        <f t="shared" si="14"/>
        <v>-1.8055555555555556</v>
      </c>
      <c r="AH127" s="189">
        <f t="shared" si="15"/>
        <v>-9.0277777777777787E-3</v>
      </c>
      <c r="AI127" s="188">
        <f t="shared" ca="1" si="16"/>
        <v>9.0277777777777787E-3</v>
      </c>
      <c r="AJ127" s="190"/>
    </row>
    <row r="128" spans="1:36" ht="42" customHeight="1" x14ac:dyDescent="0.25">
      <c r="A128" s="142" t="s">
        <v>51</v>
      </c>
      <c r="B128" s="143" t="s">
        <v>278</v>
      </c>
      <c r="C128" s="142" t="s">
        <v>98</v>
      </c>
      <c r="D128" s="142" t="s">
        <v>98</v>
      </c>
      <c r="E128" s="142" t="s">
        <v>165</v>
      </c>
      <c r="F128" s="145" t="s">
        <v>239</v>
      </c>
      <c r="G128" s="44" t="str">
        <f t="shared" si="18"/>
        <v>Líderes de Cada Proceso</v>
      </c>
      <c r="H128" s="137">
        <v>44327</v>
      </c>
      <c r="I128" s="137">
        <v>44331</v>
      </c>
      <c r="J128" s="61"/>
      <c r="K128" s="61"/>
      <c r="L128" s="61"/>
      <c r="M128" s="61"/>
      <c r="N128" s="61"/>
      <c r="O128" s="61"/>
      <c r="P128" s="61"/>
      <c r="Q128" s="61"/>
      <c r="R128" s="61"/>
      <c r="S128" s="61"/>
      <c r="T128" s="61"/>
      <c r="U128" s="61"/>
      <c r="V128" s="142" t="s">
        <v>202</v>
      </c>
      <c r="W128" s="215">
        <v>5.0000000000000001E-3</v>
      </c>
      <c r="X128" s="137"/>
      <c r="Y128" s="143"/>
      <c r="Z128" s="72"/>
      <c r="AA128" s="41"/>
      <c r="AB128" s="70">
        <f t="shared" ca="1" si="20"/>
        <v>0</v>
      </c>
      <c r="AC128" s="70">
        <f t="shared" ca="1" si="19"/>
        <v>5.0000000000000001E-3</v>
      </c>
      <c r="AD128" s="186">
        <f t="shared" si="11"/>
        <v>5</v>
      </c>
      <c r="AE128" s="187">
        <f t="shared" si="12"/>
        <v>4</v>
      </c>
      <c r="AF128" s="187">
        <f t="shared" si="13"/>
        <v>-72</v>
      </c>
      <c r="AG128" s="188">
        <f t="shared" si="14"/>
        <v>-18</v>
      </c>
      <c r="AH128" s="189">
        <f t="shared" si="15"/>
        <v>-0.09</v>
      </c>
      <c r="AI128" s="188">
        <f t="shared" ca="1" si="16"/>
        <v>0.09</v>
      </c>
      <c r="AJ128" s="190"/>
    </row>
    <row r="129" spans="1:173" ht="42" customHeight="1" x14ac:dyDescent="0.25">
      <c r="A129" s="142" t="s">
        <v>50</v>
      </c>
      <c r="B129" s="143" t="s">
        <v>339</v>
      </c>
      <c r="C129" s="142" t="s">
        <v>140</v>
      </c>
      <c r="D129" s="142" t="s">
        <v>100</v>
      </c>
      <c r="E129" s="142" t="s">
        <v>165</v>
      </c>
      <c r="F129" s="145" t="s">
        <v>159</v>
      </c>
      <c r="G129" s="44" t="str">
        <f t="shared" si="18"/>
        <v>Director de Gestión Corporativa y CID</v>
      </c>
      <c r="H129" s="137">
        <v>44330</v>
      </c>
      <c r="I129" s="137">
        <v>44362</v>
      </c>
      <c r="J129" s="61"/>
      <c r="K129" s="61"/>
      <c r="L129" s="61"/>
      <c r="M129" s="61"/>
      <c r="N129" s="61"/>
      <c r="O129" s="61"/>
      <c r="P129" s="61"/>
      <c r="Q129" s="61"/>
      <c r="R129" s="61"/>
      <c r="S129" s="61"/>
      <c r="T129" s="61"/>
      <c r="U129" s="61"/>
      <c r="V129" s="142" t="s">
        <v>123</v>
      </c>
      <c r="W129" s="212">
        <v>5.0000000000000001E-3</v>
      </c>
      <c r="X129" s="137"/>
      <c r="Y129" s="80"/>
      <c r="Z129" s="72"/>
      <c r="AA129" s="41"/>
      <c r="AB129" s="70">
        <f t="shared" ca="1" si="20"/>
        <v>0</v>
      </c>
      <c r="AC129" s="70">
        <f t="shared" ca="1" si="19"/>
        <v>5.0000000000000001E-3</v>
      </c>
      <c r="AD129" s="186">
        <f t="shared" si="11"/>
        <v>6</v>
      </c>
      <c r="AE129" s="187">
        <f t="shared" si="12"/>
        <v>32</v>
      </c>
      <c r="AF129" s="187">
        <f t="shared" si="13"/>
        <v>-75</v>
      </c>
      <c r="AG129" s="188">
        <f t="shared" si="14"/>
        <v>-2.34375</v>
      </c>
      <c r="AH129" s="189">
        <f t="shared" si="15"/>
        <v>-1.171875E-2</v>
      </c>
      <c r="AI129" s="188">
        <f t="shared" ca="1" si="16"/>
        <v>1.171875E-2</v>
      </c>
      <c r="AJ129" s="190"/>
    </row>
    <row r="130" spans="1:173" ht="42" customHeight="1" x14ac:dyDescent="0.25">
      <c r="A130" s="142" t="s">
        <v>50</v>
      </c>
      <c r="B130" s="143" t="s">
        <v>351</v>
      </c>
      <c r="C130" s="142" t="s">
        <v>82</v>
      </c>
      <c r="D130" s="142" t="s">
        <v>100</v>
      </c>
      <c r="E130" s="142" t="s">
        <v>165</v>
      </c>
      <c r="F130" s="145" t="s">
        <v>159</v>
      </c>
      <c r="G130" s="44" t="str">
        <f t="shared" si="18"/>
        <v>Director de Mejoramiento de Barrios</v>
      </c>
      <c r="H130" s="137">
        <v>44330</v>
      </c>
      <c r="I130" s="137">
        <v>44362</v>
      </c>
      <c r="J130" s="61"/>
      <c r="K130" s="61"/>
      <c r="L130" s="61"/>
      <c r="M130" s="61"/>
      <c r="N130" s="61"/>
      <c r="O130" s="61"/>
      <c r="P130" s="61"/>
      <c r="Q130" s="61"/>
      <c r="R130" s="61"/>
      <c r="S130" s="61"/>
      <c r="T130" s="61"/>
      <c r="U130" s="61"/>
      <c r="V130" s="41" t="s">
        <v>123</v>
      </c>
      <c r="W130" s="212">
        <v>5.0000000000000001E-3</v>
      </c>
      <c r="X130" s="137"/>
      <c r="Y130" s="80"/>
      <c r="Z130" s="72"/>
      <c r="AA130" s="41"/>
      <c r="AB130" s="70">
        <f t="shared" ca="1" si="20"/>
        <v>0</v>
      </c>
      <c r="AC130" s="70">
        <f t="shared" ca="1" si="19"/>
        <v>5.0000000000000001E-3</v>
      </c>
      <c r="AD130" s="186">
        <f t="shared" si="11"/>
        <v>6</v>
      </c>
      <c r="AE130" s="187">
        <f t="shared" si="12"/>
        <v>32</v>
      </c>
      <c r="AF130" s="187">
        <f t="shared" si="13"/>
        <v>-75</v>
      </c>
      <c r="AG130" s="188">
        <f t="shared" si="14"/>
        <v>-2.34375</v>
      </c>
      <c r="AH130" s="189">
        <f t="shared" si="15"/>
        <v>-1.171875E-2</v>
      </c>
      <c r="AI130" s="188">
        <f t="shared" ca="1" si="16"/>
        <v>1.171875E-2</v>
      </c>
      <c r="AJ130" s="190"/>
    </row>
    <row r="131" spans="1:173" ht="42" customHeight="1" x14ac:dyDescent="0.25">
      <c r="A131" s="142" t="s">
        <v>50</v>
      </c>
      <c r="B131" s="143" t="s">
        <v>338</v>
      </c>
      <c r="C131" s="142" t="s">
        <v>81</v>
      </c>
      <c r="D131" s="142" t="s">
        <v>100</v>
      </c>
      <c r="E131" s="142" t="s">
        <v>165</v>
      </c>
      <c r="F131" s="144" t="s">
        <v>263</v>
      </c>
      <c r="G131" s="44" t="str">
        <f t="shared" si="18"/>
        <v>Director de Urbanizaciones y Titulación</v>
      </c>
      <c r="H131" s="137">
        <v>44334</v>
      </c>
      <c r="I131" s="137">
        <v>44358</v>
      </c>
      <c r="J131" s="61"/>
      <c r="K131" s="61"/>
      <c r="L131" s="61"/>
      <c r="M131" s="61"/>
      <c r="N131" s="61"/>
      <c r="O131" s="61"/>
      <c r="P131" s="61"/>
      <c r="Q131" s="61"/>
      <c r="R131" s="61"/>
      <c r="S131" s="61"/>
      <c r="T131" s="61"/>
      <c r="U131" s="61"/>
      <c r="V131" s="142" t="s">
        <v>123</v>
      </c>
      <c r="W131" s="212">
        <v>5.0000000000000001E-3</v>
      </c>
      <c r="X131" s="137"/>
      <c r="Y131" s="72"/>
      <c r="Z131" s="72"/>
      <c r="AA131" s="41"/>
      <c r="AB131" s="70">
        <f t="shared" ca="1" si="20"/>
        <v>0</v>
      </c>
      <c r="AC131" s="70">
        <f t="shared" ca="1" si="19"/>
        <v>5.0000000000000001E-3</v>
      </c>
      <c r="AD131" s="186">
        <f t="shared" si="11"/>
        <v>6</v>
      </c>
      <c r="AE131" s="187">
        <f t="shared" si="12"/>
        <v>24</v>
      </c>
      <c r="AF131" s="187">
        <f t="shared" si="13"/>
        <v>-79</v>
      </c>
      <c r="AG131" s="188">
        <f t="shared" si="14"/>
        <v>-3.2916666666666665</v>
      </c>
      <c r="AH131" s="189">
        <f t="shared" si="15"/>
        <v>-1.6458333333333332E-2</v>
      </c>
      <c r="AI131" s="188">
        <f t="shared" ca="1" si="16"/>
        <v>1.6458333333333332E-2</v>
      </c>
      <c r="AJ131" s="190"/>
    </row>
    <row r="132" spans="1:173" ht="42" customHeight="1" x14ac:dyDescent="0.25">
      <c r="A132" s="142" t="s">
        <v>45</v>
      </c>
      <c r="B132" s="143" t="s">
        <v>124</v>
      </c>
      <c r="C132" s="142" t="s">
        <v>98</v>
      </c>
      <c r="D132" s="142" t="s">
        <v>98</v>
      </c>
      <c r="E132" s="142" t="s">
        <v>165</v>
      </c>
      <c r="F132" s="144" t="s">
        <v>263</v>
      </c>
      <c r="G132" s="44" t="str">
        <f t="shared" si="18"/>
        <v>Líderes de Cada Proceso</v>
      </c>
      <c r="H132" s="137">
        <v>44334</v>
      </c>
      <c r="I132" s="137">
        <v>44469</v>
      </c>
      <c r="J132" s="61"/>
      <c r="K132" s="61"/>
      <c r="L132" s="61"/>
      <c r="M132" s="61"/>
      <c r="N132" s="61"/>
      <c r="O132" s="61"/>
      <c r="P132" s="61"/>
      <c r="Q132" s="61"/>
      <c r="R132" s="61"/>
      <c r="S132" s="61"/>
      <c r="T132" s="61"/>
      <c r="U132" s="61"/>
      <c r="V132" s="142" t="s">
        <v>335</v>
      </c>
      <c r="W132" s="212">
        <v>1.2E-2</v>
      </c>
      <c r="X132" s="137"/>
      <c r="Y132" s="72"/>
      <c r="Z132" s="72"/>
      <c r="AA132" s="41"/>
      <c r="AB132" s="70">
        <f t="shared" ca="1" si="20"/>
        <v>0</v>
      </c>
      <c r="AC132" s="70">
        <f t="shared" ca="1" si="19"/>
        <v>1.2E-2</v>
      </c>
      <c r="AD132" s="186">
        <f t="shared" si="11"/>
        <v>9</v>
      </c>
      <c r="AE132" s="187">
        <f t="shared" si="12"/>
        <v>135</v>
      </c>
      <c r="AF132" s="187">
        <f t="shared" si="13"/>
        <v>-79</v>
      </c>
      <c r="AG132" s="188">
        <f t="shared" si="14"/>
        <v>-0.58518518518518514</v>
      </c>
      <c r="AH132" s="189">
        <f t="shared" si="15"/>
        <v>-7.0222222222222222E-3</v>
      </c>
      <c r="AI132" s="188">
        <f t="shared" ca="1" si="16"/>
        <v>7.0222222222222222E-3</v>
      </c>
      <c r="AJ132" s="190"/>
    </row>
    <row r="133" spans="1:173" ht="42" customHeight="1" x14ac:dyDescent="0.25">
      <c r="A133" s="142" t="s">
        <v>45</v>
      </c>
      <c r="B133" s="143" t="s">
        <v>289</v>
      </c>
      <c r="C133" s="142" t="s">
        <v>90</v>
      </c>
      <c r="D133" s="142" t="s">
        <v>97</v>
      </c>
      <c r="E133" s="142" t="s">
        <v>165</v>
      </c>
      <c r="F133" s="145" t="s">
        <v>239</v>
      </c>
      <c r="G133" s="44" t="str">
        <f t="shared" si="18"/>
        <v>Asesor de Control Interno</v>
      </c>
      <c r="H133" s="137">
        <v>44342</v>
      </c>
      <c r="I133" s="137">
        <v>44349</v>
      </c>
      <c r="J133" s="61"/>
      <c r="K133" s="61"/>
      <c r="L133" s="61"/>
      <c r="M133" s="61"/>
      <c r="N133" s="61"/>
      <c r="O133" s="61"/>
      <c r="P133" s="61"/>
      <c r="Q133" s="61"/>
      <c r="R133" s="61"/>
      <c r="S133" s="61"/>
      <c r="T133" s="61"/>
      <c r="U133" s="61"/>
      <c r="V133" s="142" t="s">
        <v>215</v>
      </c>
      <c r="W133" s="212">
        <v>3.0000000000000001E-3</v>
      </c>
      <c r="X133" s="137"/>
      <c r="Y133" s="143"/>
      <c r="Z133" s="72"/>
      <c r="AA133" s="41"/>
      <c r="AB133" s="70">
        <f t="shared" ca="1" si="20"/>
        <v>0</v>
      </c>
      <c r="AC133" s="70">
        <f t="shared" ca="1" si="19"/>
        <v>3.0000000000000001E-3</v>
      </c>
      <c r="AD133" s="186">
        <f t="shared" si="11"/>
        <v>6</v>
      </c>
      <c r="AE133" s="187">
        <f t="shared" si="12"/>
        <v>7</v>
      </c>
      <c r="AF133" s="187">
        <f t="shared" si="13"/>
        <v>-87</v>
      </c>
      <c r="AG133" s="188">
        <f t="shared" si="14"/>
        <v>-12.428571428571429</v>
      </c>
      <c r="AH133" s="189">
        <f t="shared" si="15"/>
        <v>-3.728571428571429E-2</v>
      </c>
      <c r="AI133" s="188">
        <f t="shared" ca="1" si="16"/>
        <v>3.728571428571429E-2</v>
      </c>
      <c r="AJ133" s="190"/>
    </row>
    <row r="134" spans="1:173" ht="42" customHeight="1" x14ac:dyDescent="0.25">
      <c r="A134" s="154" t="s">
        <v>46</v>
      </c>
      <c r="B134" s="143" t="s">
        <v>314</v>
      </c>
      <c r="C134" s="142" t="s">
        <v>82</v>
      </c>
      <c r="D134" s="142" t="s">
        <v>100</v>
      </c>
      <c r="E134" s="142" t="s">
        <v>165</v>
      </c>
      <c r="F134" s="145" t="s">
        <v>239</v>
      </c>
      <c r="G134" s="44" t="str">
        <f t="shared" si="18"/>
        <v>Director de Mejoramiento de Barrios</v>
      </c>
      <c r="H134" s="137">
        <v>44344</v>
      </c>
      <c r="I134" s="137">
        <v>44349</v>
      </c>
      <c r="J134" s="61"/>
      <c r="K134" s="61"/>
      <c r="L134" s="61"/>
      <c r="M134" s="61"/>
      <c r="N134" s="61"/>
      <c r="O134" s="61"/>
      <c r="P134" s="61"/>
      <c r="Q134" s="61"/>
      <c r="R134" s="61"/>
      <c r="S134" s="61"/>
      <c r="T134" s="61"/>
      <c r="U134" s="61"/>
      <c r="V134" s="140" t="s">
        <v>317</v>
      </c>
      <c r="W134" s="212">
        <v>1E-3</v>
      </c>
      <c r="X134" s="137"/>
      <c r="Y134" s="72"/>
      <c r="Z134" s="72"/>
      <c r="AA134" s="41"/>
      <c r="AB134" s="70">
        <f t="shared" ca="1" si="20"/>
        <v>0</v>
      </c>
      <c r="AC134" s="70">
        <f t="shared" ca="1" si="19"/>
        <v>1E-3</v>
      </c>
      <c r="AD134" s="186">
        <f t="shared" si="11"/>
        <v>6</v>
      </c>
      <c r="AE134" s="187">
        <f t="shared" si="12"/>
        <v>5</v>
      </c>
      <c r="AF134" s="187">
        <f t="shared" si="13"/>
        <v>-89</v>
      </c>
      <c r="AG134" s="188">
        <f t="shared" si="14"/>
        <v>-17.8</v>
      </c>
      <c r="AH134" s="189">
        <f t="shared" si="15"/>
        <v>-1.78E-2</v>
      </c>
      <c r="AI134" s="188">
        <f t="shared" ca="1" si="16"/>
        <v>1.78E-2</v>
      </c>
      <c r="AJ134" s="190"/>
    </row>
    <row r="135" spans="1:173" ht="42" customHeight="1" x14ac:dyDescent="0.25">
      <c r="A135" s="142" t="s">
        <v>45</v>
      </c>
      <c r="B135" s="42" t="s">
        <v>114</v>
      </c>
      <c r="C135" s="142" t="s">
        <v>90</v>
      </c>
      <c r="D135" s="142" t="s">
        <v>97</v>
      </c>
      <c r="E135" s="142" t="s">
        <v>165</v>
      </c>
      <c r="F135" s="145" t="s">
        <v>239</v>
      </c>
      <c r="G135" s="44" t="str">
        <f t="shared" si="18"/>
        <v>Asesor de Control Interno</v>
      </c>
      <c r="H135" s="137">
        <v>44348</v>
      </c>
      <c r="I135" s="137">
        <v>44351</v>
      </c>
      <c r="J135" s="61"/>
      <c r="K135" s="61"/>
      <c r="L135" s="61"/>
      <c r="M135" s="61"/>
      <c r="N135" s="61"/>
      <c r="O135" s="61"/>
      <c r="P135" s="61"/>
      <c r="Q135" s="61"/>
      <c r="R135" s="61"/>
      <c r="S135" s="61"/>
      <c r="T135" s="61"/>
      <c r="U135" s="61"/>
      <c r="V135" s="142" t="s">
        <v>202</v>
      </c>
      <c r="W135" s="212">
        <v>3.0000000000000001E-3</v>
      </c>
      <c r="X135" s="137"/>
      <c r="Y135" s="143"/>
      <c r="Z135" s="72"/>
      <c r="AA135" s="41"/>
      <c r="AB135" s="70">
        <f t="shared" ca="1" si="20"/>
        <v>0</v>
      </c>
      <c r="AC135" s="70">
        <f t="shared" ca="1" si="19"/>
        <v>3.0000000000000001E-3</v>
      </c>
      <c r="AD135" s="186">
        <f t="shared" si="11"/>
        <v>6</v>
      </c>
      <c r="AE135" s="187">
        <f t="shared" si="12"/>
        <v>3</v>
      </c>
      <c r="AF135" s="187">
        <f t="shared" si="13"/>
        <v>-93</v>
      </c>
      <c r="AG135" s="188">
        <f t="shared" si="14"/>
        <v>-31</v>
      </c>
      <c r="AH135" s="189">
        <f t="shared" si="15"/>
        <v>-9.2999999999999999E-2</v>
      </c>
      <c r="AI135" s="188">
        <f t="shared" ca="1" si="16"/>
        <v>9.2999999999999999E-2</v>
      </c>
      <c r="AJ135" s="190"/>
    </row>
    <row r="136" spans="1:173" ht="42" customHeight="1" x14ac:dyDescent="0.25">
      <c r="A136" s="154" t="s">
        <v>46</v>
      </c>
      <c r="B136" s="143" t="s">
        <v>93</v>
      </c>
      <c r="C136" s="142" t="s">
        <v>141</v>
      </c>
      <c r="D136" s="142" t="s">
        <v>96</v>
      </c>
      <c r="E136" s="142" t="s">
        <v>165</v>
      </c>
      <c r="F136" s="144" t="s">
        <v>240</v>
      </c>
      <c r="G136" s="44" t="str">
        <f t="shared" si="18"/>
        <v>Director de Gestión Corporativa y CID</v>
      </c>
      <c r="H136" s="137">
        <v>44348</v>
      </c>
      <c r="I136" s="137">
        <v>44357</v>
      </c>
      <c r="J136" s="61"/>
      <c r="K136" s="61"/>
      <c r="L136" s="61"/>
      <c r="M136" s="61"/>
      <c r="N136" s="61"/>
      <c r="O136" s="61"/>
      <c r="P136" s="61"/>
      <c r="Q136" s="61"/>
      <c r="R136" s="61"/>
      <c r="S136" s="61"/>
      <c r="T136" s="61"/>
      <c r="U136" s="61"/>
      <c r="V136" s="142" t="s">
        <v>332</v>
      </c>
      <c r="W136" s="212">
        <v>1E-3</v>
      </c>
      <c r="X136" s="137"/>
      <c r="Y136" s="72"/>
      <c r="Z136" s="72"/>
      <c r="AA136" s="41"/>
      <c r="AB136" s="70">
        <f t="shared" ca="1" si="20"/>
        <v>0</v>
      </c>
      <c r="AC136" s="70">
        <f t="shared" ca="1" si="19"/>
        <v>1E-3</v>
      </c>
      <c r="AD136" s="186">
        <f t="shared" ref="AD136:AD199" si="21">MONTH(I136)</f>
        <v>6</v>
      </c>
      <c r="AE136" s="187">
        <f t="shared" ref="AE136:AE199" si="22">+I136-H136</f>
        <v>9</v>
      </c>
      <c r="AF136" s="187">
        <f t="shared" ref="AF136:AF199" si="23">+$AF$18-H136</f>
        <v>-93</v>
      </c>
      <c r="AG136" s="188">
        <f t="shared" ref="AG136:AG199" si="24">+AF136/AE136</f>
        <v>-10.333333333333334</v>
      </c>
      <c r="AH136" s="189">
        <f t="shared" ref="AH136:AH199" si="25">+AG136*W136</f>
        <v>-1.0333333333333335E-2</v>
      </c>
      <c r="AI136" s="188">
        <f t="shared" ref="AI136:AI199" ca="1" si="26">+AB136-AH136</f>
        <v>1.0333333333333335E-2</v>
      </c>
      <c r="AJ136" s="190"/>
    </row>
    <row r="137" spans="1:173" ht="42" customHeight="1" x14ac:dyDescent="0.25">
      <c r="A137" s="142" t="s">
        <v>45</v>
      </c>
      <c r="B137" s="143" t="s">
        <v>328</v>
      </c>
      <c r="C137" s="142" t="s">
        <v>90</v>
      </c>
      <c r="D137" s="142" t="s">
        <v>97</v>
      </c>
      <c r="E137" s="142" t="s">
        <v>165</v>
      </c>
      <c r="F137" s="144" t="s">
        <v>160</v>
      </c>
      <c r="G137" s="44" t="str">
        <f t="shared" si="18"/>
        <v>Asesor de Control Interno</v>
      </c>
      <c r="H137" s="137">
        <v>44348</v>
      </c>
      <c r="I137" s="137">
        <v>44439</v>
      </c>
      <c r="J137" s="61"/>
      <c r="K137" s="61"/>
      <c r="L137" s="61"/>
      <c r="M137" s="61"/>
      <c r="N137" s="61"/>
      <c r="O137" s="61"/>
      <c r="P137" s="61"/>
      <c r="Q137" s="61"/>
      <c r="R137" s="61"/>
      <c r="S137" s="61"/>
      <c r="T137" s="61"/>
      <c r="U137" s="61"/>
      <c r="V137" s="142" t="s">
        <v>336</v>
      </c>
      <c r="W137" s="212">
        <v>1.0999999999999999E-2</v>
      </c>
      <c r="X137" s="137"/>
      <c r="Y137" s="72"/>
      <c r="Z137" s="72"/>
      <c r="AA137" s="41"/>
      <c r="AB137" s="70">
        <f t="shared" ref="AB137:AB168" ca="1" si="27">IF(ISERROR(VLOOKUP(AA137,INDIRECT(VLOOKUP(A137,ACTA,2,0)&amp;"A"),2,0))=TRUE,0,W137*(VLOOKUP(AA137,INDIRECT(VLOOKUP(A137,ACTA,2,0)&amp;"A"),2,0)))</f>
        <v>0</v>
      </c>
      <c r="AC137" s="70">
        <f t="shared" ca="1" si="19"/>
        <v>1.0999999999999999E-2</v>
      </c>
      <c r="AD137" s="186">
        <f t="shared" si="21"/>
        <v>8</v>
      </c>
      <c r="AE137" s="187">
        <f t="shared" si="22"/>
        <v>91</v>
      </c>
      <c r="AF137" s="187">
        <f t="shared" si="23"/>
        <v>-93</v>
      </c>
      <c r="AG137" s="188">
        <f t="shared" si="24"/>
        <v>-1.0219780219780219</v>
      </c>
      <c r="AH137" s="189">
        <f t="shared" si="25"/>
        <v>-1.1241758241758239E-2</v>
      </c>
      <c r="AI137" s="188">
        <f t="shared" ca="1" si="26"/>
        <v>1.1241758241758239E-2</v>
      </c>
      <c r="AJ137" s="190"/>
    </row>
    <row r="138" spans="1:173" ht="42" customHeight="1" x14ac:dyDescent="0.25">
      <c r="A138" s="154" t="s">
        <v>44</v>
      </c>
      <c r="B138" s="42" t="s">
        <v>92</v>
      </c>
      <c r="C138" s="142" t="s">
        <v>89</v>
      </c>
      <c r="D138" s="142" t="s">
        <v>96</v>
      </c>
      <c r="E138" s="142" t="s">
        <v>165</v>
      </c>
      <c r="F138" s="144" t="s">
        <v>203</v>
      </c>
      <c r="G138" s="44" t="str">
        <f t="shared" si="18"/>
        <v>Subdirector Financiero</v>
      </c>
      <c r="H138" s="137">
        <v>44351</v>
      </c>
      <c r="I138" s="137">
        <v>44357</v>
      </c>
      <c r="J138" s="61"/>
      <c r="K138" s="61"/>
      <c r="L138" s="61"/>
      <c r="M138" s="61"/>
      <c r="N138" s="61"/>
      <c r="O138" s="61"/>
      <c r="P138" s="61"/>
      <c r="Q138" s="61"/>
      <c r="R138" s="61"/>
      <c r="S138" s="61"/>
      <c r="T138" s="61"/>
      <c r="U138" s="61"/>
      <c r="V138" s="41" t="s">
        <v>123</v>
      </c>
      <c r="W138" s="212">
        <v>1E-3</v>
      </c>
      <c r="X138" s="137"/>
      <c r="Y138" s="143"/>
      <c r="Z138" s="143"/>
      <c r="AA138" s="41"/>
      <c r="AB138" s="70">
        <f t="shared" ca="1" si="27"/>
        <v>0</v>
      </c>
      <c r="AC138" s="70">
        <f t="shared" ca="1" si="19"/>
        <v>1E-3</v>
      </c>
      <c r="AD138" s="186">
        <f t="shared" si="21"/>
        <v>6</v>
      </c>
      <c r="AE138" s="187">
        <f t="shared" si="22"/>
        <v>6</v>
      </c>
      <c r="AF138" s="187">
        <f t="shared" si="23"/>
        <v>-96</v>
      </c>
      <c r="AG138" s="188">
        <f t="shared" si="24"/>
        <v>-16</v>
      </c>
      <c r="AH138" s="189">
        <f t="shared" si="25"/>
        <v>-1.6E-2</v>
      </c>
      <c r="AI138" s="188">
        <f t="shared" ca="1" si="26"/>
        <v>1.6E-2</v>
      </c>
      <c r="AJ138" s="190"/>
    </row>
    <row r="139" spans="1:173" ht="42" customHeight="1" x14ac:dyDescent="0.25">
      <c r="A139" s="142" t="s">
        <v>44</v>
      </c>
      <c r="B139" s="143" t="s">
        <v>212</v>
      </c>
      <c r="C139" s="142" t="s">
        <v>73</v>
      </c>
      <c r="D139" s="142" t="s">
        <v>95</v>
      </c>
      <c r="E139" s="142" t="s">
        <v>165</v>
      </c>
      <c r="F139" s="145" t="s">
        <v>239</v>
      </c>
      <c r="G139" s="44" t="str">
        <f t="shared" si="18"/>
        <v xml:space="preserve">Jefe Oficina Asesora de Planeación </v>
      </c>
      <c r="H139" s="137">
        <v>44355</v>
      </c>
      <c r="I139" s="137">
        <v>44372</v>
      </c>
      <c r="J139" s="61"/>
      <c r="K139" s="61"/>
      <c r="L139" s="61"/>
      <c r="M139" s="61"/>
      <c r="N139" s="61"/>
      <c r="O139" s="61"/>
      <c r="P139" s="61"/>
      <c r="Q139" s="61"/>
      <c r="R139" s="61"/>
      <c r="S139" s="61"/>
      <c r="T139" s="61"/>
      <c r="U139" s="61"/>
      <c r="V139" s="142" t="s">
        <v>123</v>
      </c>
      <c r="W139" s="212">
        <v>0.01</v>
      </c>
      <c r="X139" s="137"/>
      <c r="Y139" s="72"/>
      <c r="Z139" s="72"/>
      <c r="AA139" s="41"/>
      <c r="AB139" s="70">
        <f t="shared" ca="1" si="27"/>
        <v>0</v>
      </c>
      <c r="AC139" s="70">
        <f t="shared" ca="1" si="19"/>
        <v>0.01</v>
      </c>
      <c r="AD139" s="186">
        <f t="shared" si="21"/>
        <v>6</v>
      </c>
      <c r="AE139" s="187">
        <f t="shared" si="22"/>
        <v>17</v>
      </c>
      <c r="AF139" s="187">
        <f t="shared" si="23"/>
        <v>-100</v>
      </c>
      <c r="AG139" s="188">
        <f t="shared" si="24"/>
        <v>-5.882352941176471</v>
      </c>
      <c r="AH139" s="189">
        <f t="shared" si="25"/>
        <v>-5.8823529411764712E-2</v>
      </c>
      <c r="AI139" s="188">
        <f t="shared" ca="1" si="26"/>
        <v>5.8823529411764712E-2</v>
      </c>
      <c r="AJ139" s="190"/>
    </row>
    <row r="140" spans="1:173" ht="42" customHeight="1" x14ac:dyDescent="0.25">
      <c r="A140" s="142" t="s">
        <v>50</v>
      </c>
      <c r="B140" s="143" t="s">
        <v>325</v>
      </c>
      <c r="C140" s="67" t="s">
        <v>141</v>
      </c>
      <c r="D140" s="45" t="s">
        <v>96</v>
      </c>
      <c r="E140" s="142" t="s">
        <v>165</v>
      </c>
      <c r="F140" s="144" t="s">
        <v>160</v>
      </c>
      <c r="G140" s="44" t="str">
        <f t="shared" si="18"/>
        <v>Director de Gestión Corporativa y CID</v>
      </c>
      <c r="H140" s="184">
        <v>44357</v>
      </c>
      <c r="I140" s="184">
        <v>44393</v>
      </c>
      <c r="J140" s="61"/>
      <c r="K140" s="61"/>
      <c r="L140" s="61"/>
      <c r="M140" s="61"/>
      <c r="N140" s="61"/>
      <c r="O140" s="61"/>
      <c r="P140" s="61"/>
      <c r="Q140" s="61"/>
      <c r="R140" s="61"/>
      <c r="S140" s="61"/>
      <c r="T140" s="61"/>
      <c r="U140" s="61"/>
      <c r="V140" s="142" t="s">
        <v>123</v>
      </c>
      <c r="W140" s="212">
        <v>5.0000000000000001E-3</v>
      </c>
      <c r="X140" s="137"/>
      <c r="Y140" s="72"/>
      <c r="Z140" s="72"/>
      <c r="AA140" s="41"/>
      <c r="AB140" s="70">
        <f t="shared" ca="1" si="27"/>
        <v>0</v>
      </c>
      <c r="AC140" s="70">
        <f t="shared" ca="1" si="19"/>
        <v>5.0000000000000001E-3</v>
      </c>
      <c r="AD140" s="186">
        <f t="shared" si="21"/>
        <v>7</v>
      </c>
      <c r="AE140" s="187">
        <f t="shared" si="22"/>
        <v>36</v>
      </c>
      <c r="AF140" s="187">
        <f t="shared" si="23"/>
        <v>-102</v>
      </c>
      <c r="AG140" s="188">
        <f t="shared" si="24"/>
        <v>-2.8333333333333335</v>
      </c>
      <c r="AH140" s="189">
        <f t="shared" si="25"/>
        <v>-1.4166666666666668E-2</v>
      </c>
      <c r="AI140" s="188">
        <f t="shared" ca="1" si="26"/>
        <v>1.4166666666666668E-2</v>
      </c>
      <c r="AJ140" s="190"/>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row>
    <row r="141" spans="1:173" ht="42" customHeight="1" x14ac:dyDescent="0.25">
      <c r="A141" s="142" t="s">
        <v>47</v>
      </c>
      <c r="B141" s="146" t="s">
        <v>308</v>
      </c>
      <c r="C141" s="142" t="s">
        <v>98</v>
      </c>
      <c r="D141" s="142" t="s">
        <v>98</v>
      </c>
      <c r="E141" s="142" t="s">
        <v>165</v>
      </c>
      <c r="F141" s="144" t="s">
        <v>263</v>
      </c>
      <c r="G141" s="44" t="str">
        <f t="shared" si="18"/>
        <v>Líderes de Cada Proceso</v>
      </c>
      <c r="H141" s="137">
        <v>44362</v>
      </c>
      <c r="I141" s="137">
        <v>44379</v>
      </c>
      <c r="J141" s="61"/>
      <c r="K141" s="61"/>
      <c r="L141" s="61"/>
      <c r="M141" s="61"/>
      <c r="N141" s="61"/>
      <c r="O141" s="61"/>
      <c r="P141" s="61"/>
      <c r="Q141" s="61"/>
      <c r="R141" s="61"/>
      <c r="S141" s="61"/>
      <c r="T141" s="61"/>
      <c r="U141" s="61"/>
      <c r="V141" s="142" t="s">
        <v>215</v>
      </c>
      <c r="W141" s="215">
        <v>0.02</v>
      </c>
      <c r="X141" s="137"/>
      <c r="Y141" s="73"/>
      <c r="Z141" s="72"/>
      <c r="AA141" s="41"/>
      <c r="AB141" s="70">
        <f t="shared" ca="1" si="27"/>
        <v>0</v>
      </c>
      <c r="AC141" s="70">
        <f t="shared" ca="1" si="19"/>
        <v>0.02</v>
      </c>
      <c r="AD141" s="186">
        <f t="shared" si="21"/>
        <v>7</v>
      </c>
      <c r="AE141" s="187">
        <f t="shared" si="22"/>
        <v>17</v>
      </c>
      <c r="AF141" s="187">
        <f t="shared" si="23"/>
        <v>-107</v>
      </c>
      <c r="AG141" s="188">
        <f t="shared" si="24"/>
        <v>-6.2941176470588234</v>
      </c>
      <c r="AH141" s="189">
        <f t="shared" si="25"/>
        <v>-0.12588235294117647</v>
      </c>
      <c r="AI141" s="188">
        <f t="shared" ca="1" si="26"/>
        <v>0.12588235294117647</v>
      </c>
      <c r="AJ141" s="190"/>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row>
    <row r="142" spans="1:173" ht="42" customHeight="1" x14ac:dyDescent="0.25">
      <c r="A142" s="142" t="s">
        <v>47</v>
      </c>
      <c r="B142" s="146" t="s">
        <v>309</v>
      </c>
      <c r="C142" s="142" t="s">
        <v>98</v>
      </c>
      <c r="D142" s="142" t="s">
        <v>98</v>
      </c>
      <c r="E142" s="142" t="s">
        <v>165</v>
      </c>
      <c r="F142" s="144" t="s">
        <v>263</v>
      </c>
      <c r="G142" s="44" t="str">
        <f t="shared" si="18"/>
        <v>Líderes de Cada Proceso</v>
      </c>
      <c r="H142" s="137">
        <v>44362</v>
      </c>
      <c r="I142" s="137">
        <v>44379</v>
      </c>
      <c r="J142" s="61"/>
      <c r="K142" s="61"/>
      <c r="L142" s="61"/>
      <c r="M142" s="61"/>
      <c r="N142" s="61"/>
      <c r="O142" s="61"/>
      <c r="P142" s="61"/>
      <c r="Q142" s="61"/>
      <c r="R142" s="61"/>
      <c r="S142" s="61"/>
      <c r="T142" s="61"/>
      <c r="U142" s="61"/>
      <c r="V142" s="142" t="s">
        <v>215</v>
      </c>
      <c r="W142" s="215">
        <v>0.02</v>
      </c>
      <c r="X142" s="137"/>
      <c r="Y142" s="143"/>
      <c r="Z142" s="72"/>
      <c r="AA142" s="41"/>
      <c r="AB142" s="70">
        <f t="shared" ca="1" si="27"/>
        <v>0</v>
      </c>
      <c r="AC142" s="70">
        <f t="shared" ca="1" si="19"/>
        <v>0.02</v>
      </c>
      <c r="AD142" s="186">
        <f t="shared" si="21"/>
        <v>7</v>
      </c>
      <c r="AE142" s="187">
        <f t="shared" si="22"/>
        <v>17</v>
      </c>
      <c r="AF142" s="187">
        <f t="shared" si="23"/>
        <v>-107</v>
      </c>
      <c r="AG142" s="188">
        <f t="shared" si="24"/>
        <v>-6.2941176470588234</v>
      </c>
      <c r="AH142" s="189">
        <f t="shared" si="25"/>
        <v>-0.12588235294117647</v>
      </c>
      <c r="AI142" s="188">
        <f t="shared" ca="1" si="26"/>
        <v>0.12588235294117647</v>
      </c>
      <c r="AJ142" s="190"/>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row>
    <row r="143" spans="1:173" s="23" customFormat="1" ht="42" customHeight="1" x14ac:dyDescent="0.25">
      <c r="A143" s="142" t="s">
        <v>45</v>
      </c>
      <c r="B143" s="143" t="s">
        <v>213</v>
      </c>
      <c r="C143" s="142" t="s">
        <v>98</v>
      </c>
      <c r="D143" s="142" t="s">
        <v>98</v>
      </c>
      <c r="E143" s="142" t="s">
        <v>165</v>
      </c>
      <c r="F143" s="145" t="s">
        <v>239</v>
      </c>
      <c r="G143" s="44" t="str">
        <f t="shared" si="18"/>
        <v>Líderes de Cada Proceso</v>
      </c>
      <c r="H143" s="137">
        <v>44362</v>
      </c>
      <c r="I143" s="137">
        <v>44392</v>
      </c>
      <c r="J143" s="61"/>
      <c r="K143" s="61"/>
      <c r="L143" s="61"/>
      <c r="M143" s="61"/>
      <c r="N143" s="61"/>
      <c r="O143" s="61"/>
      <c r="P143" s="61"/>
      <c r="Q143" s="61"/>
      <c r="R143" s="61"/>
      <c r="S143" s="61"/>
      <c r="T143" s="61"/>
      <c r="U143" s="61"/>
      <c r="V143" s="142" t="s">
        <v>123</v>
      </c>
      <c r="W143" s="212">
        <v>5.0000000000000001E-3</v>
      </c>
      <c r="X143" s="137"/>
      <c r="Y143" s="143"/>
      <c r="Z143" s="72"/>
      <c r="AA143" s="41"/>
      <c r="AB143" s="70">
        <f t="shared" ca="1" si="27"/>
        <v>0</v>
      </c>
      <c r="AC143" s="70">
        <f t="shared" ca="1" si="19"/>
        <v>5.0000000000000001E-3</v>
      </c>
      <c r="AD143" s="186">
        <f t="shared" si="21"/>
        <v>7</v>
      </c>
      <c r="AE143" s="187">
        <f t="shared" si="22"/>
        <v>30</v>
      </c>
      <c r="AF143" s="187">
        <f t="shared" si="23"/>
        <v>-107</v>
      </c>
      <c r="AG143" s="188">
        <f t="shared" si="24"/>
        <v>-3.5666666666666669</v>
      </c>
      <c r="AH143" s="189">
        <f t="shared" si="25"/>
        <v>-1.7833333333333336E-2</v>
      </c>
      <c r="AI143" s="188">
        <f t="shared" ca="1" si="26"/>
        <v>1.7833333333333336E-2</v>
      </c>
      <c r="AJ143" s="190"/>
    </row>
    <row r="144" spans="1:173" s="23" customFormat="1" ht="42" customHeight="1" x14ac:dyDescent="0.25">
      <c r="A144" s="142" t="s">
        <v>50</v>
      </c>
      <c r="B144" s="143" t="s">
        <v>341</v>
      </c>
      <c r="C144" s="142" t="s">
        <v>140</v>
      </c>
      <c r="D144" s="142" t="s">
        <v>100</v>
      </c>
      <c r="E144" s="142" t="s">
        <v>165</v>
      </c>
      <c r="F144" s="145" t="s">
        <v>159</v>
      </c>
      <c r="G144" s="44" t="str">
        <f t="shared" si="18"/>
        <v>Director de Gestión Corporativa y CID</v>
      </c>
      <c r="H144" s="137">
        <v>44363</v>
      </c>
      <c r="I144" s="137">
        <v>44393</v>
      </c>
      <c r="J144" s="61"/>
      <c r="K144" s="61"/>
      <c r="L144" s="61"/>
      <c r="M144" s="61"/>
      <c r="N144" s="61"/>
      <c r="O144" s="61"/>
      <c r="P144" s="61"/>
      <c r="Q144" s="61"/>
      <c r="R144" s="61"/>
      <c r="S144" s="61"/>
      <c r="T144" s="61"/>
      <c r="U144" s="61"/>
      <c r="V144" s="142" t="s">
        <v>123</v>
      </c>
      <c r="W144" s="212">
        <v>2.5000000000000001E-3</v>
      </c>
      <c r="X144" s="137"/>
      <c r="Y144" s="80"/>
      <c r="Z144" s="72"/>
      <c r="AA144" s="41"/>
      <c r="AB144" s="70">
        <f t="shared" ca="1" si="27"/>
        <v>0</v>
      </c>
      <c r="AC144" s="70">
        <f t="shared" ca="1" si="19"/>
        <v>2.5000000000000001E-3</v>
      </c>
      <c r="AD144" s="186">
        <f t="shared" si="21"/>
        <v>7</v>
      </c>
      <c r="AE144" s="187">
        <f t="shared" si="22"/>
        <v>30</v>
      </c>
      <c r="AF144" s="187">
        <f t="shared" si="23"/>
        <v>-108</v>
      </c>
      <c r="AG144" s="188">
        <f t="shared" si="24"/>
        <v>-3.6</v>
      </c>
      <c r="AH144" s="189">
        <f t="shared" si="25"/>
        <v>-9.0000000000000011E-3</v>
      </c>
      <c r="AI144" s="188">
        <f t="shared" ca="1" si="26"/>
        <v>9.0000000000000011E-3</v>
      </c>
      <c r="AJ144" s="190"/>
    </row>
    <row r="145" spans="1:37" s="23" customFormat="1" ht="42" customHeight="1" x14ac:dyDescent="0.25">
      <c r="A145" s="142" t="s">
        <v>50</v>
      </c>
      <c r="B145" s="143" t="s">
        <v>353</v>
      </c>
      <c r="C145" s="142" t="s">
        <v>83</v>
      </c>
      <c r="D145" s="142" t="s">
        <v>100</v>
      </c>
      <c r="E145" s="142" t="s">
        <v>165</v>
      </c>
      <c r="F145" s="145" t="s">
        <v>159</v>
      </c>
      <c r="G145" s="44" t="str">
        <f t="shared" si="18"/>
        <v>Director de Mejoramiento de Vivienda</v>
      </c>
      <c r="H145" s="137">
        <v>44363</v>
      </c>
      <c r="I145" s="137">
        <v>44393</v>
      </c>
      <c r="J145" s="61"/>
      <c r="K145" s="61"/>
      <c r="L145" s="61"/>
      <c r="M145" s="61"/>
      <c r="N145" s="61"/>
      <c r="O145" s="61"/>
      <c r="P145" s="61"/>
      <c r="Q145" s="61"/>
      <c r="R145" s="61"/>
      <c r="S145" s="61"/>
      <c r="T145" s="61"/>
      <c r="U145" s="61"/>
      <c r="V145" s="142" t="s">
        <v>123</v>
      </c>
      <c r="W145" s="212">
        <v>5.0000000000000001E-3</v>
      </c>
      <c r="X145" s="137"/>
      <c r="Y145" s="80"/>
      <c r="Z145" s="72"/>
      <c r="AA145" s="41"/>
      <c r="AB145" s="70">
        <f t="shared" ca="1" si="27"/>
        <v>0</v>
      </c>
      <c r="AC145" s="70">
        <f t="shared" ca="1" si="19"/>
        <v>5.0000000000000001E-3</v>
      </c>
      <c r="AD145" s="186">
        <f t="shared" si="21"/>
        <v>7</v>
      </c>
      <c r="AE145" s="187">
        <f t="shared" si="22"/>
        <v>30</v>
      </c>
      <c r="AF145" s="187">
        <f t="shared" si="23"/>
        <v>-108</v>
      </c>
      <c r="AG145" s="188">
        <f t="shared" si="24"/>
        <v>-3.6</v>
      </c>
      <c r="AH145" s="189">
        <f t="shared" si="25"/>
        <v>-1.8000000000000002E-2</v>
      </c>
      <c r="AI145" s="188">
        <f t="shared" ca="1" si="26"/>
        <v>1.8000000000000002E-2</v>
      </c>
      <c r="AJ145" s="190"/>
    </row>
    <row r="146" spans="1:37" s="23" customFormat="1" ht="42" customHeight="1" x14ac:dyDescent="0.25">
      <c r="A146" s="154" t="s">
        <v>43</v>
      </c>
      <c r="B146" s="143" t="s">
        <v>277</v>
      </c>
      <c r="C146" s="142" t="s">
        <v>98</v>
      </c>
      <c r="D146" s="142" t="s">
        <v>98</v>
      </c>
      <c r="E146" s="142" t="s">
        <v>165</v>
      </c>
      <c r="F146" s="144" t="s">
        <v>263</v>
      </c>
      <c r="G146" s="44" t="str">
        <f t="shared" si="18"/>
        <v>Líderes de Cada Proceso</v>
      </c>
      <c r="H146" s="137">
        <v>44375</v>
      </c>
      <c r="I146" s="137">
        <v>44405</v>
      </c>
      <c r="J146" s="61"/>
      <c r="K146" s="61"/>
      <c r="L146" s="61"/>
      <c r="M146" s="61"/>
      <c r="N146" s="61"/>
      <c r="O146" s="61"/>
      <c r="P146" s="61"/>
      <c r="Q146" s="61"/>
      <c r="R146" s="61"/>
      <c r="S146" s="61"/>
      <c r="T146" s="61"/>
      <c r="U146" s="61"/>
      <c r="V146" s="142" t="s">
        <v>215</v>
      </c>
      <c r="W146" s="212">
        <v>1.4999999999999999E-2</v>
      </c>
      <c r="X146" s="137"/>
      <c r="Y146" s="72"/>
      <c r="Z146" s="72"/>
      <c r="AA146" s="41"/>
      <c r="AB146" s="135">
        <f t="shared" ca="1" si="27"/>
        <v>0</v>
      </c>
      <c r="AC146" s="135">
        <f t="shared" ca="1" si="19"/>
        <v>1.4999999999999999E-2</v>
      </c>
      <c r="AD146" s="186">
        <f t="shared" si="21"/>
        <v>7</v>
      </c>
      <c r="AE146" s="187">
        <f t="shared" si="22"/>
        <v>30</v>
      </c>
      <c r="AF146" s="187">
        <f t="shared" si="23"/>
        <v>-120</v>
      </c>
      <c r="AG146" s="188">
        <f t="shared" si="24"/>
        <v>-4</v>
      </c>
      <c r="AH146" s="189">
        <f t="shared" si="25"/>
        <v>-0.06</v>
      </c>
      <c r="AI146" s="188">
        <f t="shared" ca="1" si="26"/>
        <v>0.06</v>
      </c>
      <c r="AJ146" s="190"/>
    </row>
    <row r="147" spans="1:37" s="23" customFormat="1" ht="42" customHeight="1" x14ac:dyDescent="0.25">
      <c r="A147" s="154" t="s">
        <v>46</v>
      </c>
      <c r="B147" s="143" t="s">
        <v>314</v>
      </c>
      <c r="C147" s="142" t="s">
        <v>127</v>
      </c>
      <c r="D147" s="142" t="s">
        <v>95</v>
      </c>
      <c r="E147" s="142" t="s">
        <v>165</v>
      </c>
      <c r="F147" s="145" t="s">
        <v>239</v>
      </c>
      <c r="G147" s="44" t="str">
        <f t="shared" ref="G147:G210" si="28">IF(LEN(C147)&gt;0,VLOOKUP(C147,PROCESO2,3,0),"")</f>
        <v xml:space="preserve">Director Jurídico </v>
      </c>
      <c r="H147" s="137">
        <v>44376</v>
      </c>
      <c r="I147" s="137">
        <v>44379</v>
      </c>
      <c r="J147" s="61"/>
      <c r="K147" s="61"/>
      <c r="L147" s="61"/>
      <c r="M147" s="61"/>
      <c r="N147" s="61"/>
      <c r="O147" s="61"/>
      <c r="P147" s="61"/>
      <c r="Q147" s="61"/>
      <c r="R147" s="61"/>
      <c r="S147" s="61"/>
      <c r="T147" s="61"/>
      <c r="U147" s="61"/>
      <c r="V147" s="140" t="s">
        <v>317</v>
      </c>
      <c r="W147" s="212">
        <v>1E-3</v>
      </c>
      <c r="X147" s="137"/>
      <c r="Y147" s="72"/>
      <c r="Z147" s="72"/>
      <c r="AA147" s="41"/>
      <c r="AB147" s="70">
        <f t="shared" ca="1" si="27"/>
        <v>0</v>
      </c>
      <c r="AC147" s="70">
        <f t="shared" ref="AC147:AC210" ca="1" si="29">+W147-AB147</f>
        <v>1E-3</v>
      </c>
      <c r="AD147" s="186">
        <f t="shared" si="21"/>
        <v>7</v>
      </c>
      <c r="AE147" s="187">
        <f t="shared" si="22"/>
        <v>3</v>
      </c>
      <c r="AF147" s="187">
        <f t="shared" si="23"/>
        <v>-121</v>
      </c>
      <c r="AG147" s="188">
        <f t="shared" si="24"/>
        <v>-40.333333333333336</v>
      </c>
      <c r="AH147" s="189">
        <f t="shared" si="25"/>
        <v>-4.0333333333333339E-2</v>
      </c>
      <c r="AI147" s="188">
        <f t="shared" ca="1" si="26"/>
        <v>4.0333333333333339E-2</v>
      </c>
      <c r="AJ147" s="190"/>
    </row>
    <row r="148" spans="1:37" s="23" customFormat="1" ht="42" customHeight="1" x14ac:dyDescent="0.25">
      <c r="A148" s="142" t="s">
        <v>45</v>
      </c>
      <c r="B148" s="143" t="s">
        <v>289</v>
      </c>
      <c r="C148" s="142" t="s">
        <v>90</v>
      </c>
      <c r="D148" s="142" t="s">
        <v>97</v>
      </c>
      <c r="E148" s="142" t="s">
        <v>165</v>
      </c>
      <c r="F148" s="145" t="s">
        <v>239</v>
      </c>
      <c r="G148" s="44" t="str">
        <f t="shared" si="28"/>
        <v>Asesor de Control Interno</v>
      </c>
      <c r="H148" s="137">
        <v>44376</v>
      </c>
      <c r="I148" s="137">
        <v>44379</v>
      </c>
      <c r="J148" s="61"/>
      <c r="K148" s="61"/>
      <c r="L148" s="61"/>
      <c r="M148" s="61"/>
      <c r="N148" s="61"/>
      <c r="O148" s="61"/>
      <c r="P148" s="61"/>
      <c r="Q148" s="61"/>
      <c r="R148" s="61"/>
      <c r="S148" s="61"/>
      <c r="T148" s="61"/>
      <c r="U148" s="61"/>
      <c r="V148" s="41" t="s">
        <v>215</v>
      </c>
      <c r="W148" s="212">
        <v>3.0000000000000001E-3</v>
      </c>
      <c r="X148" s="137"/>
      <c r="Y148" s="143"/>
      <c r="Z148" s="72"/>
      <c r="AA148" s="41"/>
      <c r="AB148" s="70">
        <f t="shared" ca="1" si="27"/>
        <v>0</v>
      </c>
      <c r="AC148" s="70">
        <f t="shared" ca="1" si="29"/>
        <v>3.0000000000000001E-3</v>
      </c>
      <c r="AD148" s="186">
        <f t="shared" si="21"/>
        <v>7</v>
      </c>
      <c r="AE148" s="187">
        <f t="shared" si="22"/>
        <v>3</v>
      </c>
      <c r="AF148" s="187">
        <f t="shared" si="23"/>
        <v>-121</v>
      </c>
      <c r="AG148" s="188">
        <f t="shared" si="24"/>
        <v>-40.333333333333336</v>
      </c>
      <c r="AH148" s="189">
        <f t="shared" si="25"/>
        <v>-0.12100000000000001</v>
      </c>
      <c r="AI148" s="188">
        <f t="shared" ca="1" si="26"/>
        <v>0.12100000000000001</v>
      </c>
      <c r="AJ148" s="190"/>
    </row>
    <row r="149" spans="1:37" s="23" customFormat="1" ht="42" customHeight="1" x14ac:dyDescent="0.25">
      <c r="A149" s="142" t="s">
        <v>45</v>
      </c>
      <c r="B149" s="143" t="s">
        <v>114</v>
      </c>
      <c r="C149" s="142" t="s">
        <v>90</v>
      </c>
      <c r="D149" s="142" t="s">
        <v>97</v>
      </c>
      <c r="E149" s="142" t="s">
        <v>165</v>
      </c>
      <c r="F149" s="145" t="s">
        <v>239</v>
      </c>
      <c r="G149" s="44" t="str">
        <f t="shared" si="28"/>
        <v>Asesor de Control Interno</v>
      </c>
      <c r="H149" s="137">
        <v>44378</v>
      </c>
      <c r="I149" s="137">
        <v>44384</v>
      </c>
      <c r="J149" s="61"/>
      <c r="K149" s="61"/>
      <c r="L149" s="61"/>
      <c r="M149" s="61"/>
      <c r="N149" s="61"/>
      <c r="O149" s="61"/>
      <c r="P149" s="61"/>
      <c r="Q149" s="61"/>
      <c r="R149" s="61"/>
      <c r="S149" s="61"/>
      <c r="T149" s="61"/>
      <c r="U149" s="61"/>
      <c r="V149" s="142" t="s">
        <v>202</v>
      </c>
      <c r="W149" s="212">
        <v>3.0000000000000001E-3</v>
      </c>
      <c r="X149" s="137"/>
      <c r="Y149" s="143"/>
      <c r="Z149" s="72"/>
      <c r="AA149" s="41"/>
      <c r="AB149" s="70">
        <f t="shared" ca="1" si="27"/>
        <v>0</v>
      </c>
      <c r="AC149" s="70">
        <f t="shared" ca="1" si="29"/>
        <v>3.0000000000000001E-3</v>
      </c>
      <c r="AD149" s="186">
        <f t="shared" si="21"/>
        <v>7</v>
      </c>
      <c r="AE149" s="187">
        <f t="shared" si="22"/>
        <v>6</v>
      </c>
      <c r="AF149" s="187">
        <f t="shared" si="23"/>
        <v>-123</v>
      </c>
      <c r="AG149" s="188">
        <f t="shared" si="24"/>
        <v>-20.5</v>
      </c>
      <c r="AH149" s="189">
        <f t="shared" si="25"/>
        <v>-6.1499999999999999E-2</v>
      </c>
      <c r="AI149" s="188">
        <f t="shared" ca="1" si="26"/>
        <v>6.1499999999999999E-2</v>
      </c>
      <c r="AJ149" s="190"/>
    </row>
    <row r="150" spans="1:37" s="23" customFormat="1" ht="42" customHeight="1" x14ac:dyDescent="0.25">
      <c r="A150" s="142" t="s">
        <v>45</v>
      </c>
      <c r="B150" s="143" t="s">
        <v>254</v>
      </c>
      <c r="C150" s="142" t="s">
        <v>90</v>
      </c>
      <c r="D150" s="142" t="s">
        <v>97</v>
      </c>
      <c r="E150" s="142" t="s">
        <v>165</v>
      </c>
      <c r="F150" s="144" t="s">
        <v>160</v>
      </c>
      <c r="G150" s="44" t="str">
        <f t="shared" si="28"/>
        <v>Asesor de Control Interno</v>
      </c>
      <c r="H150" s="137">
        <v>44378</v>
      </c>
      <c r="I150" s="137">
        <v>44385</v>
      </c>
      <c r="J150" s="61"/>
      <c r="K150" s="61"/>
      <c r="L150" s="61"/>
      <c r="M150" s="61"/>
      <c r="N150" s="61"/>
      <c r="O150" s="61"/>
      <c r="P150" s="61"/>
      <c r="Q150" s="61"/>
      <c r="R150" s="61"/>
      <c r="S150" s="61"/>
      <c r="T150" s="61"/>
      <c r="U150" s="61"/>
      <c r="V150" s="142" t="s">
        <v>215</v>
      </c>
      <c r="W150" s="212">
        <v>3.0000000000000001E-3</v>
      </c>
      <c r="X150" s="137"/>
      <c r="Y150" s="143"/>
      <c r="Z150" s="72"/>
      <c r="AA150" s="41"/>
      <c r="AB150" s="70">
        <f t="shared" ca="1" si="27"/>
        <v>0</v>
      </c>
      <c r="AC150" s="70">
        <f t="shared" ca="1" si="29"/>
        <v>3.0000000000000001E-3</v>
      </c>
      <c r="AD150" s="186">
        <f t="shared" si="21"/>
        <v>7</v>
      </c>
      <c r="AE150" s="187">
        <f t="shared" si="22"/>
        <v>7</v>
      </c>
      <c r="AF150" s="187">
        <f t="shared" si="23"/>
        <v>-123</v>
      </c>
      <c r="AG150" s="188">
        <f t="shared" si="24"/>
        <v>-17.571428571428573</v>
      </c>
      <c r="AH150" s="189">
        <f t="shared" si="25"/>
        <v>-5.271428571428572E-2</v>
      </c>
      <c r="AI150" s="188">
        <f t="shared" ca="1" si="26"/>
        <v>5.271428571428572E-2</v>
      </c>
      <c r="AJ150" s="190"/>
    </row>
    <row r="151" spans="1:37" s="23" customFormat="1" ht="42" customHeight="1" x14ac:dyDescent="0.25">
      <c r="A151" s="154" t="s">
        <v>44</v>
      </c>
      <c r="B151" s="42" t="s">
        <v>330</v>
      </c>
      <c r="C151" s="142" t="s">
        <v>127</v>
      </c>
      <c r="D151" s="142" t="s">
        <v>95</v>
      </c>
      <c r="E151" s="142" t="s">
        <v>165</v>
      </c>
      <c r="F151" s="145" t="s">
        <v>160</v>
      </c>
      <c r="G151" s="44" t="str">
        <f t="shared" si="28"/>
        <v xml:space="preserve">Director Jurídico </v>
      </c>
      <c r="H151" s="137">
        <v>44378</v>
      </c>
      <c r="I151" s="137">
        <v>44386</v>
      </c>
      <c r="J151" s="61"/>
      <c r="K151" s="61"/>
      <c r="L151" s="61"/>
      <c r="M151" s="61"/>
      <c r="N151" s="61"/>
      <c r="O151" s="61"/>
      <c r="P151" s="61"/>
      <c r="Q151" s="61"/>
      <c r="R151" s="61"/>
      <c r="S151" s="61"/>
      <c r="T151" s="61"/>
      <c r="U151" s="61"/>
      <c r="V151" s="142" t="s">
        <v>123</v>
      </c>
      <c r="W151" s="212">
        <v>2.5000000000000001E-3</v>
      </c>
      <c r="X151" s="137"/>
      <c r="Y151" s="80"/>
      <c r="Z151" s="72"/>
      <c r="AA151" s="41"/>
      <c r="AB151" s="70">
        <f t="shared" ca="1" si="27"/>
        <v>0</v>
      </c>
      <c r="AC151" s="70">
        <f t="shared" ca="1" si="29"/>
        <v>2.5000000000000001E-3</v>
      </c>
      <c r="AD151" s="186">
        <f t="shared" si="21"/>
        <v>7</v>
      </c>
      <c r="AE151" s="187">
        <f t="shared" si="22"/>
        <v>8</v>
      </c>
      <c r="AF151" s="187">
        <f t="shared" si="23"/>
        <v>-123</v>
      </c>
      <c r="AG151" s="188">
        <f t="shared" si="24"/>
        <v>-15.375</v>
      </c>
      <c r="AH151" s="189">
        <f t="shared" si="25"/>
        <v>-3.8437499999999999E-2</v>
      </c>
      <c r="AI151" s="188">
        <f t="shared" ca="1" si="26"/>
        <v>3.8437499999999999E-2</v>
      </c>
      <c r="AJ151" s="190"/>
    </row>
    <row r="152" spans="1:37" s="23" customFormat="1" ht="42" customHeight="1" x14ac:dyDescent="0.25">
      <c r="A152" s="154" t="s">
        <v>46</v>
      </c>
      <c r="B152" s="143" t="s">
        <v>93</v>
      </c>
      <c r="C152" s="142" t="s">
        <v>89</v>
      </c>
      <c r="D152" s="142" t="s">
        <v>96</v>
      </c>
      <c r="E152" s="142" t="s">
        <v>165</v>
      </c>
      <c r="F152" s="144" t="s">
        <v>240</v>
      </c>
      <c r="G152" s="44" t="str">
        <f t="shared" si="28"/>
        <v>Subdirector Financiero</v>
      </c>
      <c r="H152" s="137">
        <v>44378</v>
      </c>
      <c r="I152" s="137">
        <v>44389</v>
      </c>
      <c r="J152" s="61"/>
      <c r="K152" s="61"/>
      <c r="L152" s="61"/>
      <c r="M152" s="61"/>
      <c r="N152" s="61"/>
      <c r="O152" s="61"/>
      <c r="P152" s="61"/>
      <c r="Q152" s="61"/>
      <c r="R152" s="61"/>
      <c r="S152" s="61"/>
      <c r="T152" s="61"/>
      <c r="U152" s="61"/>
      <c r="V152" s="142" t="s">
        <v>332</v>
      </c>
      <c r="W152" s="212">
        <v>1E-3</v>
      </c>
      <c r="X152" s="137"/>
      <c r="Y152" s="72"/>
      <c r="Z152" s="72"/>
      <c r="AA152" s="41"/>
      <c r="AB152" s="70">
        <f t="shared" ca="1" si="27"/>
        <v>0</v>
      </c>
      <c r="AC152" s="70">
        <f t="shared" ca="1" si="29"/>
        <v>1E-3</v>
      </c>
      <c r="AD152" s="186">
        <f t="shared" si="21"/>
        <v>7</v>
      </c>
      <c r="AE152" s="187">
        <f t="shared" si="22"/>
        <v>11</v>
      </c>
      <c r="AF152" s="187">
        <f t="shared" si="23"/>
        <v>-123</v>
      </c>
      <c r="AG152" s="188">
        <f t="shared" si="24"/>
        <v>-11.181818181818182</v>
      </c>
      <c r="AH152" s="189">
        <f t="shared" si="25"/>
        <v>-1.1181818181818182E-2</v>
      </c>
      <c r="AI152" s="188">
        <f t="shared" ca="1" si="26"/>
        <v>1.1181818181818182E-2</v>
      </c>
      <c r="AJ152" s="190"/>
    </row>
    <row r="153" spans="1:37" s="23" customFormat="1" ht="42" customHeight="1" x14ac:dyDescent="0.25">
      <c r="A153" s="154" t="s">
        <v>44</v>
      </c>
      <c r="B153" s="143" t="s">
        <v>92</v>
      </c>
      <c r="C153" s="142" t="s">
        <v>89</v>
      </c>
      <c r="D153" s="142" t="s">
        <v>96</v>
      </c>
      <c r="E153" s="142" t="s">
        <v>165</v>
      </c>
      <c r="F153" s="144" t="s">
        <v>203</v>
      </c>
      <c r="G153" s="44" t="str">
        <f t="shared" si="28"/>
        <v>Subdirector Financiero</v>
      </c>
      <c r="H153" s="137">
        <v>44378</v>
      </c>
      <c r="I153" s="137">
        <v>44389</v>
      </c>
      <c r="J153" s="61"/>
      <c r="K153" s="61"/>
      <c r="L153" s="61"/>
      <c r="M153" s="61"/>
      <c r="N153" s="61"/>
      <c r="O153" s="61"/>
      <c r="P153" s="61"/>
      <c r="Q153" s="61"/>
      <c r="R153" s="61"/>
      <c r="S153" s="61"/>
      <c r="T153" s="61"/>
      <c r="U153" s="61"/>
      <c r="V153" s="142" t="s">
        <v>123</v>
      </c>
      <c r="W153" s="212">
        <v>1E-3</v>
      </c>
      <c r="X153" s="137"/>
      <c r="Y153" s="143"/>
      <c r="Z153" s="143"/>
      <c r="AA153" s="41"/>
      <c r="AB153" s="70">
        <f t="shared" ca="1" si="27"/>
        <v>0</v>
      </c>
      <c r="AC153" s="70">
        <f t="shared" ca="1" si="29"/>
        <v>1E-3</v>
      </c>
      <c r="AD153" s="186">
        <f t="shared" si="21"/>
        <v>7</v>
      </c>
      <c r="AE153" s="187">
        <f t="shared" si="22"/>
        <v>11</v>
      </c>
      <c r="AF153" s="187">
        <f t="shared" si="23"/>
        <v>-123</v>
      </c>
      <c r="AG153" s="188">
        <f t="shared" si="24"/>
        <v>-11.181818181818182</v>
      </c>
      <c r="AH153" s="189">
        <f t="shared" si="25"/>
        <v>-1.1181818181818182E-2</v>
      </c>
      <c r="AI153" s="188">
        <f t="shared" ca="1" si="26"/>
        <v>1.1181818181818182E-2</v>
      </c>
      <c r="AJ153" s="190"/>
    </row>
    <row r="154" spans="1:37" s="23" customFormat="1" ht="42" customHeight="1" x14ac:dyDescent="0.25">
      <c r="A154" s="154" t="s">
        <v>44</v>
      </c>
      <c r="B154" s="143" t="s">
        <v>209</v>
      </c>
      <c r="C154" s="142" t="s">
        <v>87</v>
      </c>
      <c r="D154" s="142" t="s">
        <v>96</v>
      </c>
      <c r="E154" s="142" t="s">
        <v>165</v>
      </c>
      <c r="F154" s="144" t="s">
        <v>240</v>
      </c>
      <c r="G154" s="44" t="str">
        <f t="shared" si="28"/>
        <v>Subdirector Administrativo</v>
      </c>
      <c r="H154" s="137">
        <v>44378</v>
      </c>
      <c r="I154" s="137">
        <v>44400</v>
      </c>
      <c r="J154" s="61"/>
      <c r="K154" s="61"/>
      <c r="L154" s="61"/>
      <c r="M154" s="61"/>
      <c r="N154" s="61"/>
      <c r="O154" s="61"/>
      <c r="P154" s="61"/>
      <c r="Q154" s="61"/>
      <c r="R154" s="61"/>
      <c r="S154" s="61"/>
      <c r="T154" s="61"/>
      <c r="U154" s="61"/>
      <c r="V154" s="142" t="s">
        <v>123</v>
      </c>
      <c r="W154" s="212">
        <v>7.4999999999999997E-3</v>
      </c>
      <c r="X154" s="137"/>
      <c r="Y154" s="143"/>
      <c r="Z154" s="72"/>
      <c r="AA154" s="41"/>
      <c r="AB154" s="70">
        <f t="shared" ca="1" si="27"/>
        <v>0</v>
      </c>
      <c r="AC154" s="70">
        <f t="shared" ca="1" si="29"/>
        <v>7.4999999999999997E-3</v>
      </c>
      <c r="AD154" s="186">
        <f t="shared" si="21"/>
        <v>7</v>
      </c>
      <c r="AE154" s="187">
        <f t="shared" si="22"/>
        <v>22</v>
      </c>
      <c r="AF154" s="187">
        <f t="shared" si="23"/>
        <v>-123</v>
      </c>
      <c r="AG154" s="188">
        <f t="shared" si="24"/>
        <v>-5.5909090909090908</v>
      </c>
      <c r="AH154" s="189">
        <f t="shared" si="25"/>
        <v>-4.1931818181818181E-2</v>
      </c>
      <c r="AI154" s="188">
        <f t="shared" ca="1" si="26"/>
        <v>4.1931818181818181E-2</v>
      </c>
      <c r="AJ154" s="190"/>
    </row>
    <row r="155" spans="1:37" s="23" customFormat="1" ht="42" customHeight="1" x14ac:dyDescent="0.25">
      <c r="A155" s="154" t="s">
        <v>44</v>
      </c>
      <c r="B155" s="143" t="s">
        <v>281</v>
      </c>
      <c r="C155" s="142" t="s">
        <v>89</v>
      </c>
      <c r="D155" s="142" t="s">
        <v>96</v>
      </c>
      <c r="E155" s="142" t="s">
        <v>165</v>
      </c>
      <c r="F155" s="144" t="s">
        <v>159</v>
      </c>
      <c r="G155" s="44" t="str">
        <f t="shared" si="28"/>
        <v>Subdirector Financiero</v>
      </c>
      <c r="H155" s="137">
        <v>44378</v>
      </c>
      <c r="I155" s="137">
        <v>44405</v>
      </c>
      <c r="J155" s="61"/>
      <c r="K155" s="61"/>
      <c r="L155" s="61"/>
      <c r="M155" s="61"/>
      <c r="N155" s="61"/>
      <c r="O155" s="61"/>
      <c r="P155" s="61"/>
      <c r="Q155" s="61"/>
      <c r="R155" s="61"/>
      <c r="S155" s="61"/>
      <c r="T155" s="61"/>
      <c r="U155" s="61"/>
      <c r="V155" s="142" t="s">
        <v>123</v>
      </c>
      <c r="W155" s="212">
        <v>3.0000000000000001E-3</v>
      </c>
      <c r="X155" s="137"/>
      <c r="Y155" s="72"/>
      <c r="Z155" s="72"/>
      <c r="AA155" s="41"/>
      <c r="AB155" s="70">
        <f t="shared" ca="1" si="27"/>
        <v>0</v>
      </c>
      <c r="AC155" s="70">
        <f t="shared" ca="1" si="29"/>
        <v>3.0000000000000001E-3</v>
      </c>
      <c r="AD155" s="186">
        <f t="shared" si="21"/>
        <v>7</v>
      </c>
      <c r="AE155" s="187">
        <f t="shared" si="22"/>
        <v>27</v>
      </c>
      <c r="AF155" s="187">
        <f t="shared" si="23"/>
        <v>-123</v>
      </c>
      <c r="AG155" s="188">
        <f t="shared" si="24"/>
        <v>-4.5555555555555554</v>
      </c>
      <c r="AH155" s="189">
        <f t="shared" si="25"/>
        <v>-1.3666666666666666E-2</v>
      </c>
      <c r="AI155" s="188">
        <f t="shared" ca="1" si="26"/>
        <v>1.3666666666666666E-2</v>
      </c>
      <c r="AJ155" s="190"/>
      <c r="AK155" s="1"/>
    </row>
    <row r="156" spans="1:37" s="23" customFormat="1" ht="42" customHeight="1" x14ac:dyDescent="0.25">
      <c r="A156" s="154" t="s">
        <v>50</v>
      </c>
      <c r="B156" s="143" t="s">
        <v>115</v>
      </c>
      <c r="C156" s="142" t="s">
        <v>140</v>
      </c>
      <c r="D156" s="142" t="s">
        <v>100</v>
      </c>
      <c r="E156" s="142" t="s">
        <v>165</v>
      </c>
      <c r="F156" s="144" t="s">
        <v>159</v>
      </c>
      <c r="G156" s="44" t="str">
        <f t="shared" si="28"/>
        <v>Director de Gestión Corporativa y CID</v>
      </c>
      <c r="H156" s="137">
        <v>44378</v>
      </c>
      <c r="I156" s="137">
        <v>44405</v>
      </c>
      <c r="J156" s="61"/>
      <c r="K156" s="61"/>
      <c r="L156" s="61"/>
      <c r="M156" s="61"/>
      <c r="N156" s="61"/>
      <c r="O156" s="61"/>
      <c r="P156" s="61"/>
      <c r="Q156" s="61"/>
      <c r="R156" s="61"/>
      <c r="S156" s="61"/>
      <c r="T156" s="61"/>
      <c r="U156" s="61"/>
      <c r="V156" s="142" t="s">
        <v>123</v>
      </c>
      <c r="W156" s="212">
        <v>2.5000000000000001E-3</v>
      </c>
      <c r="X156" s="137"/>
      <c r="Y156" s="72"/>
      <c r="Z156" s="72"/>
      <c r="AA156" s="41"/>
      <c r="AB156" s="70">
        <f t="shared" ca="1" si="27"/>
        <v>0</v>
      </c>
      <c r="AC156" s="70">
        <f t="shared" ca="1" si="29"/>
        <v>2.5000000000000001E-3</v>
      </c>
      <c r="AD156" s="186">
        <f t="shared" si="21"/>
        <v>7</v>
      </c>
      <c r="AE156" s="187">
        <f t="shared" si="22"/>
        <v>27</v>
      </c>
      <c r="AF156" s="187">
        <f t="shared" si="23"/>
        <v>-123</v>
      </c>
      <c r="AG156" s="188">
        <f t="shared" si="24"/>
        <v>-4.5555555555555554</v>
      </c>
      <c r="AH156" s="189">
        <f t="shared" si="25"/>
        <v>-1.1388888888888889E-2</v>
      </c>
      <c r="AI156" s="188">
        <f t="shared" ca="1" si="26"/>
        <v>1.1388888888888889E-2</v>
      </c>
      <c r="AJ156" s="190"/>
    </row>
    <row r="157" spans="1:37" s="23" customFormat="1" ht="42" customHeight="1" x14ac:dyDescent="0.25">
      <c r="A157" s="142" t="s">
        <v>50</v>
      </c>
      <c r="B157" s="143" t="s">
        <v>342</v>
      </c>
      <c r="C157" s="142" t="s">
        <v>83</v>
      </c>
      <c r="D157" s="142" t="s">
        <v>100</v>
      </c>
      <c r="E157" s="142" t="s">
        <v>165</v>
      </c>
      <c r="F157" s="145" t="s">
        <v>240</v>
      </c>
      <c r="G157" s="44" t="str">
        <f t="shared" si="28"/>
        <v>Director de Mejoramiento de Vivienda</v>
      </c>
      <c r="H157" s="137">
        <v>44378</v>
      </c>
      <c r="I157" s="137">
        <v>44438</v>
      </c>
      <c r="J157" s="61"/>
      <c r="K157" s="61"/>
      <c r="L157" s="61"/>
      <c r="M157" s="61"/>
      <c r="N157" s="61"/>
      <c r="O157" s="61"/>
      <c r="P157" s="61"/>
      <c r="Q157" s="61"/>
      <c r="R157" s="61"/>
      <c r="S157" s="61"/>
      <c r="T157" s="61"/>
      <c r="U157" s="61"/>
      <c r="V157" s="142" t="s">
        <v>123</v>
      </c>
      <c r="W157" s="212">
        <v>5.0000000000000001E-3</v>
      </c>
      <c r="X157" s="137"/>
      <c r="Y157" s="80"/>
      <c r="Z157" s="72"/>
      <c r="AA157" s="41"/>
      <c r="AB157" s="70">
        <f t="shared" ca="1" si="27"/>
        <v>0</v>
      </c>
      <c r="AC157" s="70">
        <f t="shared" ca="1" si="29"/>
        <v>5.0000000000000001E-3</v>
      </c>
      <c r="AD157" s="186">
        <f t="shared" si="21"/>
        <v>8</v>
      </c>
      <c r="AE157" s="187">
        <f t="shared" si="22"/>
        <v>60</v>
      </c>
      <c r="AF157" s="187">
        <f t="shared" si="23"/>
        <v>-123</v>
      </c>
      <c r="AG157" s="188">
        <f t="shared" si="24"/>
        <v>-2.0499999999999998</v>
      </c>
      <c r="AH157" s="189">
        <f t="shared" si="25"/>
        <v>-1.0249999999999999E-2</v>
      </c>
      <c r="AI157" s="188">
        <f t="shared" ca="1" si="26"/>
        <v>1.0249999999999999E-2</v>
      </c>
      <c r="AJ157" s="190"/>
    </row>
    <row r="158" spans="1:37" s="23" customFormat="1" ht="42" customHeight="1" x14ac:dyDescent="0.25">
      <c r="A158" s="142" t="s">
        <v>43</v>
      </c>
      <c r="B158" s="143" t="s">
        <v>305</v>
      </c>
      <c r="C158" s="142" t="s">
        <v>90</v>
      </c>
      <c r="D158" s="142" t="s">
        <v>97</v>
      </c>
      <c r="E158" s="142" t="s">
        <v>165</v>
      </c>
      <c r="F158" s="145" t="s">
        <v>239</v>
      </c>
      <c r="G158" s="44" t="str">
        <f t="shared" si="28"/>
        <v>Asesor de Control Interno</v>
      </c>
      <c r="H158" s="137">
        <v>44396</v>
      </c>
      <c r="I158" s="137">
        <v>44407</v>
      </c>
      <c r="J158" s="61"/>
      <c r="K158" s="61"/>
      <c r="L158" s="61"/>
      <c r="M158" s="61"/>
      <c r="N158" s="61"/>
      <c r="O158" s="61"/>
      <c r="P158" s="61"/>
      <c r="Q158" s="61"/>
      <c r="R158" s="61"/>
      <c r="S158" s="61"/>
      <c r="T158" s="61"/>
      <c r="U158" s="61"/>
      <c r="V158" s="142" t="s">
        <v>334</v>
      </c>
      <c r="W158" s="215">
        <v>5.0000000000000001E-3</v>
      </c>
      <c r="X158" s="137"/>
      <c r="Y158" s="143"/>
      <c r="Z158" s="72"/>
      <c r="AA158" s="41"/>
      <c r="AB158" s="70">
        <f t="shared" ca="1" si="27"/>
        <v>0</v>
      </c>
      <c r="AC158" s="70">
        <f t="shared" ca="1" si="29"/>
        <v>5.0000000000000001E-3</v>
      </c>
      <c r="AD158" s="186">
        <f t="shared" si="21"/>
        <v>7</v>
      </c>
      <c r="AE158" s="187">
        <f t="shared" si="22"/>
        <v>11</v>
      </c>
      <c r="AF158" s="187">
        <f t="shared" si="23"/>
        <v>-141</v>
      </c>
      <c r="AG158" s="188">
        <f t="shared" si="24"/>
        <v>-12.818181818181818</v>
      </c>
      <c r="AH158" s="189">
        <f t="shared" si="25"/>
        <v>-6.4090909090909087E-2</v>
      </c>
      <c r="AI158" s="188">
        <f t="shared" ca="1" si="26"/>
        <v>6.4090909090909087E-2</v>
      </c>
      <c r="AJ158" s="190"/>
      <c r="AK158" s="1"/>
    </row>
    <row r="159" spans="1:37" s="23" customFormat="1" ht="42" customHeight="1" x14ac:dyDescent="0.25">
      <c r="A159" s="142" t="s">
        <v>52</v>
      </c>
      <c r="B159" s="143" t="s">
        <v>300</v>
      </c>
      <c r="C159" s="142" t="s">
        <v>90</v>
      </c>
      <c r="D159" s="142" t="s">
        <v>97</v>
      </c>
      <c r="E159" s="142" t="s">
        <v>165</v>
      </c>
      <c r="F159" s="144" t="s">
        <v>160</v>
      </c>
      <c r="G159" s="44" t="str">
        <f t="shared" si="28"/>
        <v>Asesor de Control Interno</v>
      </c>
      <c r="H159" s="137">
        <v>44396</v>
      </c>
      <c r="I159" s="137">
        <v>44421</v>
      </c>
      <c r="J159" s="61"/>
      <c r="K159" s="61"/>
      <c r="L159" s="61"/>
      <c r="M159" s="61"/>
      <c r="N159" s="61"/>
      <c r="O159" s="61"/>
      <c r="P159" s="61"/>
      <c r="Q159" s="61"/>
      <c r="R159" s="61"/>
      <c r="S159" s="61"/>
      <c r="T159" s="61"/>
      <c r="U159" s="61"/>
      <c r="V159" s="142" t="s">
        <v>334</v>
      </c>
      <c r="W159" s="215">
        <v>1.4999999999999999E-2</v>
      </c>
      <c r="X159" s="137"/>
      <c r="Y159" s="72"/>
      <c r="Z159" s="72"/>
      <c r="AA159" s="41"/>
      <c r="AB159" s="70">
        <f t="shared" ca="1" si="27"/>
        <v>0</v>
      </c>
      <c r="AC159" s="70">
        <f t="shared" ca="1" si="29"/>
        <v>1.4999999999999999E-2</v>
      </c>
      <c r="AD159" s="186">
        <f t="shared" si="21"/>
        <v>8</v>
      </c>
      <c r="AE159" s="187">
        <f t="shared" si="22"/>
        <v>25</v>
      </c>
      <c r="AF159" s="187">
        <f t="shared" si="23"/>
        <v>-141</v>
      </c>
      <c r="AG159" s="188">
        <f t="shared" si="24"/>
        <v>-5.64</v>
      </c>
      <c r="AH159" s="189">
        <f t="shared" si="25"/>
        <v>-8.4599999999999995E-2</v>
      </c>
      <c r="AI159" s="188">
        <f t="shared" ca="1" si="26"/>
        <v>8.4599999999999995E-2</v>
      </c>
      <c r="AJ159" s="190"/>
    </row>
    <row r="160" spans="1:37" s="23" customFormat="1" ht="42" customHeight="1" x14ac:dyDescent="0.25">
      <c r="A160" s="142" t="s">
        <v>50</v>
      </c>
      <c r="B160" s="143" t="s">
        <v>217</v>
      </c>
      <c r="C160" s="67" t="s">
        <v>141</v>
      </c>
      <c r="D160" s="45" t="s">
        <v>96</v>
      </c>
      <c r="E160" s="142" t="s">
        <v>165</v>
      </c>
      <c r="F160" s="144" t="s">
        <v>160</v>
      </c>
      <c r="G160" s="44" t="str">
        <f t="shared" si="28"/>
        <v>Director de Gestión Corporativa y CID</v>
      </c>
      <c r="H160" s="184">
        <v>44396</v>
      </c>
      <c r="I160" s="184">
        <v>44432</v>
      </c>
      <c r="J160" s="61"/>
      <c r="K160" s="61"/>
      <c r="L160" s="61"/>
      <c r="M160" s="61"/>
      <c r="N160" s="61"/>
      <c r="O160" s="61"/>
      <c r="P160" s="61"/>
      <c r="Q160" s="61"/>
      <c r="R160" s="61"/>
      <c r="S160" s="61"/>
      <c r="T160" s="61"/>
      <c r="U160" s="61"/>
      <c r="V160" s="142" t="s">
        <v>123</v>
      </c>
      <c r="W160" s="212">
        <v>5.0000000000000001E-3</v>
      </c>
      <c r="X160" s="137"/>
      <c r="Y160" s="72"/>
      <c r="Z160" s="72"/>
      <c r="AA160" s="41"/>
      <c r="AB160" s="70">
        <f t="shared" ca="1" si="27"/>
        <v>0</v>
      </c>
      <c r="AC160" s="70">
        <f t="shared" ca="1" si="29"/>
        <v>5.0000000000000001E-3</v>
      </c>
      <c r="AD160" s="186">
        <f t="shared" si="21"/>
        <v>8</v>
      </c>
      <c r="AE160" s="187">
        <f t="shared" si="22"/>
        <v>36</v>
      </c>
      <c r="AF160" s="187">
        <f t="shared" si="23"/>
        <v>-141</v>
      </c>
      <c r="AG160" s="188">
        <f t="shared" si="24"/>
        <v>-3.9166666666666665</v>
      </c>
      <c r="AH160" s="189">
        <f t="shared" si="25"/>
        <v>-1.9583333333333335E-2</v>
      </c>
      <c r="AI160" s="188">
        <f t="shared" ca="1" si="26"/>
        <v>1.9583333333333335E-2</v>
      </c>
      <c r="AJ160" s="190"/>
    </row>
    <row r="161" spans="1:36" s="23" customFormat="1" ht="42" customHeight="1" x14ac:dyDescent="0.25">
      <c r="A161" s="142" t="s">
        <v>45</v>
      </c>
      <c r="B161" s="143" t="s">
        <v>289</v>
      </c>
      <c r="C161" s="142" t="s">
        <v>90</v>
      </c>
      <c r="D161" s="142" t="s">
        <v>97</v>
      </c>
      <c r="E161" s="142" t="s">
        <v>165</v>
      </c>
      <c r="F161" s="145" t="s">
        <v>239</v>
      </c>
      <c r="G161" s="44" t="str">
        <f t="shared" si="28"/>
        <v>Asesor de Control Interno</v>
      </c>
      <c r="H161" s="137">
        <v>44405</v>
      </c>
      <c r="I161" s="137">
        <v>44411</v>
      </c>
      <c r="J161" s="61"/>
      <c r="K161" s="61"/>
      <c r="L161" s="61"/>
      <c r="M161" s="61"/>
      <c r="N161" s="61"/>
      <c r="O161" s="61"/>
      <c r="P161" s="61"/>
      <c r="Q161" s="61"/>
      <c r="R161" s="61"/>
      <c r="S161" s="61"/>
      <c r="T161" s="61"/>
      <c r="U161" s="61"/>
      <c r="V161" s="142" t="s">
        <v>215</v>
      </c>
      <c r="W161" s="212">
        <v>3.0000000000000001E-3</v>
      </c>
      <c r="X161" s="137"/>
      <c r="Y161" s="143"/>
      <c r="Z161" s="72"/>
      <c r="AA161" s="41"/>
      <c r="AB161" s="70">
        <f t="shared" ca="1" si="27"/>
        <v>0</v>
      </c>
      <c r="AC161" s="70">
        <f t="shared" ca="1" si="29"/>
        <v>3.0000000000000001E-3</v>
      </c>
      <c r="AD161" s="186">
        <f t="shared" si="21"/>
        <v>8</v>
      </c>
      <c r="AE161" s="187">
        <f t="shared" si="22"/>
        <v>6</v>
      </c>
      <c r="AF161" s="187">
        <f t="shared" si="23"/>
        <v>-150</v>
      </c>
      <c r="AG161" s="188">
        <f t="shared" si="24"/>
        <v>-25</v>
      </c>
      <c r="AH161" s="189">
        <f t="shared" si="25"/>
        <v>-7.4999999999999997E-2</v>
      </c>
      <c r="AI161" s="188">
        <f t="shared" ca="1" si="26"/>
        <v>7.4999999999999997E-2</v>
      </c>
      <c r="AJ161" s="190"/>
    </row>
    <row r="162" spans="1:36" s="3" customFormat="1" ht="42" customHeight="1" x14ac:dyDescent="0.2">
      <c r="A162" s="154" t="s">
        <v>46</v>
      </c>
      <c r="B162" s="143" t="s">
        <v>314</v>
      </c>
      <c r="C162" s="142" t="s">
        <v>82</v>
      </c>
      <c r="D162" s="142" t="s">
        <v>100</v>
      </c>
      <c r="E162" s="142" t="s">
        <v>165</v>
      </c>
      <c r="F162" s="145" t="s">
        <v>239</v>
      </c>
      <c r="G162" s="44" t="str">
        <f t="shared" si="28"/>
        <v>Director de Mejoramiento de Barrios</v>
      </c>
      <c r="H162" s="139">
        <v>44406</v>
      </c>
      <c r="I162" s="139">
        <v>44411</v>
      </c>
      <c r="J162" s="61"/>
      <c r="K162" s="61"/>
      <c r="L162" s="61"/>
      <c r="M162" s="61"/>
      <c r="N162" s="61"/>
      <c r="O162" s="61"/>
      <c r="P162" s="61"/>
      <c r="Q162" s="61"/>
      <c r="R162" s="61"/>
      <c r="S162" s="61"/>
      <c r="T162" s="61"/>
      <c r="U162" s="61"/>
      <c r="V162" s="140" t="s">
        <v>317</v>
      </c>
      <c r="W162" s="212">
        <v>1E-3</v>
      </c>
      <c r="X162" s="137"/>
      <c r="Y162" s="72"/>
      <c r="Z162" s="72"/>
      <c r="AA162" s="41"/>
      <c r="AB162" s="70">
        <f t="shared" ca="1" si="27"/>
        <v>0</v>
      </c>
      <c r="AC162" s="70">
        <f t="shared" ca="1" si="29"/>
        <v>1E-3</v>
      </c>
      <c r="AD162" s="186">
        <f t="shared" si="21"/>
        <v>8</v>
      </c>
      <c r="AE162" s="187">
        <f t="shared" si="22"/>
        <v>5</v>
      </c>
      <c r="AF162" s="187">
        <f t="shared" si="23"/>
        <v>-151</v>
      </c>
      <c r="AG162" s="188">
        <f t="shared" si="24"/>
        <v>-30.2</v>
      </c>
      <c r="AH162" s="189">
        <f t="shared" si="25"/>
        <v>-3.0200000000000001E-2</v>
      </c>
      <c r="AI162" s="188">
        <f t="shared" ca="1" si="26"/>
        <v>3.0200000000000001E-2</v>
      </c>
      <c r="AJ162" s="190"/>
    </row>
    <row r="163" spans="1:36" s="3" customFormat="1" ht="42" customHeight="1" x14ac:dyDescent="0.2">
      <c r="A163" s="142" t="s">
        <v>46</v>
      </c>
      <c r="B163" s="136" t="s">
        <v>315</v>
      </c>
      <c r="C163" s="142" t="s">
        <v>81</v>
      </c>
      <c r="D163" s="142" t="s">
        <v>100</v>
      </c>
      <c r="E163" s="142" t="s">
        <v>165</v>
      </c>
      <c r="F163" s="144" t="s">
        <v>240</v>
      </c>
      <c r="G163" s="44" t="str">
        <f t="shared" si="28"/>
        <v>Director de Urbanizaciones y Titulación</v>
      </c>
      <c r="H163" s="139">
        <v>44407</v>
      </c>
      <c r="I163" s="139">
        <v>44495</v>
      </c>
      <c r="J163" s="61"/>
      <c r="K163" s="61"/>
      <c r="L163" s="61"/>
      <c r="M163" s="61"/>
      <c r="N163" s="61"/>
      <c r="O163" s="61"/>
      <c r="P163" s="61"/>
      <c r="Q163" s="61"/>
      <c r="R163" s="61"/>
      <c r="S163" s="61"/>
      <c r="T163" s="61"/>
      <c r="U163" s="61"/>
      <c r="V163" s="140" t="s">
        <v>337</v>
      </c>
      <c r="W163" s="215">
        <v>0.01</v>
      </c>
      <c r="X163" s="137"/>
      <c r="Y163" s="72"/>
      <c r="Z163" s="72"/>
      <c r="AA163" s="41"/>
      <c r="AB163" s="70">
        <f t="shared" ca="1" si="27"/>
        <v>0</v>
      </c>
      <c r="AC163" s="70">
        <f t="shared" ca="1" si="29"/>
        <v>0.01</v>
      </c>
      <c r="AD163" s="186">
        <f t="shared" si="21"/>
        <v>10</v>
      </c>
      <c r="AE163" s="187">
        <f t="shared" si="22"/>
        <v>88</v>
      </c>
      <c r="AF163" s="187">
        <f t="shared" si="23"/>
        <v>-152</v>
      </c>
      <c r="AG163" s="188">
        <f t="shared" si="24"/>
        <v>-1.7272727272727273</v>
      </c>
      <c r="AH163" s="189">
        <f t="shared" si="25"/>
        <v>-1.7272727272727273E-2</v>
      </c>
      <c r="AI163" s="188">
        <f t="shared" ca="1" si="26"/>
        <v>1.7272727272727273E-2</v>
      </c>
      <c r="AJ163" s="190"/>
    </row>
    <row r="164" spans="1:36" s="23" customFormat="1" ht="42" customHeight="1" x14ac:dyDescent="0.25">
      <c r="A164" s="142" t="s">
        <v>45</v>
      </c>
      <c r="B164" s="143" t="s">
        <v>114</v>
      </c>
      <c r="C164" s="142" t="s">
        <v>90</v>
      </c>
      <c r="D164" s="142" t="s">
        <v>97</v>
      </c>
      <c r="E164" s="142" t="s">
        <v>165</v>
      </c>
      <c r="F164" s="145" t="s">
        <v>239</v>
      </c>
      <c r="G164" s="44" t="str">
        <f t="shared" si="28"/>
        <v>Asesor de Control Interno</v>
      </c>
      <c r="H164" s="137">
        <v>44410</v>
      </c>
      <c r="I164" s="137">
        <v>44413</v>
      </c>
      <c r="J164" s="61"/>
      <c r="K164" s="61"/>
      <c r="L164" s="61"/>
      <c r="M164" s="61"/>
      <c r="N164" s="61"/>
      <c r="O164" s="61"/>
      <c r="P164" s="61"/>
      <c r="Q164" s="61"/>
      <c r="R164" s="61"/>
      <c r="S164" s="61"/>
      <c r="T164" s="61"/>
      <c r="U164" s="61"/>
      <c r="V164" s="142" t="s">
        <v>202</v>
      </c>
      <c r="W164" s="212">
        <v>3.0000000000000001E-3</v>
      </c>
      <c r="X164" s="137"/>
      <c r="Y164" s="72"/>
      <c r="Z164" s="72"/>
      <c r="AA164" s="41"/>
      <c r="AB164" s="70">
        <f t="shared" ca="1" si="27"/>
        <v>0</v>
      </c>
      <c r="AC164" s="70">
        <f t="shared" ca="1" si="29"/>
        <v>3.0000000000000001E-3</v>
      </c>
      <c r="AD164" s="186">
        <f t="shared" si="21"/>
        <v>8</v>
      </c>
      <c r="AE164" s="187">
        <f t="shared" si="22"/>
        <v>3</v>
      </c>
      <c r="AF164" s="187">
        <f t="shared" si="23"/>
        <v>-155</v>
      </c>
      <c r="AG164" s="188">
        <f t="shared" si="24"/>
        <v>-51.666666666666664</v>
      </c>
      <c r="AH164" s="189">
        <f t="shared" si="25"/>
        <v>-0.155</v>
      </c>
      <c r="AI164" s="188">
        <f t="shared" ca="1" si="26"/>
        <v>0.155</v>
      </c>
      <c r="AJ164" s="190"/>
    </row>
    <row r="165" spans="1:36" s="23" customFormat="1" ht="42" customHeight="1" x14ac:dyDescent="0.25">
      <c r="A165" s="154" t="s">
        <v>46</v>
      </c>
      <c r="B165" s="143" t="s">
        <v>93</v>
      </c>
      <c r="C165" s="142" t="s">
        <v>141</v>
      </c>
      <c r="D165" s="142" t="s">
        <v>96</v>
      </c>
      <c r="E165" s="142" t="s">
        <v>165</v>
      </c>
      <c r="F165" s="144" t="s">
        <v>240</v>
      </c>
      <c r="G165" s="44" t="str">
        <f t="shared" si="28"/>
        <v>Director de Gestión Corporativa y CID</v>
      </c>
      <c r="H165" s="137">
        <v>44410</v>
      </c>
      <c r="I165" s="137">
        <v>44418</v>
      </c>
      <c r="J165" s="61"/>
      <c r="K165" s="61"/>
      <c r="L165" s="61"/>
      <c r="M165" s="61"/>
      <c r="N165" s="61"/>
      <c r="O165" s="61"/>
      <c r="P165" s="61"/>
      <c r="Q165" s="61"/>
      <c r="R165" s="61"/>
      <c r="S165" s="61"/>
      <c r="T165" s="61"/>
      <c r="U165" s="61"/>
      <c r="V165" s="142" t="s">
        <v>332</v>
      </c>
      <c r="W165" s="212">
        <v>1E-3</v>
      </c>
      <c r="X165" s="137"/>
      <c r="Y165" s="143"/>
      <c r="Z165" s="72"/>
      <c r="AA165" s="41"/>
      <c r="AB165" s="70">
        <f t="shared" ca="1" si="27"/>
        <v>0</v>
      </c>
      <c r="AC165" s="70">
        <f t="shared" ca="1" si="29"/>
        <v>1E-3</v>
      </c>
      <c r="AD165" s="186">
        <f t="shared" si="21"/>
        <v>8</v>
      </c>
      <c r="AE165" s="187">
        <f t="shared" si="22"/>
        <v>8</v>
      </c>
      <c r="AF165" s="187">
        <f t="shared" si="23"/>
        <v>-155</v>
      </c>
      <c r="AG165" s="188">
        <f t="shared" si="24"/>
        <v>-19.375</v>
      </c>
      <c r="AH165" s="189">
        <f t="shared" si="25"/>
        <v>-1.9375E-2</v>
      </c>
      <c r="AI165" s="188">
        <f t="shared" ca="1" si="26"/>
        <v>1.9375E-2</v>
      </c>
      <c r="AJ165" s="190"/>
    </row>
    <row r="166" spans="1:36" s="23" customFormat="1" ht="42" customHeight="1" x14ac:dyDescent="0.25">
      <c r="A166" s="154" t="s">
        <v>44</v>
      </c>
      <c r="B166" s="143" t="s">
        <v>92</v>
      </c>
      <c r="C166" s="142" t="s">
        <v>89</v>
      </c>
      <c r="D166" s="142" t="s">
        <v>96</v>
      </c>
      <c r="E166" s="142" t="s">
        <v>165</v>
      </c>
      <c r="F166" s="144" t="s">
        <v>203</v>
      </c>
      <c r="G166" s="44" t="str">
        <f t="shared" si="28"/>
        <v>Subdirector Financiero</v>
      </c>
      <c r="H166" s="137">
        <v>44410</v>
      </c>
      <c r="I166" s="137">
        <v>44418</v>
      </c>
      <c r="J166" s="61"/>
      <c r="K166" s="61"/>
      <c r="L166" s="61"/>
      <c r="M166" s="61"/>
      <c r="N166" s="61"/>
      <c r="O166" s="61"/>
      <c r="P166" s="61"/>
      <c r="Q166" s="61"/>
      <c r="R166" s="61"/>
      <c r="S166" s="61"/>
      <c r="T166" s="61"/>
      <c r="U166" s="61"/>
      <c r="V166" s="142" t="s">
        <v>123</v>
      </c>
      <c r="W166" s="212">
        <v>1E-3</v>
      </c>
      <c r="X166" s="137"/>
      <c r="Y166" s="143"/>
      <c r="Z166" s="72"/>
      <c r="AA166" s="41"/>
      <c r="AB166" s="70">
        <f t="shared" ca="1" si="27"/>
        <v>0</v>
      </c>
      <c r="AC166" s="70">
        <f t="shared" ca="1" si="29"/>
        <v>1E-3</v>
      </c>
      <c r="AD166" s="186">
        <f t="shared" si="21"/>
        <v>8</v>
      </c>
      <c r="AE166" s="187">
        <f t="shared" si="22"/>
        <v>8</v>
      </c>
      <c r="AF166" s="187">
        <f t="shared" si="23"/>
        <v>-155</v>
      </c>
      <c r="AG166" s="188">
        <f t="shared" si="24"/>
        <v>-19.375</v>
      </c>
      <c r="AH166" s="189">
        <f t="shared" si="25"/>
        <v>-1.9375E-2</v>
      </c>
      <c r="AI166" s="188">
        <f t="shared" ca="1" si="26"/>
        <v>1.9375E-2</v>
      </c>
      <c r="AJ166" s="190"/>
    </row>
    <row r="167" spans="1:36" s="23" customFormat="1" ht="42" customHeight="1" x14ac:dyDescent="0.25">
      <c r="A167" s="142" t="s">
        <v>50</v>
      </c>
      <c r="B167" s="143" t="s">
        <v>343</v>
      </c>
      <c r="C167" s="142" t="s">
        <v>140</v>
      </c>
      <c r="D167" s="142" t="s">
        <v>100</v>
      </c>
      <c r="E167" s="142" t="s">
        <v>165</v>
      </c>
      <c r="F167" s="145" t="s">
        <v>159</v>
      </c>
      <c r="G167" s="44" t="str">
        <f t="shared" si="28"/>
        <v>Director de Gestión Corporativa y CID</v>
      </c>
      <c r="H167" s="137">
        <v>44410</v>
      </c>
      <c r="I167" s="137">
        <v>44438</v>
      </c>
      <c r="J167" s="61"/>
      <c r="K167" s="61"/>
      <c r="L167" s="61"/>
      <c r="M167" s="61"/>
      <c r="N167" s="61"/>
      <c r="O167" s="61"/>
      <c r="P167" s="61"/>
      <c r="Q167" s="61"/>
      <c r="R167" s="61"/>
      <c r="S167" s="61"/>
      <c r="T167" s="61"/>
      <c r="U167" s="61"/>
      <c r="V167" s="142" t="s">
        <v>123</v>
      </c>
      <c r="W167" s="212">
        <v>2.5000000000000001E-3</v>
      </c>
      <c r="X167" s="137"/>
      <c r="Y167" s="80"/>
      <c r="Z167" s="72"/>
      <c r="AA167" s="41"/>
      <c r="AB167" s="70">
        <f t="shared" ca="1" si="27"/>
        <v>0</v>
      </c>
      <c r="AC167" s="70">
        <f t="shared" ca="1" si="29"/>
        <v>2.5000000000000001E-3</v>
      </c>
      <c r="AD167" s="186">
        <f t="shared" si="21"/>
        <v>8</v>
      </c>
      <c r="AE167" s="187">
        <f t="shared" si="22"/>
        <v>28</v>
      </c>
      <c r="AF167" s="187">
        <f t="shared" si="23"/>
        <v>-155</v>
      </c>
      <c r="AG167" s="188">
        <f t="shared" si="24"/>
        <v>-5.5357142857142856</v>
      </c>
      <c r="AH167" s="189">
        <f t="shared" si="25"/>
        <v>-1.3839285714285714E-2</v>
      </c>
      <c r="AI167" s="188">
        <f t="shared" ca="1" si="26"/>
        <v>1.3839285714285714E-2</v>
      </c>
      <c r="AJ167" s="190"/>
    </row>
    <row r="168" spans="1:36" s="23" customFormat="1" ht="42" customHeight="1" x14ac:dyDescent="0.25">
      <c r="A168" s="142" t="s">
        <v>50</v>
      </c>
      <c r="B168" s="143" t="s">
        <v>442</v>
      </c>
      <c r="C168" s="142" t="s">
        <v>83</v>
      </c>
      <c r="D168" s="142" t="s">
        <v>100</v>
      </c>
      <c r="E168" s="142" t="s">
        <v>165</v>
      </c>
      <c r="F168" s="145" t="s">
        <v>240</v>
      </c>
      <c r="G168" s="44" t="str">
        <f t="shared" si="28"/>
        <v>Director de Mejoramiento de Vivienda</v>
      </c>
      <c r="H168" s="137">
        <v>44410</v>
      </c>
      <c r="I168" s="137">
        <v>44469</v>
      </c>
      <c r="J168" s="61"/>
      <c r="K168" s="61"/>
      <c r="L168" s="61"/>
      <c r="M168" s="61"/>
      <c r="N168" s="61"/>
      <c r="O168" s="61"/>
      <c r="P168" s="61"/>
      <c r="Q168" s="61"/>
      <c r="R168" s="61"/>
      <c r="S168" s="61"/>
      <c r="T168" s="61"/>
      <c r="U168" s="61"/>
      <c r="V168" s="142" t="s">
        <v>123</v>
      </c>
      <c r="W168" s="212">
        <v>2.5000000000000001E-3</v>
      </c>
      <c r="X168" s="137"/>
      <c r="Y168" s="80"/>
      <c r="Z168" s="72"/>
      <c r="AA168" s="41"/>
      <c r="AB168" s="70">
        <f t="shared" ca="1" si="27"/>
        <v>0</v>
      </c>
      <c r="AC168" s="70">
        <f t="shared" ca="1" si="29"/>
        <v>2.5000000000000001E-3</v>
      </c>
      <c r="AD168" s="186">
        <f t="shared" si="21"/>
        <v>9</v>
      </c>
      <c r="AE168" s="187">
        <f t="shared" si="22"/>
        <v>59</v>
      </c>
      <c r="AF168" s="187">
        <f t="shared" si="23"/>
        <v>-155</v>
      </c>
      <c r="AG168" s="188">
        <f t="shared" si="24"/>
        <v>-2.6271186440677967</v>
      </c>
      <c r="AH168" s="189">
        <f t="shared" si="25"/>
        <v>-6.5677966101694921E-3</v>
      </c>
      <c r="AI168" s="188">
        <f t="shared" ca="1" si="26"/>
        <v>6.5677966101694921E-3</v>
      </c>
      <c r="AJ168" s="190"/>
    </row>
    <row r="169" spans="1:36" s="23" customFormat="1" ht="42" customHeight="1" x14ac:dyDescent="0.25">
      <c r="A169" s="142" t="s">
        <v>50</v>
      </c>
      <c r="B169" s="143" t="s">
        <v>345</v>
      </c>
      <c r="C169" s="142" t="s">
        <v>80</v>
      </c>
      <c r="D169" s="142" t="s">
        <v>100</v>
      </c>
      <c r="E169" s="142" t="s">
        <v>165</v>
      </c>
      <c r="F169" s="145" t="s">
        <v>159</v>
      </c>
      <c r="G169" s="44" t="str">
        <f t="shared" si="28"/>
        <v>Director de Reasentamientos Humanos</v>
      </c>
      <c r="H169" s="137">
        <v>44410</v>
      </c>
      <c r="I169" s="137">
        <v>44497</v>
      </c>
      <c r="J169" s="61"/>
      <c r="K169" s="61"/>
      <c r="L169" s="61"/>
      <c r="M169" s="61"/>
      <c r="N169" s="61"/>
      <c r="O169" s="61"/>
      <c r="P169" s="61"/>
      <c r="Q169" s="61"/>
      <c r="R169" s="61"/>
      <c r="S169" s="61"/>
      <c r="T169" s="61"/>
      <c r="U169" s="61"/>
      <c r="V169" s="142" t="s">
        <v>123</v>
      </c>
      <c r="W169" s="212">
        <v>5.0000000000000001E-3</v>
      </c>
      <c r="X169" s="137"/>
      <c r="Y169" s="80"/>
      <c r="Z169" s="72"/>
      <c r="AA169" s="41"/>
      <c r="AB169" s="70">
        <f t="shared" ref="AB169:AB200" ca="1" si="30">IF(ISERROR(VLOOKUP(AA169,INDIRECT(VLOOKUP(A169,ACTA,2,0)&amp;"A"),2,0))=TRUE,0,W169*(VLOOKUP(AA169,INDIRECT(VLOOKUP(A169,ACTA,2,0)&amp;"A"),2,0)))</f>
        <v>0</v>
      </c>
      <c r="AC169" s="70">
        <f t="shared" ca="1" si="29"/>
        <v>5.0000000000000001E-3</v>
      </c>
      <c r="AD169" s="186">
        <f t="shared" si="21"/>
        <v>10</v>
      </c>
      <c r="AE169" s="187">
        <f t="shared" si="22"/>
        <v>87</v>
      </c>
      <c r="AF169" s="187">
        <f t="shared" si="23"/>
        <v>-155</v>
      </c>
      <c r="AG169" s="188">
        <f t="shared" si="24"/>
        <v>-1.7816091954022988</v>
      </c>
      <c r="AH169" s="189">
        <f t="shared" si="25"/>
        <v>-8.9080459770114941E-3</v>
      </c>
      <c r="AI169" s="188">
        <f t="shared" ca="1" si="26"/>
        <v>8.9080459770114941E-3</v>
      </c>
      <c r="AJ169" s="190"/>
    </row>
    <row r="170" spans="1:36" s="23" customFormat="1" ht="42" customHeight="1" x14ac:dyDescent="0.25">
      <c r="A170" s="142" t="s">
        <v>43</v>
      </c>
      <c r="B170" s="143" t="s">
        <v>305</v>
      </c>
      <c r="C170" s="142" t="s">
        <v>90</v>
      </c>
      <c r="D170" s="142" t="s">
        <v>97</v>
      </c>
      <c r="E170" s="142" t="s">
        <v>165</v>
      </c>
      <c r="F170" s="145" t="s">
        <v>239</v>
      </c>
      <c r="G170" s="44" t="str">
        <f t="shared" si="28"/>
        <v>Asesor de Control Interno</v>
      </c>
      <c r="H170" s="137">
        <v>44425</v>
      </c>
      <c r="I170" s="137">
        <v>44439</v>
      </c>
      <c r="J170" s="61"/>
      <c r="K170" s="61"/>
      <c r="L170" s="61"/>
      <c r="M170" s="61"/>
      <c r="N170" s="61"/>
      <c r="O170" s="61"/>
      <c r="P170" s="61"/>
      <c r="Q170" s="61"/>
      <c r="R170" s="61"/>
      <c r="S170" s="61"/>
      <c r="T170" s="61"/>
      <c r="U170" s="61"/>
      <c r="V170" s="41" t="s">
        <v>334</v>
      </c>
      <c r="W170" s="215">
        <v>5.0000000000000001E-3</v>
      </c>
      <c r="X170" s="137"/>
      <c r="Y170" s="72"/>
      <c r="Z170" s="72"/>
      <c r="AA170" s="41"/>
      <c r="AB170" s="70">
        <f t="shared" ca="1" si="30"/>
        <v>0</v>
      </c>
      <c r="AC170" s="70">
        <f t="shared" ca="1" si="29"/>
        <v>5.0000000000000001E-3</v>
      </c>
      <c r="AD170" s="186">
        <f t="shared" si="21"/>
        <v>8</v>
      </c>
      <c r="AE170" s="187">
        <f t="shared" si="22"/>
        <v>14</v>
      </c>
      <c r="AF170" s="187">
        <f t="shared" si="23"/>
        <v>-170</v>
      </c>
      <c r="AG170" s="188">
        <f t="shared" si="24"/>
        <v>-12.142857142857142</v>
      </c>
      <c r="AH170" s="189">
        <f t="shared" si="25"/>
        <v>-6.0714285714285714E-2</v>
      </c>
      <c r="AI170" s="188">
        <f t="shared" ca="1" si="26"/>
        <v>6.0714285714285714E-2</v>
      </c>
      <c r="AJ170" s="191"/>
    </row>
    <row r="171" spans="1:36" s="23" customFormat="1" ht="42" customHeight="1" x14ac:dyDescent="0.25">
      <c r="A171" s="142" t="s">
        <v>51</v>
      </c>
      <c r="B171" s="143" t="s">
        <v>326</v>
      </c>
      <c r="C171" s="142" t="s">
        <v>127</v>
      </c>
      <c r="D171" s="142" t="s">
        <v>95</v>
      </c>
      <c r="E171" s="142" t="s">
        <v>165</v>
      </c>
      <c r="F171" s="144" t="s">
        <v>160</v>
      </c>
      <c r="G171" s="44" t="str">
        <f t="shared" si="28"/>
        <v xml:space="preserve">Director Jurídico </v>
      </c>
      <c r="H171" s="137">
        <v>44425</v>
      </c>
      <c r="I171" s="137">
        <v>44468</v>
      </c>
      <c r="J171" s="61"/>
      <c r="K171" s="61"/>
      <c r="L171" s="61"/>
      <c r="M171" s="61"/>
      <c r="N171" s="61"/>
      <c r="O171" s="61"/>
      <c r="P171" s="61"/>
      <c r="Q171" s="61"/>
      <c r="R171" s="61"/>
      <c r="S171" s="61"/>
      <c r="T171" s="61"/>
      <c r="U171" s="61"/>
      <c r="V171" s="41" t="s">
        <v>123</v>
      </c>
      <c r="W171" s="212">
        <v>5.0000000000000001E-3</v>
      </c>
      <c r="X171" s="137"/>
      <c r="Y171" s="143"/>
      <c r="Z171" s="72"/>
      <c r="AA171" s="41"/>
      <c r="AB171" s="70">
        <f t="shared" ca="1" si="30"/>
        <v>0</v>
      </c>
      <c r="AC171" s="70">
        <f t="shared" ca="1" si="29"/>
        <v>5.0000000000000001E-3</v>
      </c>
      <c r="AD171" s="186">
        <f t="shared" si="21"/>
        <v>9</v>
      </c>
      <c r="AE171" s="187">
        <f t="shared" si="22"/>
        <v>43</v>
      </c>
      <c r="AF171" s="187">
        <f t="shared" si="23"/>
        <v>-170</v>
      </c>
      <c r="AG171" s="188">
        <f t="shared" si="24"/>
        <v>-3.9534883720930232</v>
      </c>
      <c r="AH171" s="189">
        <f t="shared" si="25"/>
        <v>-1.9767441860465116E-2</v>
      </c>
      <c r="AI171" s="188">
        <f t="shared" ca="1" si="26"/>
        <v>1.9767441860465116E-2</v>
      </c>
      <c r="AJ171" s="190"/>
    </row>
    <row r="172" spans="1:36" s="64" customFormat="1" ht="42" customHeight="1" x14ac:dyDescent="0.25">
      <c r="A172" s="154" t="s">
        <v>51</v>
      </c>
      <c r="B172" s="143" t="s">
        <v>357</v>
      </c>
      <c r="C172" s="142" t="s">
        <v>98</v>
      </c>
      <c r="D172" s="142" t="s">
        <v>98</v>
      </c>
      <c r="E172" s="142" t="s">
        <v>165</v>
      </c>
      <c r="F172" s="144" t="s">
        <v>263</v>
      </c>
      <c r="G172" s="44" t="str">
        <f t="shared" si="28"/>
        <v>Líderes de Cada Proceso</v>
      </c>
      <c r="H172" s="137">
        <v>44433</v>
      </c>
      <c r="I172" s="137">
        <v>44453</v>
      </c>
      <c r="J172" s="61"/>
      <c r="K172" s="61"/>
      <c r="L172" s="61"/>
      <c r="M172" s="61"/>
      <c r="N172" s="61"/>
      <c r="O172" s="61"/>
      <c r="P172" s="61"/>
      <c r="Q172" s="61"/>
      <c r="R172" s="61"/>
      <c r="S172" s="61"/>
      <c r="T172" s="61"/>
      <c r="U172" s="61"/>
      <c r="V172" s="41" t="s">
        <v>123</v>
      </c>
      <c r="W172" s="212">
        <v>1.6E-2</v>
      </c>
      <c r="X172" s="137"/>
      <c r="Y172" s="72"/>
      <c r="Z172" s="72"/>
      <c r="AA172" s="41"/>
      <c r="AB172" s="70">
        <f t="shared" ca="1" si="30"/>
        <v>0</v>
      </c>
      <c r="AC172" s="70">
        <f t="shared" ca="1" si="29"/>
        <v>1.6E-2</v>
      </c>
      <c r="AD172" s="186">
        <f t="shared" si="21"/>
        <v>9</v>
      </c>
      <c r="AE172" s="187">
        <f t="shared" si="22"/>
        <v>20</v>
      </c>
      <c r="AF172" s="187">
        <f t="shared" si="23"/>
        <v>-178</v>
      </c>
      <c r="AG172" s="188">
        <f t="shared" si="24"/>
        <v>-8.9</v>
      </c>
      <c r="AH172" s="189">
        <f t="shared" si="25"/>
        <v>-0.1424</v>
      </c>
      <c r="AI172" s="188">
        <f t="shared" ca="1" si="26"/>
        <v>0.1424</v>
      </c>
      <c r="AJ172" s="190"/>
    </row>
    <row r="173" spans="1:36" s="23" customFormat="1" ht="42" customHeight="1" x14ac:dyDescent="0.25">
      <c r="A173" s="154" t="s">
        <v>51</v>
      </c>
      <c r="B173" s="143" t="s">
        <v>358</v>
      </c>
      <c r="C173" s="142" t="s">
        <v>98</v>
      </c>
      <c r="D173" s="142" t="s">
        <v>98</v>
      </c>
      <c r="E173" s="142" t="s">
        <v>165</v>
      </c>
      <c r="F173" s="144" t="s">
        <v>263</v>
      </c>
      <c r="G173" s="44" t="str">
        <f t="shared" si="28"/>
        <v>Líderes de Cada Proceso</v>
      </c>
      <c r="H173" s="137">
        <v>44433</v>
      </c>
      <c r="I173" s="137">
        <v>44453</v>
      </c>
      <c r="J173" s="61"/>
      <c r="K173" s="61"/>
      <c r="L173" s="61"/>
      <c r="M173" s="61"/>
      <c r="N173" s="61"/>
      <c r="O173" s="61"/>
      <c r="P173" s="61"/>
      <c r="Q173" s="61"/>
      <c r="R173" s="61"/>
      <c r="S173" s="61"/>
      <c r="T173" s="61"/>
      <c r="U173" s="61"/>
      <c r="V173" s="142" t="s">
        <v>123</v>
      </c>
      <c r="W173" s="212">
        <v>1.4999999999999999E-2</v>
      </c>
      <c r="X173" s="137"/>
      <c r="Y173" s="72"/>
      <c r="Z173" s="72"/>
      <c r="AA173" s="41"/>
      <c r="AB173" s="70">
        <f t="shared" ca="1" si="30"/>
        <v>0</v>
      </c>
      <c r="AC173" s="70">
        <f t="shared" ca="1" si="29"/>
        <v>1.4999999999999999E-2</v>
      </c>
      <c r="AD173" s="186">
        <f t="shared" si="21"/>
        <v>9</v>
      </c>
      <c r="AE173" s="187">
        <f t="shared" si="22"/>
        <v>20</v>
      </c>
      <c r="AF173" s="187">
        <f t="shared" si="23"/>
        <v>-178</v>
      </c>
      <c r="AG173" s="188">
        <f t="shared" si="24"/>
        <v>-8.9</v>
      </c>
      <c r="AH173" s="189">
        <f t="shared" si="25"/>
        <v>-0.13350000000000001</v>
      </c>
      <c r="AI173" s="188">
        <f t="shared" ca="1" si="26"/>
        <v>0.13350000000000001</v>
      </c>
      <c r="AJ173" s="190"/>
    </row>
    <row r="174" spans="1:36" s="23" customFormat="1" ht="42" customHeight="1" x14ac:dyDescent="0.25">
      <c r="A174" s="142" t="s">
        <v>45</v>
      </c>
      <c r="B174" s="143" t="s">
        <v>289</v>
      </c>
      <c r="C174" s="142" t="s">
        <v>90</v>
      </c>
      <c r="D174" s="142" t="s">
        <v>97</v>
      </c>
      <c r="E174" s="142" t="s">
        <v>165</v>
      </c>
      <c r="F174" s="145" t="s">
        <v>239</v>
      </c>
      <c r="G174" s="44" t="str">
        <f t="shared" si="28"/>
        <v>Asesor de Control Interno</v>
      </c>
      <c r="H174" s="137">
        <v>44435</v>
      </c>
      <c r="I174" s="137">
        <v>44441</v>
      </c>
      <c r="J174" s="61"/>
      <c r="K174" s="61"/>
      <c r="L174" s="61"/>
      <c r="M174" s="61"/>
      <c r="N174" s="61"/>
      <c r="O174" s="61"/>
      <c r="P174" s="61"/>
      <c r="Q174" s="61"/>
      <c r="R174" s="61"/>
      <c r="S174" s="61"/>
      <c r="T174" s="61"/>
      <c r="U174" s="61"/>
      <c r="V174" s="142" t="s">
        <v>215</v>
      </c>
      <c r="W174" s="212">
        <v>3.0000000000000001E-3</v>
      </c>
      <c r="X174" s="137"/>
      <c r="Y174" s="143"/>
      <c r="Z174" s="72"/>
      <c r="AA174" s="41"/>
      <c r="AB174" s="70">
        <f t="shared" ca="1" si="30"/>
        <v>0</v>
      </c>
      <c r="AC174" s="70">
        <f t="shared" ca="1" si="29"/>
        <v>3.0000000000000001E-3</v>
      </c>
      <c r="AD174" s="186">
        <f t="shared" si="21"/>
        <v>9</v>
      </c>
      <c r="AE174" s="187">
        <f t="shared" si="22"/>
        <v>6</v>
      </c>
      <c r="AF174" s="187">
        <f t="shared" si="23"/>
        <v>-180</v>
      </c>
      <c r="AG174" s="188">
        <f t="shared" si="24"/>
        <v>-30</v>
      </c>
      <c r="AH174" s="189">
        <f t="shared" si="25"/>
        <v>-0.09</v>
      </c>
      <c r="AI174" s="188">
        <f t="shared" ca="1" si="26"/>
        <v>0.09</v>
      </c>
      <c r="AJ174" s="190"/>
    </row>
    <row r="175" spans="1:36" s="23" customFormat="1" ht="42" customHeight="1" x14ac:dyDescent="0.25">
      <c r="A175" s="154" t="s">
        <v>46</v>
      </c>
      <c r="B175" s="143" t="s">
        <v>314</v>
      </c>
      <c r="C175" s="142" t="s">
        <v>82</v>
      </c>
      <c r="D175" s="142" t="s">
        <v>100</v>
      </c>
      <c r="E175" s="142" t="s">
        <v>165</v>
      </c>
      <c r="F175" s="145" t="s">
        <v>239</v>
      </c>
      <c r="G175" s="44" t="str">
        <f t="shared" si="28"/>
        <v>Director de Mejoramiento de Barrios</v>
      </c>
      <c r="H175" s="137">
        <v>44438</v>
      </c>
      <c r="I175" s="137">
        <v>44441</v>
      </c>
      <c r="J175" s="61"/>
      <c r="K175" s="61"/>
      <c r="L175" s="61"/>
      <c r="M175" s="61"/>
      <c r="N175" s="61"/>
      <c r="O175" s="61"/>
      <c r="P175" s="61"/>
      <c r="Q175" s="61"/>
      <c r="R175" s="61"/>
      <c r="S175" s="61"/>
      <c r="T175" s="61"/>
      <c r="U175" s="61"/>
      <c r="V175" s="140" t="s">
        <v>317</v>
      </c>
      <c r="W175" s="212">
        <v>1E-3</v>
      </c>
      <c r="X175" s="137"/>
      <c r="Y175" s="72"/>
      <c r="Z175" s="72"/>
      <c r="AA175" s="41"/>
      <c r="AB175" s="70">
        <f t="shared" ca="1" si="30"/>
        <v>0</v>
      </c>
      <c r="AC175" s="70">
        <f t="shared" ca="1" si="29"/>
        <v>1E-3</v>
      </c>
      <c r="AD175" s="186">
        <f t="shared" si="21"/>
        <v>9</v>
      </c>
      <c r="AE175" s="187">
        <f t="shared" si="22"/>
        <v>3</v>
      </c>
      <c r="AF175" s="187">
        <f t="shared" si="23"/>
        <v>-183</v>
      </c>
      <c r="AG175" s="188">
        <f t="shared" si="24"/>
        <v>-61</v>
      </c>
      <c r="AH175" s="189">
        <f t="shared" si="25"/>
        <v>-6.0999999999999999E-2</v>
      </c>
      <c r="AI175" s="188">
        <f t="shared" ca="1" si="26"/>
        <v>6.0999999999999999E-2</v>
      </c>
      <c r="AJ175" s="190"/>
    </row>
    <row r="176" spans="1:36" s="23" customFormat="1" ht="42" customHeight="1" x14ac:dyDescent="0.25">
      <c r="A176" s="142" t="s">
        <v>45</v>
      </c>
      <c r="B176" s="143" t="s">
        <v>114</v>
      </c>
      <c r="C176" s="142" t="s">
        <v>90</v>
      </c>
      <c r="D176" s="142" t="s">
        <v>97</v>
      </c>
      <c r="E176" s="142" t="s">
        <v>165</v>
      </c>
      <c r="F176" s="145" t="s">
        <v>239</v>
      </c>
      <c r="G176" s="44" t="str">
        <f t="shared" si="28"/>
        <v>Asesor de Control Interno</v>
      </c>
      <c r="H176" s="137">
        <v>44440</v>
      </c>
      <c r="I176" s="137">
        <v>44445</v>
      </c>
      <c r="J176" s="61"/>
      <c r="K176" s="61"/>
      <c r="L176" s="61"/>
      <c r="M176" s="61"/>
      <c r="N176" s="61"/>
      <c r="O176" s="61"/>
      <c r="P176" s="61"/>
      <c r="Q176" s="61"/>
      <c r="R176" s="61"/>
      <c r="S176" s="61"/>
      <c r="T176" s="61"/>
      <c r="U176" s="61"/>
      <c r="V176" s="142" t="s">
        <v>202</v>
      </c>
      <c r="W176" s="212">
        <v>3.0000000000000001E-3</v>
      </c>
      <c r="X176" s="137"/>
      <c r="Y176" s="72"/>
      <c r="Z176" s="72"/>
      <c r="AA176" s="41"/>
      <c r="AB176" s="70">
        <f t="shared" ca="1" si="30"/>
        <v>0</v>
      </c>
      <c r="AC176" s="70">
        <f t="shared" ca="1" si="29"/>
        <v>3.0000000000000001E-3</v>
      </c>
      <c r="AD176" s="186">
        <f t="shared" si="21"/>
        <v>9</v>
      </c>
      <c r="AE176" s="187">
        <f t="shared" si="22"/>
        <v>5</v>
      </c>
      <c r="AF176" s="187">
        <f t="shared" si="23"/>
        <v>-185</v>
      </c>
      <c r="AG176" s="188">
        <f t="shared" si="24"/>
        <v>-37</v>
      </c>
      <c r="AH176" s="189">
        <f t="shared" si="25"/>
        <v>-0.111</v>
      </c>
      <c r="AI176" s="188">
        <f t="shared" ca="1" si="26"/>
        <v>0.111</v>
      </c>
      <c r="AJ176" s="190"/>
    </row>
    <row r="177" spans="1:36" s="23" customFormat="1" ht="42" customHeight="1" x14ac:dyDescent="0.25">
      <c r="A177" s="154" t="s">
        <v>46</v>
      </c>
      <c r="B177" s="143" t="s">
        <v>93</v>
      </c>
      <c r="C177" s="142" t="s">
        <v>89</v>
      </c>
      <c r="D177" s="142" t="s">
        <v>96</v>
      </c>
      <c r="E177" s="142" t="s">
        <v>165</v>
      </c>
      <c r="F177" s="144" t="s">
        <v>240</v>
      </c>
      <c r="G177" s="44" t="str">
        <f t="shared" si="28"/>
        <v>Subdirector Financiero</v>
      </c>
      <c r="H177" s="137">
        <v>44440</v>
      </c>
      <c r="I177" s="137">
        <v>44448</v>
      </c>
      <c r="J177" s="61"/>
      <c r="K177" s="61"/>
      <c r="L177" s="61"/>
      <c r="M177" s="61"/>
      <c r="N177" s="61"/>
      <c r="O177" s="61"/>
      <c r="P177" s="61"/>
      <c r="Q177" s="61"/>
      <c r="R177" s="61"/>
      <c r="S177" s="61"/>
      <c r="T177" s="61"/>
      <c r="U177" s="61"/>
      <c r="V177" s="142" t="s">
        <v>332</v>
      </c>
      <c r="W177" s="212">
        <v>1E-3</v>
      </c>
      <c r="X177" s="137"/>
      <c r="Y177" s="72"/>
      <c r="Z177" s="72"/>
      <c r="AA177" s="41"/>
      <c r="AB177" s="70">
        <f t="shared" ca="1" si="30"/>
        <v>0</v>
      </c>
      <c r="AC177" s="70">
        <f t="shared" ca="1" si="29"/>
        <v>1E-3</v>
      </c>
      <c r="AD177" s="186">
        <f t="shared" si="21"/>
        <v>9</v>
      </c>
      <c r="AE177" s="187">
        <f t="shared" si="22"/>
        <v>8</v>
      </c>
      <c r="AF177" s="187">
        <f t="shared" si="23"/>
        <v>-185</v>
      </c>
      <c r="AG177" s="188">
        <f t="shared" si="24"/>
        <v>-23.125</v>
      </c>
      <c r="AH177" s="189">
        <f t="shared" si="25"/>
        <v>-2.3125E-2</v>
      </c>
      <c r="AI177" s="188">
        <f t="shared" ca="1" si="26"/>
        <v>2.3125E-2</v>
      </c>
      <c r="AJ177" s="190"/>
    </row>
    <row r="178" spans="1:36" s="23" customFormat="1" ht="42" customHeight="1" x14ac:dyDescent="0.25">
      <c r="A178" s="154" t="s">
        <v>44</v>
      </c>
      <c r="B178" s="143" t="s">
        <v>92</v>
      </c>
      <c r="C178" s="142" t="s">
        <v>89</v>
      </c>
      <c r="D178" s="142" t="s">
        <v>96</v>
      </c>
      <c r="E178" s="142" t="s">
        <v>165</v>
      </c>
      <c r="F178" s="144" t="s">
        <v>203</v>
      </c>
      <c r="G178" s="44" t="str">
        <f t="shared" si="28"/>
        <v>Subdirector Financiero</v>
      </c>
      <c r="H178" s="137">
        <v>44440</v>
      </c>
      <c r="I178" s="137">
        <v>44448</v>
      </c>
      <c r="J178" s="61"/>
      <c r="K178" s="61"/>
      <c r="L178" s="61"/>
      <c r="M178" s="61"/>
      <c r="N178" s="61"/>
      <c r="O178" s="61"/>
      <c r="P178" s="61"/>
      <c r="Q178" s="61"/>
      <c r="R178" s="61"/>
      <c r="S178" s="61"/>
      <c r="T178" s="61"/>
      <c r="U178" s="61"/>
      <c r="V178" s="142" t="s">
        <v>123</v>
      </c>
      <c r="W178" s="212">
        <v>1E-3</v>
      </c>
      <c r="X178" s="137"/>
      <c r="Y178" s="143"/>
      <c r="Z178" s="72"/>
      <c r="AA178" s="41"/>
      <c r="AB178" s="70">
        <f t="shared" ca="1" si="30"/>
        <v>0</v>
      </c>
      <c r="AC178" s="70">
        <f t="shared" ca="1" si="29"/>
        <v>1E-3</v>
      </c>
      <c r="AD178" s="186">
        <f t="shared" si="21"/>
        <v>9</v>
      </c>
      <c r="AE178" s="187">
        <f t="shared" si="22"/>
        <v>8</v>
      </c>
      <c r="AF178" s="187">
        <f t="shared" si="23"/>
        <v>-185</v>
      </c>
      <c r="AG178" s="188">
        <f t="shared" si="24"/>
        <v>-23.125</v>
      </c>
      <c r="AH178" s="189">
        <f t="shared" si="25"/>
        <v>-2.3125E-2</v>
      </c>
      <c r="AI178" s="188">
        <f t="shared" ca="1" si="26"/>
        <v>2.3125E-2</v>
      </c>
      <c r="AJ178" s="190"/>
    </row>
    <row r="179" spans="1:36" s="23" customFormat="1" ht="42" customHeight="1" x14ac:dyDescent="0.25">
      <c r="A179" s="142" t="s">
        <v>51</v>
      </c>
      <c r="B179" s="143" t="s">
        <v>278</v>
      </c>
      <c r="C179" s="142" t="s">
        <v>98</v>
      </c>
      <c r="D179" s="142" t="s">
        <v>98</v>
      </c>
      <c r="E179" s="142" t="s">
        <v>165</v>
      </c>
      <c r="F179" s="145" t="s">
        <v>239</v>
      </c>
      <c r="G179" s="44" t="str">
        <f t="shared" si="28"/>
        <v>Líderes de Cada Proceso</v>
      </c>
      <c r="H179" s="137">
        <v>44440</v>
      </c>
      <c r="I179" s="137">
        <v>44449</v>
      </c>
      <c r="J179" s="61"/>
      <c r="K179" s="61"/>
      <c r="L179" s="61"/>
      <c r="M179" s="61"/>
      <c r="N179" s="61"/>
      <c r="O179" s="61"/>
      <c r="P179" s="61"/>
      <c r="Q179" s="61"/>
      <c r="R179" s="61"/>
      <c r="S179" s="61"/>
      <c r="T179" s="61"/>
      <c r="U179" s="61"/>
      <c r="V179" s="41" t="s">
        <v>202</v>
      </c>
      <c r="W179" s="215">
        <v>5.0000000000000001E-3</v>
      </c>
      <c r="X179" s="137"/>
      <c r="Y179" s="72"/>
      <c r="Z179" s="72"/>
      <c r="AA179" s="41"/>
      <c r="AB179" s="70">
        <f t="shared" ca="1" si="30"/>
        <v>0</v>
      </c>
      <c r="AC179" s="70">
        <f t="shared" ca="1" si="29"/>
        <v>5.0000000000000001E-3</v>
      </c>
      <c r="AD179" s="186">
        <f t="shared" si="21"/>
        <v>9</v>
      </c>
      <c r="AE179" s="187">
        <f t="shared" si="22"/>
        <v>9</v>
      </c>
      <c r="AF179" s="187">
        <f t="shared" si="23"/>
        <v>-185</v>
      </c>
      <c r="AG179" s="188">
        <f t="shared" si="24"/>
        <v>-20.555555555555557</v>
      </c>
      <c r="AH179" s="189">
        <f t="shared" si="25"/>
        <v>-0.10277777777777779</v>
      </c>
      <c r="AI179" s="188">
        <f t="shared" ca="1" si="26"/>
        <v>0.10277777777777779</v>
      </c>
      <c r="AJ179" s="190"/>
    </row>
    <row r="180" spans="1:36" s="23" customFormat="1" ht="42" customHeight="1" x14ac:dyDescent="0.25">
      <c r="A180" s="142" t="s">
        <v>50</v>
      </c>
      <c r="B180" s="143" t="s">
        <v>344</v>
      </c>
      <c r="C180" s="142" t="s">
        <v>80</v>
      </c>
      <c r="D180" s="142" t="s">
        <v>100</v>
      </c>
      <c r="E180" s="142" t="s">
        <v>165</v>
      </c>
      <c r="F180" s="145" t="s">
        <v>240</v>
      </c>
      <c r="G180" s="44" t="str">
        <f t="shared" si="28"/>
        <v>Director de Reasentamientos Humanos</v>
      </c>
      <c r="H180" s="137">
        <v>44440</v>
      </c>
      <c r="I180" s="137">
        <v>44469</v>
      </c>
      <c r="J180" s="61"/>
      <c r="K180" s="61"/>
      <c r="L180" s="61"/>
      <c r="M180" s="61"/>
      <c r="N180" s="61"/>
      <c r="O180" s="61"/>
      <c r="P180" s="61"/>
      <c r="Q180" s="61"/>
      <c r="R180" s="61"/>
      <c r="S180" s="61"/>
      <c r="T180" s="61"/>
      <c r="U180" s="61"/>
      <c r="V180" s="142" t="s">
        <v>123</v>
      </c>
      <c r="W180" s="212">
        <v>5.0000000000000001E-3</v>
      </c>
      <c r="X180" s="137"/>
      <c r="Y180" s="80"/>
      <c r="Z180" s="72"/>
      <c r="AA180" s="41"/>
      <c r="AB180" s="70">
        <f t="shared" ca="1" si="30"/>
        <v>0</v>
      </c>
      <c r="AC180" s="70">
        <f t="shared" ca="1" si="29"/>
        <v>5.0000000000000001E-3</v>
      </c>
      <c r="AD180" s="186">
        <f t="shared" si="21"/>
        <v>9</v>
      </c>
      <c r="AE180" s="187">
        <f t="shared" si="22"/>
        <v>29</v>
      </c>
      <c r="AF180" s="187">
        <f t="shared" si="23"/>
        <v>-185</v>
      </c>
      <c r="AG180" s="188">
        <f t="shared" si="24"/>
        <v>-6.3793103448275863</v>
      </c>
      <c r="AH180" s="189">
        <f t="shared" si="25"/>
        <v>-3.1896551724137932E-2</v>
      </c>
      <c r="AI180" s="188">
        <f t="shared" ca="1" si="26"/>
        <v>3.1896551724137932E-2</v>
      </c>
      <c r="AJ180" s="190"/>
    </row>
    <row r="181" spans="1:36" s="23" customFormat="1" ht="42" customHeight="1" x14ac:dyDescent="0.25">
      <c r="A181" s="142" t="s">
        <v>52</v>
      </c>
      <c r="B181" s="143" t="s">
        <v>333</v>
      </c>
      <c r="C181" s="142" t="s">
        <v>90</v>
      </c>
      <c r="D181" s="142" t="s">
        <v>97</v>
      </c>
      <c r="E181" s="142" t="s">
        <v>165</v>
      </c>
      <c r="F181" s="145" t="s">
        <v>160</v>
      </c>
      <c r="G181" s="44" t="str">
        <f t="shared" si="28"/>
        <v>Asesor de Control Interno</v>
      </c>
      <c r="H181" s="137">
        <v>44454</v>
      </c>
      <c r="I181" s="137">
        <v>44484</v>
      </c>
      <c r="J181" s="61"/>
      <c r="K181" s="61"/>
      <c r="L181" s="61"/>
      <c r="M181" s="61"/>
      <c r="N181" s="61"/>
      <c r="O181" s="61"/>
      <c r="P181" s="61"/>
      <c r="Q181" s="61"/>
      <c r="R181" s="61"/>
      <c r="S181" s="61"/>
      <c r="T181" s="61"/>
      <c r="U181" s="61"/>
      <c r="V181" s="142" t="s">
        <v>202</v>
      </c>
      <c r="W181" s="212">
        <v>0.01</v>
      </c>
      <c r="X181" s="137"/>
      <c r="Y181" s="80"/>
      <c r="Z181" s="72"/>
      <c r="AA181" s="41"/>
      <c r="AB181" s="70">
        <f t="shared" ca="1" si="30"/>
        <v>0</v>
      </c>
      <c r="AC181" s="70">
        <f t="shared" ca="1" si="29"/>
        <v>0.01</v>
      </c>
      <c r="AD181" s="186">
        <f t="shared" si="21"/>
        <v>10</v>
      </c>
      <c r="AE181" s="187">
        <f t="shared" si="22"/>
        <v>30</v>
      </c>
      <c r="AF181" s="187">
        <f t="shared" si="23"/>
        <v>-199</v>
      </c>
      <c r="AG181" s="188">
        <f t="shared" si="24"/>
        <v>-6.6333333333333337</v>
      </c>
      <c r="AH181" s="189">
        <f t="shared" si="25"/>
        <v>-6.6333333333333341E-2</v>
      </c>
      <c r="AI181" s="188">
        <f t="shared" ca="1" si="26"/>
        <v>6.6333333333333341E-2</v>
      </c>
      <c r="AJ181" s="190"/>
    </row>
    <row r="182" spans="1:36" s="23" customFormat="1" ht="42" customHeight="1" x14ac:dyDescent="0.25">
      <c r="A182" s="142" t="s">
        <v>50</v>
      </c>
      <c r="B182" s="146" t="s">
        <v>186</v>
      </c>
      <c r="C182" s="142" t="s">
        <v>73</v>
      </c>
      <c r="D182" s="142" t="s">
        <v>95</v>
      </c>
      <c r="E182" s="142" t="s">
        <v>165</v>
      </c>
      <c r="F182" s="144" t="s">
        <v>263</v>
      </c>
      <c r="G182" s="44" t="str">
        <f t="shared" si="28"/>
        <v xml:space="preserve">Jefe Oficina Asesora de Planeación </v>
      </c>
      <c r="H182" s="137">
        <v>44454</v>
      </c>
      <c r="I182" s="137">
        <v>44484</v>
      </c>
      <c r="J182" s="61"/>
      <c r="K182" s="61"/>
      <c r="L182" s="61"/>
      <c r="M182" s="61"/>
      <c r="N182" s="61"/>
      <c r="O182" s="61"/>
      <c r="P182" s="61"/>
      <c r="Q182" s="61"/>
      <c r="R182" s="61"/>
      <c r="S182" s="61"/>
      <c r="T182" s="61"/>
      <c r="U182" s="61"/>
      <c r="V182" s="142" t="s">
        <v>123</v>
      </c>
      <c r="W182" s="212">
        <v>5.0000000000000001E-3</v>
      </c>
      <c r="X182" s="137"/>
      <c r="Y182" s="143"/>
      <c r="Z182" s="72"/>
      <c r="AA182" s="41"/>
      <c r="AB182" s="70">
        <f t="shared" ca="1" si="30"/>
        <v>0</v>
      </c>
      <c r="AC182" s="70">
        <f t="shared" ca="1" si="29"/>
        <v>5.0000000000000001E-3</v>
      </c>
      <c r="AD182" s="186">
        <f t="shared" si="21"/>
        <v>10</v>
      </c>
      <c r="AE182" s="187">
        <f t="shared" si="22"/>
        <v>30</v>
      </c>
      <c r="AF182" s="187">
        <f t="shared" si="23"/>
        <v>-199</v>
      </c>
      <c r="AG182" s="188">
        <f t="shared" si="24"/>
        <v>-6.6333333333333337</v>
      </c>
      <c r="AH182" s="189">
        <f t="shared" si="25"/>
        <v>-3.3166666666666671E-2</v>
      </c>
      <c r="AI182" s="188">
        <f t="shared" ca="1" si="26"/>
        <v>3.3166666666666671E-2</v>
      </c>
      <c r="AJ182" s="190"/>
    </row>
    <row r="183" spans="1:36" s="23" customFormat="1" ht="42" customHeight="1" x14ac:dyDescent="0.25">
      <c r="A183" s="142" t="s">
        <v>45</v>
      </c>
      <c r="B183" s="143" t="s">
        <v>289</v>
      </c>
      <c r="C183" s="142" t="s">
        <v>90</v>
      </c>
      <c r="D183" s="142" t="s">
        <v>97</v>
      </c>
      <c r="E183" s="142" t="s">
        <v>165</v>
      </c>
      <c r="F183" s="145" t="s">
        <v>239</v>
      </c>
      <c r="G183" s="44" t="str">
        <f t="shared" si="28"/>
        <v>Asesor de Control Interno</v>
      </c>
      <c r="H183" s="137">
        <v>44467</v>
      </c>
      <c r="I183" s="137">
        <v>44473</v>
      </c>
      <c r="J183" s="61"/>
      <c r="K183" s="61"/>
      <c r="L183" s="61"/>
      <c r="M183" s="61"/>
      <c r="N183" s="61"/>
      <c r="O183" s="61"/>
      <c r="P183" s="61"/>
      <c r="Q183" s="61"/>
      <c r="R183" s="61"/>
      <c r="S183" s="61"/>
      <c r="T183" s="61"/>
      <c r="U183" s="61"/>
      <c r="V183" s="142" t="s">
        <v>215</v>
      </c>
      <c r="W183" s="212">
        <v>3.0000000000000001E-3</v>
      </c>
      <c r="X183" s="137"/>
      <c r="Y183" s="143"/>
      <c r="Z183" s="72"/>
      <c r="AA183" s="41"/>
      <c r="AB183" s="70">
        <f t="shared" ca="1" si="30"/>
        <v>0</v>
      </c>
      <c r="AC183" s="70">
        <f t="shared" ca="1" si="29"/>
        <v>3.0000000000000001E-3</v>
      </c>
      <c r="AD183" s="186">
        <f t="shared" si="21"/>
        <v>10</v>
      </c>
      <c r="AE183" s="187">
        <f t="shared" si="22"/>
        <v>6</v>
      </c>
      <c r="AF183" s="187">
        <f t="shared" si="23"/>
        <v>-212</v>
      </c>
      <c r="AG183" s="188">
        <f t="shared" si="24"/>
        <v>-35.333333333333336</v>
      </c>
      <c r="AH183" s="189">
        <f t="shared" si="25"/>
        <v>-0.10600000000000001</v>
      </c>
      <c r="AI183" s="188">
        <f t="shared" ca="1" si="26"/>
        <v>0.10600000000000001</v>
      </c>
      <c r="AJ183" s="190"/>
    </row>
    <row r="184" spans="1:36" s="23" customFormat="1" ht="42" customHeight="1" x14ac:dyDescent="0.25">
      <c r="A184" s="154" t="s">
        <v>46</v>
      </c>
      <c r="B184" s="143" t="s">
        <v>314</v>
      </c>
      <c r="C184" s="142" t="s">
        <v>82</v>
      </c>
      <c r="D184" s="142" t="s">
        <v>100</v>
      </c>
      <c r="E184" s="142" t="s">
        <v>165</v>
      </c>
      <c r="F184" s="145" t="s">
        <v>239</v>
      </c>
      <c r="G184" s="44" t="str">
        <f t="shared" si="28"/>
        <v>Director de Mejoramiento de Barrios</v>
      </c>
      <c r="H184" s="137">
        <v>44468</v>
      </c>
      <c r="I184" s="137">
        <v>44473</v>
      </c>
      <c r="J184" s="61"/>
      <c r="K184" s="61"/>
      <c r="L184" s="61"/>
      <c r="M184" s="61"/>
      <c r="N184" s="61"/>
      <c r="O184" s="61"/>
      <c r="P184" s="61"/>
      <c r="Q184" s="61"/>
      <c r="R184" s="61"/>
      <c r="S184" s="61"/>
      <c r="T184" s="61"/>
      <c r="U184" s="61"/>
      <c r="V184" s="140" t="s">
        <v>317</v>
      </c>
      <c r="W184" s="212">
        <v>1E-3</v>
      </c>
      <c r="X184" s="137"/>
      <c r="Y184" s="72"/>
      <c r="Z184" s="72"/>
      <c r="AA184" s="142"/>
      <c r="AB184" s="70">
        <f t="shared" ca="1" si="30"/>
        <v>0</v>
      </c>
      <c r="AC184" s="70">
        <f t="shared" ca="1" si="29"/>
        <v>1E-3</v>
      </c>
      <c r="AD184" s="186">
        <f t="shared" si="21"/>
        <v>10</v>
      </c>
      <c r="AE184" s="187">
        <f t="shared" si="22"/>
        <v>5</v>
      </c>
      <c r="AF184" s="187">
        <f t="shared" si="23"/>
        <v>-213</v>
      </c>
      <c r="AG184" s="188">
        <f t="shared" si="24"/>
        <v>-42.6</v>
      </c>
      <c r="AH184" s="189">
        <f t="shared" si="25"/>
        <v>-4.2599999999999999E-2</v>
      </c>
      <c r="AI184" s="188">
        <f t="shared" ca="1" si="26"/>
        <v>4.2599999999999999E-2</v>
      </c>
      <c r="AJ184" s="190"/>
    </row>
    <row r="185" spans="1:36" s="23" customFormat="1" ht="42" customHeight="1" x14ac:dyDescent="0.25">
      <c r="A185" s="142" t="s">
        <v>45</v>
      </c>
      <c r="B185" s="143" t="s">
        <v>114</v>
      </c>
      <c r="C185" s="142" t="s">
        <v>90</v>
      </c>
      <c r="D185" s="142" t="s">
        <v>97</v>
      </c>
      <c r="E185" s="142" t="s">
        <v>165</v>
      </c>
      <c r="F185" s="145" t="s">
        <v>239</v>
      </c>
      <c r="G185" s="44" t="str">
        <f t="shared" si="28"/>
        <v>Asesor de Control Interno</v>
      </c>
      <c r="H185" s="137">
        <v>44470</v>
      </c>
      <c r="I185" s="137">
        <v>44475</v>
      </c>
      <c r="J185" s="61"/>
      <c r="K185" s="61"/>
      <c r="L185" s="61"/>
      <c r="M185" s="61"/>
      <c r="N185" s="61"/>
      <c r="O185" s="61"/>
      <c r="P185" s="61"/>
      <c r="Q185" s="61"/>
      <c r="R185" s="61"/>
      <c r="S185" s="61"/>
      <c r="T185" s="61"/>
      <c r="U185" s="61"/>
      <c r="V185" s="142" t="s">
        <v>202</v>
      </c>
      <c r="W185" s="212">
        <v>3.0000000000000001E-3</v>
      </c>
      <c r="X185" s="137"/>
      <c r="Y185" s="72"/>
      <c r="Z185" s="72"/>
      <c r="AA185" s="142"/>
      <c r="AB185" s="70">
        <f t="shared" ca="1" si="30"/>
        <v>0</v>
      </c>
      <c r="AC185" s="70">
        <f t="shared" ca="1" si="29"/>
        <v>3.0000000000000001E-3</v>
      </c>
      <c r="AD185" s="186">
        <f t="shared" si="21"/>
        <v>10</v>
      </c>
      <c r="AE185" s="187">
        <f t="shared" si="22"/>
        <v>5</v>
      </c>
      <c r="AF185" s="187">
        <f t="shared" si="23"/>
        <v>-215</v>
      </c>
      <c r="AG185" s="188">
        <f t="shared" si="24"/>
        <v>-43</v>
      </c>
      <c r="AH185" s="189">
        <f t="shared" si="25"/>
        <v>-0.129</v>
      </c>
      <c r="AI185" s="188">
        <f t="shared" ca="1" si="26"/>
        <v>0.129</v>
      </c>
      <c r="AJ185" s="190"/>
    </row>
    <row r="186" spans="1:36" s="23" customFormat="1" ht="42" customHeight="1" x14ac:dyDescent="0.25">
      <c r="A186" s="142" t="s">
        <v>45</v>
      </c>
      <c r="B186" s="143" t="s">
        <v>254</v>
      </c>
      <c r="C186" s="142" t="s">
        <v>90</v>
      </c>
      <c r="D186" s="142" t="s">
        <v>97</v>
      </c>
      <c r="E186" s="142" t="s">
        <v>165</v>
      </c>
      <c r="F186" s="144" t="s">
        <v>160</v>
      </c>
      <c r="G186" s="44" t="str">
        <f t="shared" si="28"/>
        <v>Asesor de Control Interno</v>
      </c>
      <c r="H186" s="137">
        <v>44470</v>
      </c>
      <c r="I186" s="137">
        <v>44476</v>
      </c>
      <c r="J186" s="61"/>
      <c r="K186" s="61"/>
      <c r="L186" s="61"/>
      <c r="M186" s="61"/>
      <c r="N186" s="61"/>
      <c r="O186" s="61"/>
      <c r="P186" s="61"/>
      <c r="Q186" s="61"/>
      <c r="R186" s="61"/>
      <c r="S186" s="61"/>
      <c r="T186" s="61"/>
      <c r="U186" s="61"/>
      <c r="V186" s="142" t="s">
        <v>215</v>
      </c>
      <c r="W186" s="212">
        <v>3.0000000000000001E-3</v>
      </c>
      <c r="X186" s="137"/>
      <c r="Y186" s="143"/>
      <c r="Z186" s="72"/>
      <c r="AA186" s="142"/>
      <c r="AB186" s="70">
        <f t="shared" ca="1" si="30"/>
        <v>0</v>
      </c>
      <c r="AC186" s="70">
        <f t="shared" ca="1" si="29"/>
        <v>3.0000000000000001E-3</v>
      </c>
      <c r="AD186" s="186">
        <f t="shared" si="21"/>
        <v>10</v>
      </c>
      <c r="AE186" s="187">
        <f t="shared" si="22"/>
        <v>6</v>
      </c>
      <c r="AF186" s="187">
        <f t="shared" si="23"/>
        <v>-215</v>
      </c>
      <c r="AG186" s="188">
        <f t="shared" si="24"/>
        <v>-35.833333333333336</v>
      </c>
      <c r="AH186" s="189">
        <f t="shared" si="25"/>
        <v>-0.10750000000000001</v>
      </c>
      <c r="AI186" s="188">
        <f t="shared" ca="1" si="26"/>
        <v>0.10750000000000001</v>
      </c>
      <c r="AJ186" s="190"/>
    </row>
    <row r="187" spans="1:36" s="23" customFormat="1" ht="42" customHeight="1" x14ac:dyDescent="0.25">
      <c r="A187" s="154" t="s">
        <v>46</v>
      </c>
      <c r="B187" s="143" t="s">
        <v>93</v>
      </c>
      <c r="C187" s="142" t="s">
        <v>141</v>
      </c>
      <c r="D187" s="142" t="s">
        <v>96</v>
      </c>
      <c r="E187" s="142" t="s">
        <v>165</v>
      </c>
      <c r="F187" s="144" t="s">
        <v>240</v>
      </c>
      <c r="G187" s="44" t="str">
        <f t="shared" si="28"/>
        <v>Director de Gestión Corporativa y CID</v>
      </c>
      <c r="H187" s="137">
        <v>44470</v>
      </c>
      <c r="I187" s="137">
        <v>44480</v>
      </c>
      <c r="J187" s="61"/>
      <c r="K187" s="61"/>
      <c r="L187" s="61"/>
      <c r="M187" s="61"/>
      <c r="N187" s="61"/>
      <c r="O187" s="61"/>
      <c r="P187" s="61"/>
      <c r="Q187" s="61"/>
      <c r="R187" s="61"/>
      <c r="S187" s="61"/>
      <c r="T187" s="61"/>
      <c r="U187" s="61"/>
      <c r="V187" s="142" t="s">
        <v>332</v>
      </c>
      <c r="W187" s="212">
        <v>1E-3</v>
      </c>
      <c r="X187" s="137"/>
      <c r="Y187" s="72"/>
      <c r="Z187" s="72"/>
      <c r="AA187" s="142"/>
      <c r="AB187" s="70">
        <f t="shared" ca="1" si="30"/>
        <v>0</v>
      </c>
      <c r="AC187" s="70">
        <f t="shared" ca="1" si="29"/>
        <v>1E-3</v>
      </c>
      <c r="AD187" s="186">
        <f t="shared" si="21"/>
        <v>10</v>
      </c>
      <c r="AE187" s="187">
        <f t="shared" si="22"/>
        <v>10</v>
      </c>
      <c r="AF187" s="187">
        <f t="shared" si="23"/>
        <v>-215</v>
      </c>
      <c r="AG187" s="188">
        <f t="shared" si="24"/>
        <v>-21.5</v>
      </c>
      <c r="AH187" s="189">
        <f t="shared" si="25"/>
        <v>-2.1500000000000002E-2</v>
      </c>
      <c r="AI187" s="188">
        <f t="shared" ca="1" si="26"/>
        <v>2.1500000000000002E-2</v>
      </c>
      <c r="AJ187" s="190"/>
    </row>
    <row r="188" spans="1:36" s="23" customFormat="1" ht="42" customHeight="1" x14ac:dyDescent="0.25">
      <c r="A188" s="154" t="s">
        <v>44</v>
      </c>
      <c r="B188" s="143" t="s">
        <v>92</v>
      </c>
      <c r="C188" s="142" t="s">
        <v>89</v>
      </c>
      <c r="D188" s="142" t="s">
        <v>96</v>
      </c>
      <c r="E188" s="142" t="s">
        <v>165</v>
      </c>
      <c r="F188" s="144" t="s">
        <v>203</v>
      </c>
      <c r="G188" s="44" t="str">
        <f t="shared" si="28"/>
        <v>Subdirector Financiero</v>
      </c>
      <c r="H188" s="137">
        <v>44470</v>
      </c>
      <c r="I188" s="137">
        <v>44480</v>
      </c>
      <c r="J188" s="61"/>
      <c r="K188" s="61"/>
      <c r="L188" s="61"/>
      <c r="M188" s="61"/>
      <c r="N188" s="61"/>
      <c r="O188" s="61"/>
      <c r="P188" s="61"/>
      <c r="Q188" s="61"/>
      <c r="R188" s="61"/>
      <c r="S188" s="61"/>
      <c r="T188" s="61"/>
      <c r="U188" s="61"/>
      <c r="V188" s="142" t="s">
        <v>123</v>
      </c>
      <c r="W188" s="212">
        <v>1E-3</v>
      </c>
      <c r="X188" s="137"/>
      <c r="Y188" s="143"/>
      <c r="Z188" s="72"/>
      <c r="AA188" s="142"/>
      <c r="AB188" s="70">
        <f t="shared" ca="1" si="30"/>
        <v>0</v>
      </c>
      <c r="AC188" s="70">
        <f t="shared" ca="1" si="29"/>
        <v>1E-3</v>
      </c>
      <c r="AD188" s="186">
        <f t="shared" si="21"/>
        <v>10</v>
      </c>
      <c r="AE188" s="187">
        <f t="shared" si="22"/>
        <v>10</v>
      </c>
      <c r="AF188" s="187">
        <f t="shared" si="23"/>
        <v>-215</v>
      </c>
      <c r="AG188" s="188">
        <f t="shared" si="24"/>
        <v>-21.5</v>
      </c>
      <c r="AH188" s="189">
        <f t="shared" si="25"/>
        <v>-2.1500000000000002E-2</v>
      </c>
      <c r="AI188" s="188">
        <f t="shared" ca="1" si="26"/>
        <v>2.1500000000000002E-2</v>
      </c>
      <c r="AJ188" s="190"/>
    </row>
    <row r="189" spans="1:36" s="23" customFormat="1" ht="42" customHeight="1" x14ac:dyDescent="0.25">
      <c r="A189" s="154" t="s">
        <v>44</v>
      </c>
      <c r="B189" s="143" t="s">
        <v>209</v>
      </c>
      <c r="C189" s="142" t="s">
        <v>87</v>
      </c>
      <c r="D189" s="142" t="s">
        <v>96</v>
      </c>
      <c r="E189" s="142" t="s">
        <v>165</v>
      </c>
      <c r="F189" s="144" t="s">
        <v>159</v>
      </c>
      <c r="G189" s="44" t="str">
        <f t="shared" si="28"/>
        <v>Subdirector Administrativo</v>
      </c>
      <c r="H189" s="137">
        <v>44470</v>
      </c>
      <c r="I189" s="137">
        <v>44497</v>
      </c>
      <c r="J189" s="61"/>
      <c r="K189" s="61"/>
      <c r="L189" s="61"/>
      <c r="M189" s="61"/>
      <c r="N189" s="61"/>
      <c r="O189" s="61"/>
      <c r="P189" s="61"/>
      <c r="Q189" s="61"/>
      <c r="R189" s="61"/>
      <c r="S189" s="61"/>
      <c r="T189" s="61"/>
      <c r="U189" s="61"/>
      <c r="V189" s="142" t="s">
        <v>123</v>
      </c>
      <c r="W189" s="212">
        <v>7.4999999999999997E-3</v>
      </c>
      <c r="X189" s="137"/>
      <c r="Y189" s="143"/>
      <c r="Z189" s="72"/>
      <c r="AA189" s="142"/>
      <c r="AB189" s="70">
        <f t="shared" ca="1" si="30"/>
        <v>0</v>
      </c>
      <c r="AC189" s="70">
        <f t="shared" ca="1" si="29"/>
        <v>7.4999999999999997E-3</v>
      </c>
      <c r="AD189" s="186">
        <f t="shared" si="21"/>
        <v>10</v>
      </c>
      <c r="AE189" s="187">
        <f t="shared" si="22"/>
        <v>27</v>
      </c>
      <c r="AF189" s="187">
        <f t="shared" si="23"/>
        <v>-215</v>
      </c>
      <c r="AG189" s="188">
        <f t="shared" si="24"/>
        <v>-7.9629629629629628</v>
      </c>
      <c r="AH189" s="189">
        <f t="shared" si="25"/>
        <v>-5.9722222222222218E-2</v>
      </c>
      <c r="AI189" s="188">
        <f t="shared" ca="1" si="26"/>
        <v>5.9722222222222218E-2</v>
      </c>
      <c r="AJ189" s="190"/>
    </row>
    <row r="190" spans="1:36" s="23" customFormat="1" ht="42" customHeight="1" x14ac:dyDescent="0.25">
      <c r="A190" s="154" t="s">
        <v>44</v>
      </c>
      <c r="B190" s="143" t="s">
        <v>282</v>
      </c>
      <c r="C190" s="142" t="s">
        <v>89</v>
      </c>
      <c r="D190" s="142" t="s">
        <v>96</v>
      </c>
      <c r="E190" s="142" t="s">
        <v>165</v>
      </c>
      <c r="F190" s="144" t="s">
        <v>159</v>
      </c>
      <c r="G190" s="44" t="str">
        <f t="shared" si="28"/>
        <v>Subdirector Financiero</v>
      </c>
      <c r="H190" s="137">
        <v>44470</v>
      </c>
      <c r="I190" s="137">
        <v>44497</v>
      </c>
      <c r="J190" s="61"/>
      <c r="K190" s="61"/>
      <c r="L190" s="61"/>
      <c r="M190" s="61"/>
      <c r="N190" s="61"/>
      <c r="O190" s="61"/>
      <c r="P190" s="61"/>
      <c r="Q190" s="61"/>
      <c r="R190" s="61"/>
      <c r="S190" s="61"/>
      <c r="T190" s="61"/>
      <c r="U190" s="61"/>
      <c r="V190" s="142" t="s">
        <v>123</v>
      </c>
      <c r="W190" s="212">
        <v>2E-3</v>
      </c>
      <c r="X190" s="137"/>
      <c r="Y190" s="72"/>
      <c r="Z190" s="72"/>
      <c r="AA190" s="142"/>
      <c r="AB190" s="70">
        <f t="shared" ca="1" si="30"/>
        <v>0</v>
      </c>
      <c r="AC190" s="70">
        <f t="shared" ca="1" si="29"/>
        <v>2E-3</v>
      </c>
      <c r="AD190" s="186">
        <f t="shared" si="21"/>
        <v>10</v>
      </c>
      <c r="AE190" s="187">
        <f t="shared" si="22"/>
        <v>27</v>
      </c>
      <c r="AF190" s="187">
        <f t="shared" si="23"/>
        <v>-215</v>
      </c>
      <c r="AG190" s="188">
        <f t="shared" si="24"/>
        <v>-7.9629629629629628</v>
      </c>
      <c r="AH190" s="189">
        <f t="shared" si="25"/>
        <v>-1.5925925925925927E-2</v>
      </c>
      <c r="AI190" s="188">
        <f t="shared" ca="1" si="26"/>
        <v>1.5925925925925927E-2</v>
      </c>
      <c r="AJ190" s="190"/>
    </row>
    <row r="191" spans="1:36" s="23" customFormat="1" ht="42" customHeight="1" x14ac:dyDescent="0.25">
      <c r="A191" s="142" t="s">
        <v>50</v>
      </c>
      <c r="B191" s="143" t="s">
        <v>472</v>
      </c>
      <c r="C191" s="142" t="s">
        <v>80</v>
      </c>
      <c r="D191" s="142" t="s">
        <v>100</v>
      </c>
      <c r="E191" s="142" t="s">
        <v>165</v>
      </c>
      <c r="F191" s="145" t="s">
        <v>240</v>
      </c>
      <c r="G191" s="44" t="str">
        <f t="shared" si="28"/>
        <v>Director de Reasentamientos Humanos</v>
      </c>
      <c r="H191" s="137">
        <v>44470</v>
      </c>
      <c r="I191" s="137">
        <v>44516</v>
      </c>
      <c r="J191" s="61"/>
      <c r="K191" s="61"/>
      <c r="L191" s="61"/>
      <c r="M191" s="61"/>
      <c r="N191" s="61"/>
      <c r="O191" s="61"/>
      <c r="P191" s="61"/>
      <c r="Q191" s="61"/>
      <c r="R191" s="61"/>
      <c r="S191" s="61"/>
      <c r="T191" s="61"/>
      <c r="U191" s="61"/>
      <c r="V191" s="142" t="s">
        <v>123</v>
      </c>
      <c r="W191" s="212">
        <v>1.25E-3</v>
      </c>
      <c r="X191" s="137"/>
      <c r="Y191" s="80"/>
      <c r="Z191" s="72"/>
      <c r="AA191" s="142"/>
      <c r="AB191" s="70">
        <f t="shared" ca="1" si="30"/>
        <v>0</v>
      </c>
      <c r="AC191" s="70">
        <f t="shared" ca="1" si="29"/>
        <v>1.25E-3</v>
      </c>
      <c r="AD191" s="186">
        <f t="shared" si="21"/>
        <v>11</v>
      </c>
      <c r="AE191" s="187">
        <f t="shared" si="22"/>
        <v>46</v>
      </c>
      <c r="AF191" s="187">
        <f t="shared" si="23"/>
        <v>-215</v>
      </c>
      <c r="AG191" s="188">
        <f t="shared" si="24"/>
        <v>-4.6739130434782608</v>
      </c>
      <c r="AH191" s="189">
        <f t="shared" si="25"/>
        <v>-5.8423913043478262E-3</v>
      </c>
      <c r="AI191" s="188">
        <f t="shared" ca="1" si="26"/>
        <v>5.8423913043478262E-3</v>
      </c>
      <c r="AJ191" s="190"/>
    </row>
    <row r="192" spans="1:36" s="23" customFormat="1" ht="42" customHeight="1" x14ac:dyDescent="0.25">
      <c r="A192" s="142" t="s">
        <v>50</v>
      </c>
      <c r="B192" s="143" t="s">
        <v>472</v>
      </c>
      <c r="C192" s="142" t="s">
        <v>89</v>
      </c>
      <c r="D192" s="142" t="s">
        <v>96</v>
      </c>
      <c r="E192" s="142" t="s">
        <v>165</v>
      </c>
      <c r="F192" s="145" t="s">
        <v>240</v>
      </c>
      <c r="G192" s="44" t="str">
        <f t="shared" si="28"/>
        <v>Subdirector Financiero</v>
      </c>
      <c r="H192" s="137">
        <v>44470</v>
      </c>
      <c r="I192" s="137">
        <v>44516</v>
      </c>
      <c r="J192" s="61"/>
      <c r="K192" s="61"/>
      <c r="L192" s="61"/>
      <c r="M192" s="61"/>
      <c r="N192" s="61"/>
      <c r="O192" s="61"/>
      <c r="P192" s="61"/>
      <c r="Q192" s="61"/>
      <c r="R192" s="61"/>
      <c r="S192" s="61"/>
      <c r="T192" s="61"/>
      <c r="U192" s="61"/>
      <c r="V192" s="142" t="s">
        <v>123</v>
      </c>
      <c r="W192" s="212">
        <v>1.25E-3</v>
      </c>
      <c r="X192" s="137"/>
      <c r="Y192" s="80"/>
      <c r="Z192" s="72"/>
      <c r="AA192" s="142"/>
      <c r="AB192" s="70">
        <f t="shared" ca="1" si="30"/>
        <v>0</v>
      </c>
      <c r="AC192" s="70">
        <f t="shared" ca="1" si="29"/>
        <v>1.25E-3</v>
      </c>
      <c r="AD192" s="186">
        <f t="shared" si="21"/>
        <v>11</v>
      </c>
      <c r="AE192" s="187">
        <f t="shared" si="22"/>
        <v>46</v>
      </c>
      <c r="AF192" s="187">
        <f t="shared" si="23"/>
        <v>-215</v>
      </c>
      <c r="AG192" s="188">
        <f t="shared" si="24"/>
        <v>-4.6739130434782608</v>
      </c>
      <c r="AH192" s="189">
        <f t="shared" si="25"/>
        <v>-5.8423913043478262E-3</v>
      </c>
      <c r="AI192" s="188">
        <f t="shared" ca="1" si="26"/>
        <v>5.8423913043478262E-3</v>
      </c>
      <c r="AJ192" s="190"/>
    </row>
    <row r="193" spans="1:36" s="23" customFormat="1" ht="42" customHeight="1" x14ac:dyDescent="0.25">
      <c r="A193" s="142" t="s">
        <v>50</v>
      </c>
      <c r="B193" s="143" t="s">
        <v>469</v>
      </c>
      <c r="C193" s="142" t="s">
        <v>80</v>
      </c>
      <c r="D193" s="142" t="s">
        <v>100</v>
      </c>
      <c r="E193" s="142" t="s">
        <v>165</v>
      </c>
      <c r="F193" s="145" t="s">
        <v>240</v>
      </c>
      <c r="G193" s="44" t="str">
        <f t="shared" si="28"/>
        <v>Director de Reasentamientos Humanos</v>
      </c>
      <c r="H193" s="137">
        <v>44470</v>
      </c>
      <c r="I193" s="137">
        <v>44516</v>
      </c>
      <c r="J193" s="61"/>
      <c r="K193" s="61"/>
      <c r="L193" s="61"/>
      <c r="M193" s="61"/>
      <c r="N193" s="61"/>
      <c r="O193" s="61"/>
      <c r="P193" s="61"/>
      <c r="Q193" s="61"/>
      <c r="R193" s="61"/>
      <c r="S193" s="61"/>
      <c r="T193" s="61"/>
      <c r="U193" s="61"/>
      <c r="V193" s="142" t="s">
        <v>123</v>
      </c>
      <c r="W193" s="212">
        <v>1.25E-3</v>
      </c>
      <c r="X193" s="137"/>
      <c r="Y193" s="80"/>
      <c r="Z193" s="72"/>
      <c r="AA193" s="142"/>
      <c r="AB193" s="70">
        <f t="shared" ca="1" si="30"/>
        <v>0</v>
      </c>
      <c r="AC193" s="70">
        <f t="shared" ca="1" si="29"/>
        <v>1.25E-3</v>
      </c>
      <c r="AD193" s="186">
        <f t="shared" si="21"/>
        <v>11</v>
      </c>
      <c r="AE193" s="187">
        <f t="shared" si="22"/>
        <v>46</v>
      </c>
      <c r="AF193" s="187">
        <f t="shared" si="23"/>
        <v>-215</v>
      </c>
      <c r="AG193" s="188">
        <f t="shared" si="24"/>
        <v>-4.6739130434782608</v>
      </c>
      <c r="AH193" s="189">
        <f t="shared" si="25"/>
        <v>-5.8423913043478262E-3</v>
      </c>
      <c r="AI193" s="188">
        <f t="shared" ca="1" si="26"/>
        <v>5.8423913043478262E-3</v>
      </c>
      <c r="AJ193" s="190"/>
    </row>
    <row r="194" spans="1:36" s="23" customFormat="1" ht="42" customHeight="1" x14ac:dyDescent="0.25">
      <c r="A194" s="142" t="s">
        <v>50</v>
      </c>
      <c r="B194" s="143" t="s">
        <v>469</v>
      </c>
      <c r="C194" s="142" t="s">
        <v>89</v>
      </c>
      <c r="D194" s="142" t="s">
        <v>96</v>
      </c>
      <c r="E194" s="142" t="s">
        <v>165</v>
      </c>
      <c r="F194" s="145" t="s">
        <v>240</v>
      </c>
      <c r="G194" s="44" t="str">
        <f t="shared" si="28"/>
        <v>Subdirector Financiero</v>
      </c>
      <c r="H194" s="137">
        <v>44470</v>
      </c>
      <c r="I194" s="137">
        <v>44516</v>
      </c>
      <c r="J194" s="61"/>
      <c r="K194" s="61"/>
      <c r="L194" s="61"/>
      <c r="M194" s="61"/>
      <c r="N194" s="61"/>
      <c r="O194" s="61"/>
      <c r="P194" s="61"/>
      <c r="Q194" s="61"/>
      <c r="R194" s="61"/>
      <c r="S194" s="61"/>
      <c r="T194" s="61"/>
      <c r="U194" s="61"/>
      <c r="V194" s="142" t="s">
        <v>123</v>
      </c>
      <c r="W194" s="212">
        <v>1.25E-3</v>
      </c>
      <c r="X194" s="137"/>
      <c r="Y194" s="80"/>
      <c r="Z194" s="72"/>
      <c r="AA194" s="142"/>
      <c r="AB194" s="70">
        <f t="shared" ca="1" si="30"/>
        <v>0</v>
      </c>
      <c r="AC194" s="70">
        <f t="shared" ca="1" si="29"/>
        <v>1.25E-3</v>
      </c>
      <c r="AD194" s="186">
        <f t="shared" si="21"/>
        <v>11</v>
      </c>
      <c r="AE194" s="187">
        <f t="shared" si="22"/>
        <v>46</v>
      </c>
      <c r="AF194" s="187">
        <f t="shared" si="23"/>
        <v>-215</v>
      </c>
      <c r="AG194" s="188">
        <f t="shared" si="24"/>
        <v>-4.6739130434782608</v>
      </c>
      <c r="AH194" s="189">
        <f t="shared" si="25"/>
        <v>-5.8423913043478262E-3</v>
      </c>
      <c r="AI194" s="188">
        <f t="shared" ca="1" si="26"/>
        <v>5.8423913043478262E-3</v>
      </c>
      <c r="AJ194" s="190"/>
    </row>
    <row r="195" spans="1:36" s="23" customFormat="1" ht="42" customHeight="1" x14ac:dyDescent="0.25">
      <c r="A195" s="142" t="s">
        <v>50</v>
      </c>
      <c r="B195" s="143" t="s">
        <v>471</v>
      </c>
      <c r="C195" s="142" t="s">
        <v>80</v>
      </c>
      <c r="D195" s="142" t="s">
        <v>100</v>
      </c>
      <c r="E195" s="142" t="s">
        <v>165</v>
      </c>
      <c r="F195" s="145" t="s">
        <v>240</v>
      </c>
      <c r="G195" s="44" t="str">
        <f t="shared" si="28"/>
        <v>Director de Reasentamientos Humanos</v>
      </c>
      <c r="H195" s="137">
        <v>44470</v>
      </c>
      <c r="I195" s="137">
        <v>44516</v>
      </c>
      <c r="J195" s="61"/>
      <c r="K195" s="61"/>
      <c r="L195" s="61"/>
      <c r="M195" s="61"/>
      <c r="N195" s="61"/>
      <c r="O195" s="61"/>
      <c r="P195" s="61"/>
      <c r="Q195" s="61"/>
      <c r="R195" s="61"/>
      <c r="S195" s="61"/>
      <c r="T195" s="61"/>
      <c r="U195" s="61"/>
      <c r="V195" s="142" t="s">
        <v>123</v>
      </c>
      <c r="W195" s="212">
        <v>1.25E-3</v>
      </c>
      <c r="X195" s="137"/>
      <c r="Y195" s="80"/>
      <c r="Z195" s="72"/>
      <c r="AA195" s="142"/>
      <c r="AB195" s="70">
        <f t="shared" ca="1" si="30"/>
        <v>0</v>
      </c>
      <c r="AC195" s="70">
        <f t="shared" ca="1" si="29"/>
        <v>1.25E-3</v>
      </c>
      <c r="AD195" s="186">
        <f t="shared" si="21"/>
        <v>11</v>
      </c>
      <c r="AE195" s="187">
        <f t="shared" si="22"/>
        <v>46</v>
      </c>
      <c r="AF195" s="187">
        <f t="shared" si="23"/>
        <v>-215</v>
      </c>
      <c r="AG195" s="188">
        <f t="shared" si="24"/>
        <v>-4.6739130434782608</v>
      </c>
      <c r="AH195" s="189">
        <f t="shared" si="25"/>
        <v>-5.8423913043478262E-3</v>
      </c>
      <c r="AI195" s="188">
        <f t="shared" ca="1" si="26"/>
        <v>5.8423913043478262E-3</v>
      </c>
      <c r="AJ195" s="190"/>
    </row>
    <row r="196" spans="1:36" s="23" customFormat="1" ht="42" customHeight="1" x14ac:dyDescent="0.25">
      <c r="A196" s="142" t="s">
        <v>50</v>
      </c>
      <c r="B196" s="143" t="s">
        <v>471</v>
      </c>
      <c r="C196" s="142" t="s">
        <v>87</v>
      </c>
      <c r="D196" s="142" t="s">
        <v>96</v>
      </c>
      <c r="E196" s="142" t="s">
        <v>165</v>
      </c>
      <c r="F196" s="145" t="s">
        <v>240</v>
      </c>
      <c r="G196" s="44" t="str">
        <f t="shared" si="28"/>
        <v>Subdirector Administrativo</v>
      </c>
      <c r="H196" s="137">
        <v>44470</v>
      </c>
      <c r="I196" s="137">
        <v>44516</v>
      </c>
      <c r="J196" s="61"/>
      <c r="K196" s="61"/>
      <c r="L196" s="61"/>
      <c r="M196" s="61"/>
      <c r="N196" s="61"/>
      <c r="O196" s="61"/>
      <c r="P196" s="61"/>
      <c r="Q196" s="61"/>
      <c r="R196" s="61"/>
      <c r="S196" s="61"/>
      <c r="T196" s="61"/>
      <c r="U196" s="61"/>
      <c r="V196" s="142" t="s">
        <v>123</v>
      </c>
      <c r="W196" s="212">
        <v>1.25E-3</v>
      </c>
      <c r="X196" s="137"/>
      <c r="Y196" s="80"/>
      <c r="Z196" s="72"/>
      <c r="AA196" s="142"/>
      <c r="AB196" s="70">
        <f t="shared" ca="1" si="30"/>
        <v>0</v>
      </c>
      <c r="AC196" s="70">
        <f t="shared" ca="1" si="29"/>
        <v>1.25E-3</v>
      </c>
      <c r="AD196" s="186">
        <f t="shared" si="21"/>
        <v>11</v>
      </c>
      <c r="AE196" s="187">
        <f t="shared" si="22"/>
        <v>46</v>
      </c>
      <c r="AF196" s="187">
        <f t="shared" si="23"/>
        <v>-215</v>
      </c>
      <c r="AG196" s="188">
        <f t="shared" si="24"/>
        <v>-4.6739130434782608</v>
      </c>
      <c r="AH196" s="189">
        <f t="shared" si="25"/>
        <v>-5.8423913043478262E-3</v>
      </c>
      <c r="AI196" s="188">
        <f t="shared" ca="1" si="26"/>
        <v>5.8423913043478262E-3</v>
      </c>
      <c r="AJ196" s="190"/>
    </row>
    <row r="197" spans="1:36" s="23" customFormat="1" ht="42" customHeight="1" x14ac:dyDescent="0.25">
      <c r="A197" s="142" t="s">
        <v>50</v>
      </c>
      <c r="B197" s="143" t="s">
        <v>470</v>
      </c>
      <c r="C197" s="142" t="s">
        <v>76</v>
      </c>
      <c r="D197" s="142" t="s">
        <v>96</v>
      </c>
      <c r="E197" s="142" t="s">
        <v>165</v>
      </c>
      <c r="F197" s="145" t="s">
        <v>240</v>
      </c>
      <c r="G197" s="44" t="str">
        <f t="shared" si="28"/>
        <v>Subdirector Administrativo</v>
      </c>
      <c r="H197" s="137">
        <v>44470</v>
      </c>
      <c r="I197" s="137">
        <v>44516</v>
      </c>
      <c r="J197" s="61"/>
      <c r="K197" s="61"/>
      <c r="L197" s="61"/>
      <c r="M197" s="61"/>
      <c r="N197" s="61"/>
      <c r="O197" s="61"/>
      <c r="P197" s="61"/>
      <c r="Q197" s="61"/>
      <c r="R197" s="61"/>
      <c r="S197" s="61"/>
      <c r="T197" s="61"/>
      <c r="U197" s="61"/>
      <c r="V197" s="142" t="s">
        <v>123</v>
      </c>
      <c r="W197" s="212">
        <v>1.25E-3</v>
      </c>
      <c r="X197" s="137"/>
      <c r="Y197" s="80"/>
      <c r="Z197" s="72"/>
      <c r="AA197" s="142"/>
      <c r="AB197" s="70">
        <f t="shared" ca="1" si="30"/>
        <v>0</v>
      </c>
      <c r="AC197" s="70">
        <f t="shared" ca="1" si="29"/>
        <v>1.25E-3</v>
      </c>
      <c r="AD197" s="186">
        <f t="shared" si="21"/>
        <v>11</v>
      </c>
      <c r="AE197" s="187">
        <f t="shared" si="22"/>
        <v>46</v>
      </c>
      <c r="AF197" s="187">
        <f t="shared" si="23"/>
        <v>-215</v>
      </c>
      <c r="AG197" s="188">
        <f t="shared" si="24"/>
        <v>-4.6739130434782608</v>
      </c>
      <c r="AH197" s="189">
        <f t="shared" si="25"/>
        <v>-5.8423913043478262E-3</v>
      </c>
      <c r="AI197" s="188">
        <f t="shared" ca="1" si="26"/>
        <v>5.8423913043478262E-3</v>
      </c>
      <c r="AJ197" s="190"/>
    </row>
    <row r="198" spans="1:36" s="23" customFormat="1" ht="42" customHeight="1" x14ac:dyDescent="0.25">
      <c r="A198" s="142" t="s">
        <v>44</v>
      </c>
      <c r="B198" s="143" t="s">
        <v>324</v>
      </c>
      <c r="C198" s="142" t="s">
        <v>89</v>
      </c>
      <c r="D198" s="142" t="s">
        <v>96</v>
      </c>
      <c r="E198" s="142" t="s">
        <v>165</v>
      </c>
      <c r="F198" s="144" t="s">
        <v>263</v>
      </c>
      <c r="G198" s="44" t="str">
        <f t="shared" si="28"/>
        <v>Subdirector Financiero</v>
      </c>
      <c r="H198" s="137">
        <v>44470</v>
      </c>
      <c r="I198" s="137">
        <v>44526</v>
      </c>
      <c r="J198" s="61"/>
      <c r="K198" s="61"/>
      <c r="L198" s="61"/>
      <c r="M198" s="61"/>
      <c r="N198" s="61"/>
      <c r="O198" s="61"/>
      <c r="P198" s="61"/>
      <c r="Q198" s="61"/>
      <c r="R198" s="61"/>
      <c r="S198" s="61"/>
      <c r="T198" s="61"/>
      <c r="U198" s="61"/>
      <c r="V198" s="142" t="s">
        <v>202</v>
      </c>
      <c r="W198" s="212">
        <v>0.01</v>
      </c>
      <c r="X198" s="137"/>
      <c r="Y198" s="72"/>
      <c r="Z198" s="72"/>
      <c r="AA198" s="142"/>
      <c r="AB198" s="70">
        <f t="shared" ca="1" si="30"/>
        <v>0</v>
      </c>
      <c r="AC198" s="70">
        <f t="shared" ca="1" si="29"/>
        <v>0.01</v>
      </c>
      <c r="AD198" s="186">
        <f t="shared" si="21"/>
        <v>11</v>
      </c>
      <c r="AE198" s="187">
        <f t="shared" si="22"/>
        <v>56</v>
      </c>
      <c r="AF198" s="187">
        <f t="shared" si="23"/>
        <v>-215</v>
      </c>
      <c r="AG198" s="188">
        <f t="shared" si="24"/>
        <v>-3.8392857142857144</v>
      </c>
      <c r="AH198" s="189">
        <f t="shared" si="25"/>
        <v>-3.8392857142857145E-2</v>
      </c>
      <c r="AI198" s="188">
        <f t="shared" ca="1" si="26"/>
        <v>3.8392857142857145E-2</v>
      </c>
      <c r="AJ198" s="190"/>
    </row>
    <row r="199" spans="1:36" s="23" customFormat="1" ht="42" customHeight="1" x14ac:dyDescent="0.25">
      <c r="A199" s="154" t="s">
        <v>44</v>
      </c>
      <c r="B199" s="143" t="s">
        <v>94</v>
      </c>
      <c r="C199" s="142" t="s">
        <v>87</v>
      </c>
      <c r="D199" s="142" t="s">
        <v>96</v>
      </c>
      <c r="E199" s="142" t="s">
        <v>165</v>
      </c>
      <c r="F199" s="144" t="s">
        <v>159</v>
      </c>
      <c r="G199" s="44" t="str">
        <f t="shared" si="28"/>
        <v>Subdirector Administrativo</v>
      </c>
      <c r="H199" s="137">
        <v>44480</v>
      </c>
      <c r="I199" s="137">
        <v>44512</v>
      </c>
      <c r="J199" s="61"/>
      <c r="K199" s="61"/>
      <c r="L199" s="61"/>
      <c r="M199" s="61"/>
      <c r="N199" s="61"/>
      <c r="O199" s="61"/>
      <c r="P199" s="61"/>
      <c r="Q199" s="61"/>
      <c r="R199" s="61"/>
      <c r="S199" s="61"/>
      <c r="T199" s="61"/>
      <c r="U199" s="61"/>
      <c r="V199" s="142" t="s">
        <v>123</v>
      </c>
      <c r="W199" s="212">
        <v>0.01</v>
      </c>
      <c r="X199" s="137"/>
      <c r="Y199" s="72"/>
      <c r="Z199" s="72"/>
      <c r="AA199" s="142"/>
      <c r="AB199" s="70">
        <f t="shared" ca="1" si="30"/>
        <v>0</v>
      </c>
      <c r="AC199" s="70">
        <f t="shared" ca="1" si="29"/>
        <v>0.01</v>
      </c>
      <c r="AD199" s="186">
        <f t="shared" si="21"/>
        <v>11</v>
      </c>
      <c r="AE199" s="187">
        <f t="shared" si="22"/>
        <v>32</v>
      </c>
      <c r="AF199" s="187">
        <f t="shared" si="23"/>
        <v>-225</v>
      </c>
      <c r="AG199" s="188">
        <f t="shared" si="24"/>
        <v>-7.03125</v>
      </c>
      <c r="AH199" s="189">
        <f t="shared" si="25"/>
        <v>-7.03125E-2</v>
      </c>
      <c r="AI199" s="188">
        <f t="shared" ca="1" si="26"/>
        <v>7.03125E-2</v>
      </c>
      <c r="AJ199" s="190"/>
    </row>
    <row r="200" spans="1:36" s="23" customFormat="1" ht="42" customHeight="1" x14ac:dyDescent="0.25">
      <c r="A200" s="142" t="s">
        <v>43</v>
      </c>
      <c r="B200" s="143" t="s">
        <v>305</v>
      </c>
      <c r="C200" s="142" t="s">
        <v>90</v>
      </c>
      <c r="D200" s="142" t="s">
        <v>97</v>
      </c>
      <c r="E200" s="142" t="s">
        <v>165</v>
      </c>
      <c r="F200" s="145" t="s">
        <v>239</v>
      </c>
      <c r="G200" s="44" t="str">
        <f t="shared" si="28"/>
        <v>Asesor de Control Interno</v>
      </c>
      <c r="H200" s="137">
        <v>44488</v>
      </c>
      <c r="I200" s="137">
        <v>44498</v>
      </c>
      <c r="J200" s="61"/>
      <c r="K200" s="61"/>
      <c r="L200" s="61"/>
      <c r="M200" s="61"/>
      <c r="N200" s="61"/>
      <c r="O200" s="61"/>
      <c r="P200" s="61"/>
      <c r="Q200" s="61"/>
      <c r="R200" s="61"/>
      <c r="S200" s="61"/>
      <c r="T200" s="61"/>
      <c r="U200" s="61"/>
      <c r="V200" s="142" t="s">
        <v>334</v>
      </c>
      <c r="W200" s="215">
        <v>5.0000000000000001E-3</v>
      </c>
      <c r="X200" s="137"/>
      <c r="Y200" s="143"/>
      <c r="Z200" s="72"/>
      <c r="AA200" s="142"/>
      <c r="AB200" s="70">
        <f t="shared" ca="1" si="30"/>
        <v>0</v>
      </c>
      <c r="AC200" s="70">
        <f t="shared" ca="1" si="29"/>
        <v>5.0000000000000001E-3</v>
      </c>
      <c r="AD200" s="186">
        <f t="shared" ref="AD200:AD226" si="31">MONTH(I200)</f>
        <v>10</v>
      </c>
      <c r="AE200" s="187">
        <f t="shared" ref="AE200:AE226" si="32">+I200-H200</f>
        <v>10</v>
      </c>
      <c r="AF200" s="187">
        <f t="shared" ref="AF200:AF226" si="33">+$AF$18-H200</f>
        <v>-233</v>
      </c>
      <c r="AG200" s="188">
        <f t="shared" ref="AG200:AG226" si="34">+AF200/AE200</f>
        <v>-23.3</v>
      </c>
      <c r="AH200" s="189">
        <f t="shared" ref="AH200:AH226" si="35">+AG200*W200</f>
        <v>-0.11650000000000001</v>
      </c>
      <c r="AI200" s="188">
        <f t="shared" ref="AI200:AI226" ca="1" si="36">+AB200-AH200</f>
        <v>0.11650000000000001</v>
      </c>
      <c r="AJ200" s="190"/>
    </row>
    <row r="201" spans="1:36" s="23" customFormat="1" ht="42" customHeight="1" x14ac:dyDescent="0.25">
      <c r="A201" s="142" t="s">
        <v>47</v>
      </c>
      <c r="B201" s="146" t="s">
        <v>192</v>
      </c>
      <c r="C201" s="142" t="s">
        <v>90</v>
      </c>
      <c r="D201" s="142" t="s">
        <v>97</v>
      </c>
      <c r="E201" s="142" t="s">
        <v>165</v>
      </c>
      <c r="F201" s="144" t="s">
        <v>240</v>
      </c>
      <c r="G201" s="44" t="str">
        <f t="shared" si="28"/>
        <v>Asesor de Control Interno</v>
      </c>
      <c r="H201" s="137">
        <v>44494</v>
      </c>
      <c r="I201" s="137">
        <v>44508</v>
      </c>
      <c r="J201" s="61"/>
      <c r="K201" s="61"/>
      <c r="L201" s="61"/>
      <c r="M201" s="61"/>
      <c r="N201" s="61"/>
      <c r="O201" s="61"/>
      <c r="P201" s="61"/>
      <c r="Q201" s="61"/>
      <c r="R201" s="61"/>
      <c r="S201" s="61"/>
      <c r="T201" s="61"/>
      <c r="U201" s="61"/>
      <c r="V201" s="142" t="s">
        <v>215</v>
      </c>
      <c r="W201" s="215">
        <v>7.4999999999999997E-3</v>
      </c>
      <c r="X201" s="213"/>
      <c r="Y201" s="72"/>
      <c r="Z201" s="72"/>
      <c r="AA201" s="142"/>
      <c r="AB201" s="70">
        <f t="shared" ref="AB201:AB220" ca="1" si="37">IF(ISERROR(VLOOKUP(AA201,INDIRECT(VLOOKUP(A201,ACTA,2,0)&amp;"A"),2,0))=TRUE,0,W201*(VLOOKUP(AA201,INDIRECT(VLOOKUP(A201,ACTA,2,0)&amp;"A"),2,0)))</f>
        <v>0</v>
      </c>
      <c r="AC201" s="70">
        <f t="shared" ca="1" si="29"/>
        <v>7.4999999999999997E-3</v>
      </c>
      <c r="AD201" s="186">
        <f t="shared" si="31"/>
        <v>11</v>
      </c>
      <c r="AE201" s="187">
        <f t="shared" si="32"/>
        <v>14</v>
      </c>
      <c r="AF201" s="187">
        <f t="shared" si="33"/>
        <v>-239</v>
      </c>
      <c r="AG201" s="188">
        <f t="shared" si="34"/>
        <v>-17.071428571428573</v>
      </c>
      <c r="AH201" s="189">
        <f t="shared" si="35"/>
        <v>-0.12803571428571428</v>
      </c>
      <c r="AI201" s="188">
        <f t="shared" ca="1" si="36"/>
        <v>0.12803571428571428</v>
      </c>
      <c r="AJ201" s="190"/>
    </row>
    <row r="202" spans="1:36" s="23" customFormat="1" ht="42" customHeight="1" x14ac:dyDescent="0.25">
      <c r="A202" s="142" t="s">
        <v>45</v>
      </c>
      <c r="B202" s="143" t="s">
        <v>289</v>
      </c>
      <c r="C202" s="142" t="s">
        <v>90</v>
      </c>
      <c r="D202" s="142" t="s">
        <v>97</v>
      </c>
      <c r="E202" s="142" t="s">
        <v>165</v>
      </c>
      <c r="F202" s="145" t="s">
        <v>239</v>
      </c>
      <c r="G202" s="44" t="str">
        <f t="shared" si="28"/>
        <v>Asesor de Control Interno</v>
      </c>
      <c r="H202" s="137">
        <v>44496</v>
      </c>
      <c r="I202" s="137">
        <v>44503</v>
      </c>
      <c r="J202" s="61"/>
      <c r="K202" s="61"/>
      <c r="L202" s="61"/>
      <c r="M202" s="61"/>
      <c r="N202" s="61"/>
      <c r="O202" s="61"/>
      <c r="P202" s="61"/>
      <c r="Q202" s="61"/>
      <c r="R202" s="61"/>
      <c r="S202" s="61"/>
      <c r="T202" s="61"/>
      <c r="U202" s="61"/>
      <c r="V202" s="142" t="s">
        <v>215</v>
      </c>
      <c r="W202" s="212">
        <v>3.0000000000000001E-3</v>
      </c>
      <c r="X202" s="137"/>
      <c r="Y202" s="143"/>
      <c r="Z202" s="72"/>
      <c r="AA202" s="142"/>
      <c r="AB202" s="70">
        <f t="shared" ca="1" si="37"/>
        <v>0</v>
      </c>
      <c r="AC202" s="70">
        <f t="shared" ca="1" si="29"/>
        <v>3.0000000000000001E-3</v>
      </c>
      <c r="AD202" s="186">
        <f t="shared" si="31"/>
        <v>11</v>
      </c>
      <c r="AE202" s="187">
        <f t="shared" si="32"/>
        <v>7</v>
      </c>
      <c r="AF202" s="187">
        <f t="shared" si="33"/>
        <v>-241</v>
      </c>
      <c r="AG202" s="188">
        <f t="shared" si="34"/>
        <v>-34.428571428571431</v>
      </c>
      <c r="AH202" s="189">
        <f t="shared" si="35"/>
        <v>-0.1032857142857143</v>
      </c>
      <c r="AI202" s="188">
        <f t="shared" ca="1" si="36"/>
        <v>0.1032857142857143</v>
      </c>
      <c r="AJ202" s="190"/>
    </row>
    <row r="203" spans="1:36" s="23" customFormat="1" ht="42" customHeight="1" x14ac:dyDescent="0.25">
      <c r="A203" s="142" t="s">
        <v>46</v>
      </c>
      <c r="B203" s="136" t="s">
        <v>316</v>
      </c>
      <c r="C203" s="142" t="s">
        <v>80</v>
      </c>
      <c r="D203" s="142" t="s">
        <v>100</v>
      </c>
      <c r="E203" s="142" t="s">
        <v>165</v>
      </c>
      <c r="F203" s="144" t="s">
        <v>240</v>
      </c>
      <c r="G203" s="44" t="str">
        <f t="shared" si="28"/>
        <v>Director de Reasentamientos Humanos</v>
      </c>
      <c r="H203" s="137">
        <v>44496</v>
      </c>
      <c r="I203" s="137">
        <v>44561</v>
      </c>
      <c r="J203" s="61"/>
      <c r="K203" s="61"/>
      <c r="L203" s="61"/>
      <c r="M203" s="61"/>
      <c r="N203" s="61"/>
      <c r="O203" s="61"/>
      <c r="P203" s="61"/>
      <c r="Q203" s="61"/>
      <c r="R203" s="61"/>
      <c r="S203" s="61"/>
      <c r="T203" s="61"/>
      <c r="U203" s="61"/>
      <c r="V203" s="140" t="s">
        <v>337</v>
      </c>
      <c r="W203" s="215">
        <v>0.01</v>
      </c>
      <c r="X203" s="137"/>
      <c r="Y203" s="79"/>
      <c r="Z203" s="72"/>
      <c r="AA203" s="142"/>
      <c r="AB203" s="70">
        <f t="shared" ca="1" si="37"/>
        <v>0</v>
      </c>
      <c r="AC203" s="70">
        <f t="shared" ca="1" si="29"/>
        <v>0.01</v>
      </c>
      <c r="AD203" s="186">
        <f t="shared" si="31"/>
        <v>12</v>
      </c>
      <c r="AE203" s="187">
        <f t="shared" si="32"/>
        <v>65</v>
      </c>
      <c r="AF203" s="187">
        <f t="shared" si="33"/>
        <v>-241</v>
      </c>
      <c r="AG203" s="188">
        <f t="shared" si="34"/>
        <v>-3.7076923076923078</v>
      </c>
      <c r="AH203" s="189">
        <f t="shared" si="35"/>
        <v>-3.7076923076923077E-2</v>
      </c>
      <c r="AI203" s="188">
        <f t="shared" ca="1" si="36"/>
        <v>3.7076923076923077E-2</v>
      </c>
      <c r="AJ203" s="190"/>
    </row>
    <row r="204" spans="1:36" s="23" customFormat="1" ht="42" customHeight="1" x14ac:dyDescent="0.25">
      <c r="A204" s="154" t="s">
        <v>46</v>
      </c>
      <c r="B204" s="143" t="s">
        <v>314</v>
      </c>
      <c r="C204" s="142" t="s">
        <v>82</v>
      </c>
      <c r="D204" s="142" t="s">
        <v>100</v>
      </c>
      <c r="E204" s="142" t="s">
        <v>165</v>
      </c>
      <c r="F204" s="145" t="s">
        <v>239</v>
      </c>
      <c r="G204" s="44" t="str">
        <f t="shared" si="28"/>
        <v>Director de Mejoramiento de Barrios</v>
      </c>
      <c r="H204" s="137">
        <v>44497</v>
      </c>
      <c r="I204" s="137">
        <v>44503</v>
      </c>
      <c r="J204" s="61"/>
      <c r="K204" s="61"/>
      <c r="L204" s="61"/>
      <c r="M204" s="61"/>
      <c r="N204" s="61"/>
      <c r="O204" s="61"/>
      <c r="P204" s="61"/>
      <c r="Q204" s="61"/>
      <c r="R204" s="61"/>
      <c r="S204" s="61"/>
      <c r="T204" s="61"/>
      <c r="U204" s="61"/>
      <c r="V204" s="140" t="s">
        <v>317</v>
      </c>
      <c r="W204" s="212">
        <v>1E-3</v>
      </c>
      <c r="X204" s="137"/>
      <c r="Y204" s="72"/>
      <c r="Z204" s="72"/>
      <c r="AA204" s="142"/>
      <c r="AB204" s="70">
        <f t="shared" ca="1" si="37"/>
        <v>0</v>
      </c>
      <c r="AC204" s="70">
        <f t="shared" ca="1" si="29"/>
        <v>1E-3</v>
      </c>
      <c r="AD204" s="186">
        <f t="shared" si="31"/>
        <v>11</v>
      </c>
      <c r="AE204" s="187">
        <f t="shared" si="32"/>
        <v>6</v>
      </c>
      <c r="AF204" s="187">
        <f t="shared" si="33"/>
        <v>-242</v>
      </c>
      <c r="AG204" s="188">
        <f t="shared" si="34"/>
        <v>-40.333333333333336</v>
      </c>
      <c r="AH204" s="189">
        <f t="shared" si="35"/>
        <v>-4.0333333333333339E-2</v>
      </c>
      <c r="AI204" s="188">
        <f t="shared" ca="1" si="36"/>
        <v>4.0333333333333339E-2</v>
      </c>
      <c r="AJ204" s="190"/>
    </row>
    <row r="205" spans="1:36" s="23" customFormat="1" ht="42" customHeight="1" x14ac:dyDescent="0.25">
      <c r="A205" s="142" t="s">
        <v>45</v>
      </c>
      <c r="B205" s="143" t="s">
        <v>114</v>
      </c>
      <c r="C205" s="142" t="s">
        <v>90</v>
      </c>
      <c r="D205" s="142" t="s">
        <v>97</v>
      </c>
      <c r="E205" s="142" t="s">
        <v>165</v>
      </c>
      <c r="F205" s="145" t="s">
        <v>239</v>
      </c>
      <c r="G205" s="44" t="str">
        <f t="shared" si="28"/>
        <v>Asesor de Control Interno</v>
      </c>
      <c r="H205" s="137">
        <v>44502</v>
      </c>
      <c r="I205" s="137">
        <v>44505</v>
      </c>
      <c r="J205" s="61"/>
      <c r="K205" s="61"/>
      <c r="L205" s="61"/>
      <c r="M205" s="61"/>
      <c r="N205" s="61"/>
      <c r="O205" s="61"/>
      <c r="P205" s="61"/>
      <c r="Q205" s="61"/>
      <c r="R205" s="61"/>
      <c r="S205" s="61"/>
      <c r="T205" s="61"/>
      <c r="U205" s="61"/>
      <c r="V205" s="142" t="s">
        <v>202</v>
      </c>
      <c r="W205" s="212">
        <v>3.0000000000000001E-3</v>
      </c>
      <c r="X205" s="137"/>
      <c r="Y205" s="143"/>
      <c r="Z205" s="72"/>
      <c r="AA205" s="142"/>
      <c r="AB205" s="70">
        <f t="shared" ca="1" si="37"/>
        <v>0</v>
      </c>
      <c r="AC205" s="70">
        <f t="shared" ca="1" si="29"/>
        <v>3.0000000000000001E-3</v>
      </c>
      <c r="AD205" s="186">
        <f t="shared" si="31"/>
        <v>11</v>
      </c>
      <c r="AE205" s="187">
        <f t="shared" si="32"/>
        <v>3</v>
      </c>
      <c r="AF205" s="187">
        <f t="shared" si="33"/>
        <v>-247</v>
      </c>
      <c r="AG205" s="188">
        <f t="shared" si="34"/>
        <v>-82.333333333333329</v>
      </c>
      <c r="AH205" s="189">
        <f t="shared" si="35"/>
        <v>-0.247</v>
      </c>
      <c r="AI205" s="188">
        <f t="shared" ca="1" si="36"/>
        <v>0.247</v>
      </c>
      <c r="AJ205" s="190"/>
    </row>
    <row r="206" spans="1:36" s="23" customFormat="1" ht="42" customHeight="1" x14ac:dyDescent="0.25">
      <c r="A206" s="154" t="s">
        <v>44</v>
      </c>
      <c r="B206" s="143" t="s">
        <v>92</v>
      </c>
      <c r="C206" s="142" t="s">
        <v>89</v>
      </c>
      <c r="D206" s="142" t="s">
        <v>96</v>
      </c>
      <c r="E206" s="142" t="s">
        <v>165</v>
      </c>
      <c r="F206" s="144" t="s">
        <v>203</v>
      </c>
      <c r="G206" s="44" t="str">
        <f t="shared" si="28"/>
        <v>Subdirector Financiero</v>
      </c>
      <c r="H206" s="137">
        <v>44502</v>
      </c>
      <c r="I206" s="137">
        <v>44509</v>
      </c>
      <c r="J206" s="61"/>
      <c r="K206" s="61"/>
      <c r="L206" s="61"/>
      <c r="M206" s="61"/>
      <c r="N206" s="61"/>
      <c r="O206" s="61"/>
      <c r="P206" s="61"/>
      <c r="Q206" s="61"/>
      <c r="R206" s="61"/>
      <c r="S206" s="61"/>
      <c r="T206" s="61"/>
      <c r="U206" s="61"/>
      <c r="V206" s="142" t="s">
        <v>123</v>
      </c>
      <c r="W206" s="212">
        <v>1E-3</v>
      </c>
      <c r="X206" s="137"/>
      <c r="Y206" s="143"/>
      <c r="Z206" s="72"/>
      <c r="AA206" s="142"/>
      <c r="AB206" s="70">
        <f t="shared" ca="1" si="37"/>
        <v>0</v>
      </c>
      <c r="AC206" s="70">
        <f t="shared" ca="1" si="29"/>
        <v>1E-3</v>
      </c>
      <c r="AD206" s="186">
        <f t="shared" si="31"/>
        <v>11</v>
      </c>
      <c r="AE206" s="187">
        <f t="shared" si="32"/>
        <v>7</v>
      </c>
      <c r="AF206" s="187">
        <f t="shared" si="33"/>
        <v>-247</v>
      </c>
      <c r="AG206" s="188">
        <f t="shared" si="34"/>
        <v>-35.285714285714285</v>
      </c>
      <c r="AH206" s="189">
        <f t="shared" si="35"/>
        <v>-3.5285714285714288E-2</v>
      </c>
      <c r="AI206" s="188">
        <f t="shared" ca="1" si="36"/>
        <v>3.5285714285714288E-2</v>
      </c>
      <c r="AJ206" s="190"/>
    </row>
    <row r="207" spans="1:36" s="23" customFormat="1" ht="42" customHeight="1" x14ac:dyDescent="0.25">
      <c r="A207" s="154" t="s">
        <v>46</v>
      </c>
      <c r="B207" s="143" t="s">
        <v>93</v>
      </c>
      <c r="C207" s="142" t="s">
        <v>89</v>
      </c>
      <c r="D207" s="142" t="s">
        <v>96</v>
      </c>
      <c r="E207" s="142" t="s">
        <v>165</v>
      </c>
      <c r="F207" s="144" t="s">
        <v>240</v>
      </c>
      <c r="G207" s="44" t="str">
        <f t="shared" si="28"/>
        <v>Subdirector Financiero</v>
      </c>
      <c r="H207" s="137">
        <v>44502</v>
      </c>
      <c r="I207" s="137">
        <v>44510</v>
      </c>
      <c r="J207" s="61"/>
      <c r="K207" s="61"/>
      <c r="L207" s="61"/>
      <c r="M207" s="61"/>
      <c r="N207" s="61"/>
      <c r="O207" s="61"/>
      <c r="P207" s="61"/>
      <c r="Q207" s="61"/>
      <c r="R207" s="61"/>
      <c r="S207" s="61"/>
      <c r="T207" s="61"/>
      <c r="U207" s="61"/>
      <c r="V207" s="142" t="s">
        <v>332</v>
      </c>
      <c r="W207" s="212">
        <v>1E-3</v>
      </c>
      <c r="X207" s="137"/>
      <c r="Y207" s="72"/>
      <c r="Z207" s="72"/>
      <c r="AA207" s="142"/>
      <c r="AB207" s="70">
        <f t="shared" ca="1" si="37"/>
        <v>0</v>
      </c>
      <c r="AC207" s="70">
        <f t="shared" ca="1" si="29"/>
        <v>1E-3</v>
      </c>
      <c r="AD207" s="186">
        <f t="shared" si="31"/>
        <v>11</v>
      </c>
      <c r="AE207" s="187">
        <f t="shared" si="32"/>
        <v>8</v>
      </c>
      <c r="AF207" s="187">
        <f t="shared" si="33"/>
        <v>-247</v>
      </c>
      <c r="AG207" s="188">
        <f t="shared" si="34"/>
        <v>-30.875</v>
      </c>
      <c r="AH207" s="189">
        <f t="shared" si="35"/>
        <v>-3.0875E-2</v>
      </c>
      <c r="AI207" s="188">
        <f t="shared" ca="1" si="36"/>
        <v>3.0875E-2</v>
      </c>
      <c r="AJ207" s="190"/>
    </row>
    <row r="208" spans="1:36" s="23" customFormat="1" ht="42" customHeight="1" x14ac:dyDescent="0.25">
      <c r="A208" s="142" t="s">
        <v>45</v>
      </c>
      <c r="B208" s="72" t="s">
        <v>213</v>
      </c>
      <c r="C208" s="142" t="s">
        <v>98</v>
      </c>
      <c r="D208" s="142" t="s">
        <v>98</v>
      </c>
      <c r="E208" s="142" t="s">
        <v>165</v>
      </c>
      <c r="F208" s="145" t="s">
        <v>239</v>
      </c>
      <c r="G208" s="44" t="str">
        <f t="shared" si="28"/>
        <v>Líderes de Cada Proceso</v>
      </c>
      <c r="H208" s="137">
        <v>44510</v>
      </c>
      <c r="I208" s="137">
        <v>44540</v>
      </c>
      <c r="J208" s="61"/>
      <c r="K208" s="61"/>
      <c r="L208" s="61"/>
      <c r="M208" s="61"/>
      <c r="N208" s="61"/>
      <c r="O208" s="61"/>
      <c r="P208" s="61"/>
      <c r="Q208" s="61"/>
      <c r="R208" s="61"/>
      <c r="S208" s="61"/>
      <c r="T208" s="61"/>
      <c r="U208" s="61"/>
      <c r="V208" s="142" t="s">
        <v>123</v>
      </c>
      <c r="W208" s="212">
        <v>5.0000000000000001E-3</v>
      </c>
      <c r="X208" s="137"/>
      <c r="Y208" s="72"/>
      <c r="Z208" s="72"/>
      <c r="AA208" s="142"/>
      <c r="AB208" s="70">
        <f t="shared" ca="1" si="37"/>
        <v>0</v>
      </c>
      <c r="AC208" s="70">
        <f t="shared" ca="1" si="29"/>
        <v>5.0000000000000001E-3</v>
      </c>
      <c r="AD208" s="186">
        <f t="shared" si="31"/>
        <v>12</v>
      </c>
      <c r="AE208" s="187">
        <f t="shared" si="32"/>
        <v>30</v>
      </c>
      <c r="AF208" s="187">
        <f t="shared" si="33"/>
        <v>-255</v>
      </c>
      <c r="AG208" s="188">
        <f t="shared" si="34"/>
        <v>-8.5</v>
      </c>
      <c r="AH208" s="189">
        <f t="shared" si="35"/>
        <v>-4.2500000000000003E-2</v>
      </c>
      <c r="AI208" s="188">
        <f t="shared" ca="1" si="36"/>
        <v>4.2500000000000003E-2</v>
      </c>
      <c r="AJ208" s="190"/>
    </row>
    <row r="209" spans="1:36" s="23" customFormat="1" ht="42" customHeight="1" x14ac:dyDescent="0.25">
      <c r="A209" s="154" t="s">
        <v>47</v>
      </c>
      <c r="B209" s="146" t="s">
        <v>308</v>
      </c>
      <c r="C209" s="142" t="s">
        <v>98</v>
      </c>
      <c r="D209" s="142" t="s">
        <v>98</v>
      </c>
      <c r="E209" s="142" t="s">
        <v>165</v>
      </c>
      <c r="F209" s="144" t="s">
        <v>263</v>
      </c>
      <c r="G209" s="44" t="str">
        <f t="shared" si="28"/>
        <v>Líderes de Cada Proceso</v>
      </c>
      <c r="H209" s="137">
        <v>44522</v>
      </c>
      <c r="I209" s="137">
        <v>44540</v>
      </c>
      <c r="J209" s="61"/>
      <c r="K209" s="61"/>
      <c r="L209" s="61"/>
      <c r="M209" s="61"/>
      <c r="N209" s="61"/>
      <c r="O209" s="61"/>
      <c r="P209" s="61"/>
      <c r="Q209" s="61"/>
      <c r="R209" s="61"/>
      <c r="S209" s="61"/>
      <c r="T209" s="61"/>
      <c r="U209" s="61"/>
      <c r="V209" s="142" t="s">
        <v>215</v>
      </c>
      <c r="W209" s="215">
        <v>0.02</v>
      </c>
      <c r="X209" s="137"/>
      <c r="Y209" s="72"/>
      <c r="Z209" s="72"/>
      <c r="AA209" s="142"/>
      <c r="AB209" s="70">
        <f t="shared" ca="1" si="37"/>
        <v>0</v>
      </c>
      <c r="AC209" s="70">
        <f t="shared" ca="1" si="29"/>
        <v>0.02</v>
      </c>
      <c r="AD209" s="186">
        <f t="shared" si="31"/>
        <v>12</v>
      </c>
      <c r="AE209" s="187">
        <f t="shared" si="32"/>
        <v>18</v>
      </c>
      <c r="AF209" s="187">
        <f t="shared" si="33"/>
        <v>-267</v>
      </c>
      <c r="AG209" s="188">
        <f t="shared" si="34"/>
        <v>-14.833333333333334</v>
      </c>
      <c r="AH209" s="189">
        <f t="shared" si="35"/>
        <v>-0.29666666666666669</v>
      </c>
      <c r="AI209" s="188">
        <f t="shared" ca="1" si="36"/>
        <v>0.29666666666666669</v>
      </c>
      <c r="AJ209" s="190"/>
    </row>
    <row r="210" spans="1:36" s="23" customFormat="1" ht="42" customHeight="1" x14ac:dyDescent="0.25">
      <c r="A210" s="142" t="s">
        <v>47</v>
      </c>
      <c r="B210" s="146" t="s">
        <v>309</v>
      </c>
      <c r="C210" s="142" t="s">
        <v>98</v>
      </c>
      <c r="D210" s="142" t="s">
        <v>98</v>
      </c>
      <c r="E210" s="142" t="s">
        <v>165</v>
      </c>
      <c r="F210" s="144" t="s">
        <v>263</v>
      </c>
      <c r="G210" s="44" t="str">
        <f t="shared" si="28"/>
        <v>Líderes de Cada Proceso</v>
      </c>
      <c r="H210" s="137">
        <v>44522</v>
      </c>
      <c r="I210" s="137">
        <v>44540</v>
      </c>
      <c r="J210" s="61"/>
      <c r="K210" s="61"/>
      <c r="L210" s="61"/>
      <c r="M210" s="61"/>
      <c r="N210" s="61"/>
      <c r="O210" s="61"/>
      <c r="P210" s="61"/>
      <c r="Q210" s="61"/>
      <c r="R210" s="61"/>
      <c r="S210" s="61"/>
      <c r="T210" s="61"/>
      <c r="U210" s="61"/>
      <c r="V210" s="142" t="s">
        <v>215</v>
      </c>
      <c r="W210" s="215">
        <v>0.02</v>
      </c>
      <c r="X210" s="137"/>
      <c r="Y210" s="143"/>
      <c r="Z210" s="72"/>
      <c r="AA210" s="142"/>
      <c r="AB210" s="70">
        <f t="shared" ca="1" si="37"/>
        <v>0</v>
      </c>
      <c r="AC210" s="70">
        <f t="shared" ca="1" si="29"/>
        <v>0.02</v>
      </c>
      <c r="AD210" s="186">
        <f t="shared" si="31"/>
        <v>12</v>
      </c>
      <c r="AE210" s="187">
        <f t="shared" si="32"/>
        <v>18</v>
      </c>
      <c r="AF210" s="187">
        <f t="shared" si="33"/>
        <v>-267</v>
      </c>
      <c r="AG210" s="188">
        <f t="shared" si="34"/>
        <v>-14.833333333333334</v>
      </c>
      <c r="AH210" s="189">
        <f t="shared" si="35"/>
        <v>-0.29666666666666669</v>
      </c>
      <c r="AI210" s="188">
        <f t="shared" ca="1" si="36"/>
        <v>0.29666666666666669</v>
      </c>
      <c r="AJ210" s="190"/>
    </row>
    <row r="211" spans="1:36" s="23" customFormat="1" ht="42" customHeight="1" x14ac:dyDescent="0.25">
      <c r="A211" s="142" t="s">
        <v>45</v>
      </c>
      <c r="B211" s="143" t="s">
        <v>289</v>
      </c>
      <c r="C211" s="142" t="s">
        <v>90</v>
      </c>
      <c r="D211" s="142" t="s">
        <v>97</v>
      </c>
      <c r="E211" s="142" t="s">
        <v>165</v>
      </c>
      <c r="F211" s="145" t="s">
        <v>239</v>
      </c>
      <c r="G211" s="44" t="str">
        <f t="shared" ref="G211:G220" si="38">IF(LEN(C211)&gt;0,VLOOKUP(C211,PROCESO2,3,0),"")</f>
        <v>Asesor de Control Interno</v>
      </c>
      <c r="H211" s="137">
        <v>44524</v>
      </c>
      <c r="I211" s="137">
        <v>44532</v>
      </c>
      <c r="J211" s="61"/>
      <c r="K211" s="61"/>
      <c r="L211" s="61"/>
      <c r="M211" s="61"/>
      <c r="N211" s="61"/>
      <c r="O211" s="61"/>
      <c r="P211" s="61"/>
      <c r="Q211" s="61"/>
      <c r="R211" s="61"/>
      <c r="S211" s="61"/>
      <c r="T211" s="61"/>
      <c r="U211" s="61"/>
      <c r="V211" s="142" t="s">
        <v>215</v>
      </c>
      <c r="W211" s="212">
        <v>3.0000000000000001E-3</v>
      </c>
      <c r="X211" s="137"/>
      <c r="Y211" s="143"/>
      <c r="Z211" s="72"/>
      <c r="AA211" s="142"/>
      <c r="AB211" s="70">
        <f t="shared" ca="1" si="37"/>
        <v>0</v>
      </c>
      <c r="AC211" s="70">
        <f t="shared" ref="AC211:AC220" ca="1" si="39">+W211-AB211</f>
        <v>3.0000000000000001E-3</v>
      </c>
      <c r="AD211" s="186">
        <f t="shared" si="31"/>
        <v>12</v>
      </c>
      <c r="AE211" s="187">
        <f t="shared" si="32"/>
        <v>8</v>
      </c>
      <c r="AF211" s="187">
        <f t="shared" si="33"/>
        <v>-269</v>
      </c>
      <c r="AG211" s="188">
        <f t="shared" si="34"/>
        <v>-33.625</v>
      </c>
      <c r="AH211" s="189">
        <f t="shared" si="35"/>
        <v>-0.10087500000000001</v>
      </c>
      <c r="AI211" s="188">
        <f t="shared" ca="1" si="36"/>
        <v>0.10087500000000001</v>
      </c>
      <c r="AJ211" s="190"/>
    </row>
    <row r="212" spans="1:36" s="23" customFormat="1" ht="42" customHeight="1" x14ac:dyDescent="0.25">
      <c r="A212" s="154" t="s">
        <v>46</v>
      </c>
      <c r="B212" s="143" t="s">
        <v>314</v>
      </c>
      <c r="C212" s="142" t="s">
        <v>82</v>
      </c>
      <c r="D212" s="142" t="s">
        <v>100</v>
      </c>
      <c r="E212" s="142" t="s">
        <v>165</v>
      </c>
      <c r="F212" s="145" t="s">
        <v>239</v>
      </c>
      <c r="G212" s="44" t="str">
        <f t="shared" si="38"/>
        <v>Director de Mejoramiento de Barrios</v>
      </c>
      <c r="H212" s="137">
        <v>44529</v>
      </c>
      <c r="I212" s="137">
        <v>44532</v>
      </c>
      <c r="J212" s="61"/>
      <c r="K212" s="61"/>
      <c r="L212" s="61"/>
      <c r="M212" s="61"/>
      <c r="N212" s="61"/>
      <c r="O212" s="61"/>
      <c r="P212" s="61"/>
      <c r="Q212" s="61"/>
      <c r="R212" s="61"/>
      <c r="S212" s="61"/>
      <c r="T212" s="61"/>
      <c r="U212" s="61"/>
      <c r="V212" s="140" t="s">
        <v>317</v>
      </c>
      <c r="W212" s="212">
        <v>1E-3</v>
      </c>
      <c r="X212" s="137"/>
      <c r="Y212" s="72"/>
      <c r="Z212" s="72"/>
      <c r="AA212" s="142"/>
      <c r="AB212" s="70">
        <f t="shared" ca="1" si="37"/>
        <v>0</v>
      </c>
      <c r="AC212" s="70">
        <f t="shared" ca="1" si="39"/>
        <v>1E-3</v>
      </c>
      <c r="AD212" s="186">
        <f t="shared" si="31"/>
        <v>12</v>
      </c>
      <c r="AE212" s="187">
        <f t="shared" si="32"/>
        <v>3</v>
      </c>
      <c r="AF212" s="187">
        <f t="shared" si="33"/>
        <v>-274</v>
      </c>
      <c r="AG212" s="188">
        <f t="shared" si="34"/>
        <v>-91.333333333333329</v>
      </c>
      <c r="AH212" s="189">
        <f t="shared" si="35"/>
        <v>-9.1333333333333336E-2</v>
      </c>
      <c r="AI212" s="188">
        <f t="shared" ca="1" si="36"/>
        <v>9.1333333333333336E-2</v>
      </c>
      <c r="AJ212" s="190"/>
    </row>
    <row r="213" spans="1:36" s="23" customFormat="1" ht="42" customHeight="1" x14ac:dyDescent="0.25">
      <c r="A213" s="142" t="s">
        <v>45</v>
      </c>
      <c r="B213" s="143" t="s">
        <v>114</v>
      </c>
      <c r="C213" s="142" t="s">
        <v>90</v>
      </c>
      <c r="D213" s="142" t="s">
        <v>97</v>
      </c>
      <c r="E213" s="142" t="s">
        <v>165</v>
      </c>
      <c r="F213" s="145" t="s">
        <v>239</v>
      </c>
      <c r="G213" s="44" t="str">
        <f t="shared" si="38"/>
        <v>Asesor de Control Interno</v>
      </c>
      <c r="H213" s="137">
        <v>44531</v>
      </c>
      <c r="I213" s="137">
        <v>44536</v>
      </c>
      <c r="J213" s="61"/>
      <c r="K213" s="61"/>
      <c r="L213" s="61"/>
      <c r="M213" s="61"/>
      <c r="N213" s="61"/>
      <c r="O213" s="61"/>
      <c r="P213" s="61"/>
      <c r="Q213" s="61"/>
      <c r="R213" s="61"/>
      <c r="S213" s="61"/>
      <c r="T213" s="61"/>
      <c r="U213" s="61"/>
      <c r="V213" s="142" t="s">
        <v>202</v>
      </c>
      <c r="W213" s="212">
        <v>3.0000000000000001E-3</v>
      </c>
      <c r="X213" s="213"/>
      <c r="Y213" s="72"/>
      <c r="Z213" s="72"/>
      <c r="AA213" s="142"/>
      <c r="AB213" s="70">
        <f t="shared" ca="1" si="37"/>
        <v>0</v>
      </c>
      <c r="AC213" s="70">
        <f t="shared" ca="1" si="39"/>
        <v>3.0000000000000001E-3</v>
      </c>
      <c r="AD213" s="186">
        <f t="shared" si="31"/>
        <v>12</v>
      </c>
      <c r="AE213" s="187">
        <f t="shared" si="32"/>
        <v>5</v>
      </c>
      <c r="AF213" s="187">
        <f t="shared" si="33"/>
        <v>-276</v>
      </c>
      <c r="AG213" s="188">
        <f t="shared" si="34"/>
        <v>-55.2</v>
      </c>
      <c r="AH213" s="189">
        <f t="shared" si="35"/>
        <v>-0.16560000000000002</v>
      </c>
      <c r="AI213" s="188">
        <f t="shared" ca="1" si="36"/>
        <v>0.16560000000000002</v>
      </c>
      <c r="AJ213" s="190"/>
    </row>
    <row r="214" spans="1:36" s="23" customFormat="1" ht="42" customHeight="1" x14ac:dyDescent="0.25">
      <c r="A214" s="154" t="s">
        <v>46</v>
      </c>
      <c r="B214" s="143" t="s">
        <v>93</v>
      </c>
      <c r="C214" s="142" t="s">
        <v>141</v>
      </c>
      <c r="D214" s="142" t="s">
        <v>96</v>
      </c>
      <c r="E214" s="142" t="s">
        <v>165</v>
      </c>
      <c r="F214" s="144" t="s">
        <v>240</v>
      </c>
      <c r="G214" s="44" t="str">
        <f t="shared" si="38"/>
        <v>Director de Gestión Corporativa y CID</v>
      </c>
      <c r="H214" s="137">
        <v>44531</v>
      </c>
      <c r="I214" s="137">
        <v>44540</v>
      </c>
      <c r="J214" s="61"/>
      <c r="K214" s="61"/>
      <c r="L214" s="61"/>
      <c r="M214" s="61"/>
      <c r="N214" s="61"/>
      <c r="O214" s="61"/>
      <c r="P214" s="61"/>
      <c r="Q214" s="61"/>
      <c r="R214" s="61"/>
      <c r="S214" s="61"/>
      <c r="T214" s="61"/>
      <c r="U214" s="61"/>
      <c r="V214" s="142" t="s">
        <v>332</v>
      </c>
      <c r="W214" s="212">
        <v>1E-3</v>
      </c>
      <c r="X214" s="137"/>
      <c r="Y214" s="143"/>
      <c r="Z214" s="72"/>
      <c r="AA214" s="142"/>
      <c r="AB214" s="70">
        <f t="shared" ca="1" si="37"/>
        <v>0</v>
      </c>
      <c r="AC214" s="70">
        <f t="shared" ca="1" si="39"/>
        <v>1E-3</v>
      </c>
      <c r="AD214" s="186">
        <f t="shared" si="31"/>
        <v>12</v>
      </c>
      <c r="AE214" s="187">
        <f t="shared" si="32"/>
        <v>9</v>
      </c>
      <c r="AF214" s="187">
        <f t="shared" si="33"/>
        <v>-276</v>
      </c>
      <c r="AG214" s="188">
        <f t="shared" si="34"/>
        <v>-30.666666666666668</v>
      </c>
      <c r="AH214" s="189">
        <f t="shared" si="35"/>
        <v>-3.0666666666666668E-2</v>
      </c>
      <c r="AI214" s="188">
        <f t="shared" ca="1" si="36"/>
        <v>3.0666666666666668E-2</v>
      </c>
      <c r="AJ214" s="190"/>
    </row>
    <row r="215" spans="1:36" s="23" customFormat="1" ht="42" customHeight="1" x14ac:dyDescent="0.25">
      <c r="A215" s="154" t="s">
        <v>44</v>
      </c>
      <c r="B215" s="143" t="s">
        <v>92</v>
      </c>
      <c r="C215" s="142" t="s">
        <v>89</v>
      </c>
      <c r="D215" s="142" t="s">
        <v>96</v>
      </c>
      <c r="E215" s="142" t="s">
        <v>165</v>
      </c>
      <c r="F215" s="144" t="s">
        <v>203</v>
      </c>
      <c r="G215" s="44" t="str">
        <f t="shared" si="38"/>
        <v>Subdirector Financiero</v>
      </c>
      <c r="H215" s="137">
        <v>44531</v>
      </c>
      <c r="I215" s="137">
        <v>44540</v>
      </c>
      <c r="J215" s="61"/>
      <c r="K215" s="61"/>
      <c r="L215" s="61"/>
      <c r="M215" s="61"/>
      <c r="N215" s="61"/>
      <c r="O215" s="61"/>
      <c r="P215" s="61"/>
      <c r="Q215" s="61"/>
      <c r="R215" s="61"/>
      <c r="S215" s="61"/>
      <c r="T215" s="61"/>
      <c r="U215" s="61"/>
      <c r="V215" s="142" t="s">
        <v>123</v>
      </c>
      <c r="W215" s="212">
        <v>1E-3</v>
      </c>
      <c r="X215" s="137"/>
      <c r="Y215" s="143"/>
      <c r="Z215" s="143"/>
      <c r="AA215" s="142"/>
      <c r="AB215" s="70">
        <f t="shared" ca="1" si="37"/>
        <v>0</v>
      </c>
      <c r="AC215" s="70">
        <f t="shared" ca="1" si="39"/>
        <v>1E-3</v>
      </c>
      <c r="AD215" s="186">
        <f t="shared" si="31"/>
        <v>12</v>
      </c>
      <c r="AE215" s="187">
        <f t="shared" si="32"/>
        <v>9</v>
      </c>
      <c r="AF215" s="187">
        <f t="shared" si="33"/>
        <v>-276</v>
      </c>
      <c r="AG215" s="188">
        <f t="shared" si="34"/>
        <v>-30.666666666666668</v>
      </c>
      <c r="AH215" s="189">
        <f t="shared" si="35"/>
        <v>-3.0666666666666668E-2</v>
      </c>
      <c r="AI215" s="188">
        <f t="shared" ca="1" si="36"/>
        <v>3.0666666666666668E-2</v>
      </c>
      <c r="AJ215" s="190"/>
    </row>
    <row r="216" spans="1:36" s="23" customFormat="1" ht="42" customHeight="1" x14ac:dyDescent="0.25">
      <c r="A216" s="142" t="s">
        <v>43</v>
      </c>
      <c r="B216" s="143" t="s">
        <v>305</v>
      </c>
      <c r="C216" s="142" t="s">
        <v>90</v>
      </c>
      <c r="D216" s="142" t="s">
        <v>97</v>
      </c>
      <c r="E216" s="142" t="s">
        <v>165</v>
      </c>
      <c r="F216" s="145" t="s">
        <v>239</v>
      </c>
      <c r="G216" s="44" t="str">
        <f t="shared" si="38"/>
        <v>Asesor de Control Interno</v>
      </c>
      <c r="H216" s="137">
        <v>44536</v>
      </c>
      <c r="I216" s="137">
        <v>44552</v>
      </c>
      <c r="J216" s="61"/>
      <c r="K216" s="61"/>
      <c r="L216" s="61"/>
      <c r="M216" s="61"/>
      <c r="N216" s="61"/>
      <c r="O216" s="61"/>
      <c r="P216" s="61"/>
      <c r="Q216" s="61"/>
      <c r="R216" s="61"/>
      <c r="S216" s="61"/>
      <c r="T216" s="61"/>
      <c r="U216" s="61"/>
      <c r="V216" s="142" t="s">
        <v>334</v>
      </c>
      <c r="W216" s="212">
        <v>2.5000000000000001E-3</v>
      </c>
      <c r="X216" s="137"/>
      <c r="Y216" s="143"/>
      <c r="Z216" s="72"/>
      <c r="AA216" s="142"/>
      <c r="AB216" s="70">
        <f t="shared" ca="1" si="37"/>
        <v>0</v>
      </c>
      <c r="AC216" s="70">
        <f t="shared" ca="1" si="39"/>
        <v>2.5000000000000001E-3</v>
      </c>
      <c r="AD216" s="186">
        <f t="shared" si="31"/>
        <v>12</v>
      </c>
      <c r="AE216" s="187">
        <f t="shared" si="32"/>
        <v>16</v>
      </c>
      <c r="AF216" s="187">
        <f t="shared" si="33"/>
        <v>-281</v>
      </c>
      <c r="AG216" s="188">
        <f t="shared" si="34"/>
        <v>-17.5625</v>
      </c>
      <c r="AH216" s="189">
        <f t="shared" si="35"/>
        <v>-4.3906250000000001E-2</v>
      </c>
      <c r="AI216" s="188">
        <f t="shared" ca="1" si="36"/>
        <v>4.3906250000000001E-2</v>
      </c>
      <c r="AJ216" s="190"/>
    </row>
    <row r="217" spans="1:36" s="23" customFormat="1" ht="42" customHeight="1" x14ac:dyDescent="0.25">
      <c r="A217" s="154" t="s">
        <v>45</v>
      </c>
      <c r="B217" s="143" t="s">
        <v>307</v>
      </c>
      <c r="C217" s="142" t="s">
        <v>90</v>
      </c>
      <c r="D217" s="142" t="s">
        <v>97</v>
      </c>
      <c r="E217" s="142" t="s">
        <v>165</v>
      </c>
      <c r="F217" s="145" t="s">
        <v>160</v>
      </c>
      <c r="G217" s="44" t="str">
        <f t="shared" si="38"/>
        <v>Asesor de Control Interno</v>
      </c>
      <c r="H217" s="137">
        <v>44543</v>
      </c>
      <c r="I217" s="137">
        <v>44557</v>
      </c>
      <c r="J217" s="61"/>
      <c r="K217" s="61"/>
      <c r="L217" s="61"/>
      <c r="M217" s="61"/>
      <c r="N217" s="61"/>
      <c r="O217" s="61"/>
      <c r="P217" s="61"/>
      <c r="Q217" s="61"/>
      <c r="R217" s="61"/>
      <c r="S217" s="61"/>
      <c r="T217" s="61"/>
      <c r="U217" s="61"/>
      <c r="V217" s="142" t="s">
        <v>123</v>
      </c>
      <c r="W217" s="212">
        <v>1.2E-2</v>
      </c>
      <c r="X217" s="137"/>
      <c r="Y217" s="80"/>
      <c r="Z217" s="72"/>
      <c r="AA217" s="142"/>
      <c r="AB217" s="70">
        <f t="shared" ca="1" si="37"/>
        <v>0</v>
      </c>
      <c r="AC217" s="70">
        <f t="shared" ca="1" si="39"/>
        <v>1.2E-2</v>
      </c>
      <c r="AD217" s="186">
        <f t="shared" si="31"/>
        <v>12</v>
      </c>
      <c r="AE217" s="187">
        <f t="shared" si="32"/>
        <v>14</v>
      </c>
      <c r="AF217" s="187">
        <f t="shared" si="33"/>
        <v>-288</v>
      </c>
      <c r="AG217" s="188">
        <f t="shared" si="34"/>
        <v>-20.571428571428573</v>
      </c>
      <c r="AH217" s="189">
        <f t="shared" si="35"/>
        <v>-0.24685714285714289</v>
      </c>
      <c r="AI217" s="188">
        <f t="shared" ca="1" si="36"/>
        <v>0.24685714285714289</v>
      </c>
      <c r="AJ217" s="190"/>
    </row>
    <row r="218" spans="1:36" s="23" customFormat="1" ht="42" customHeight="1" x14ac:dyDescent="0.25">
      <c r="A218" s="142" t="s">
        <v>47</v>
      </c>
      <c r="B218" s="146" t="s">
        <v>192</v>
      </c>
      <c r="C218" s="142" t="s">
        <v>90</v>
      </c>
      <c r="D218" s="142" t="s">
        <v>97</v>
      </c>
      <c r="E218" s="142" t="s">
        <v>165</v>
      </c>
      <c r="F218" s="144" t="s">
        <v>240</v>
      </c>
      <c r="G218" s="44" t="str">
        <f t="shared" si="38"/>
        <v>Asesor de Control Interno</v>
      </c>
      <c r="H218" s="137">
        <v>44559</v>
      </c>
      <c r="I218" s="137">
        <v>44573</v>
      </c>
      <c r="J218" s="61"/>
      <c r="K218" s="61"/>
      <c r="L218" s="61"/>
      <c r="M218" s="61"/>
      <c r="N218" s="61"/>
      <c r="O218" s="61"/>
      <c r="P218" s="61"/>
      <c r="Q218" s="61"/>
      <c r="R218" s="61"/>
      <c r="S218" s="61"/>
      <c r="T218" s="61"/>
      <c r="U218" s="61"/>
      <c r="V218" s="142" t="s">
        <v>215</v>
      </c>
      <c r="W218" s="215">
        <v>7.4999999999999997E-3</v>
      </c>
      <c r="X218" s="213"/>
      <c r="Y218" s="72"/>
      <c r="Z218" s="72"/>
      <c r="AA218" s="142"/>
      <c r="AB218" s="70">
        <f t="shared" ca="1" si="37"/>
        <v>0</v>
      </c>
      <c r="AC218" s="70">
        <f t="shared" ca="1" si="39"/>
        <v>7.4999999999999997E-3</v>
      </c>
      <c r="AD218" s="186">
        <f t="shared" si="31"/>
        <v>1</v>
      </c>
      <c r="AE218" s="187">
        <f t="shared" si="32"/>
        <v>14</v>
      </c>
      <c r="AF218" s="187">
        <f t="shared" si="33"/>
        <v>-304</v>
      </c>
      <c r="AG218" s="188">
        <f t="shared" si="34"/>
        <v>-21.714285714285715</v>
      </c>
      <c r="AH218" s="189">
        <f t="shared" si="35"/>
        <v>-0.16285714285714287</v>
      </c>
      <c r="AI218" s="188">
        <f t="shared" ca="1" si="36"/>
        <v>0.16285714285714287</v>
      </c>
      <c r="AJ218" s="190"/>
    </row>
    <row r="219" spans="1:36" s="23" customFormat="1" ht="42" customHeight="1" x14ac:dyDescent="0.25">
      <c r="A219" s="154" t="s">
        <v>44</v>
      </c>
      <c r="B219" s="143" t="s">
        <v>331</v>
      </c>
      <c r="C219" s="142" t="s">
        <v>98</v>
      </c>
      <c r="D219" s="142" t="s">
        <v>98</v>
      </c>
      <c r="E219" s="142" t="s">
        <v>165</v>
      </c>
      <c r="F219" s="145" t="s">
        <v>263</v>
      </c>
      <c r="G219" s="44" t="str">
        <f t="shared" si="38"/>
        <v>Líderes de Cada Proceso</v>
      </c>
      <c r="H219" s="184"/>
      <c r="I219" s="184"/>
      <c r="J219" s="61"/>
      <c r="K219" s="61"/>
      <c r="L219" s="61"/>
      <c r="M219" s="61"/>
      <c r="N219" s="61"/>
      <c r="O219" s="61"/>
      <c r="P219" s="61"/>
      <c r="Q219" s="61"/>
      <c r="R219" s="61"/>
      <c r="S219" s="61"/>
      <c r="T219" s="61"/>
      <c r="U219" s="61"/>
      <c r="V219" s="142" t="s">
        <v>332</v>
      </c>
      <c r="W219" s="212"/>
      <c r="X219" s="137"/>
      <c r="Y219" s="80"/>
      <c r="Z219" s="72"/>
      <c r="AA219" s="142"/>
      <c r="AB219" s="70">
        <f t="shared" ca="1" si="37"/>
        <v>0</v>
      </c>
      <c r="AC219" s="70">
        <f t="shared" ca="1" si="39"/>
        <v>0</v>
      </c>
      <c r="AD219" s="186"/>
      <c r="AE219" s="187"/>
      <c r="AF219" s="187"/>
      <c r="AG219" s="188"/>
      <c r="AH219" s="189"/>
      <c r="AI219" s="188"/>
      <c r="AJ219" s="199" t="s">
        <v>242</v>
      </c>
    </row>
    <row r="220" spans="1:36" s="23" customFormat="1" ht="42" customHeight="1" x14ac:dyDescent="0.25">
      <c r="A220" s="142" t="s">
        <v>47</v>
      </c>
      <c r="B220" s="146" t="s">
        <v>309</v>
      </c>
      <c r="C220" s="142" t="s">
        <v>98</v>
      </c>
      <c r="D220" s="142" t="s">
        <v>98</v>
      </c>
      <c r="E220" s="142" t="s">
        <v>165</v>
      </c>
      <c r="F220" s="144" t="s">
        <v>263</v>
      </c>
      <c r="G220" s="44" t="str">
        <f t="shared" si="38"/>
        <v>Líderes de Cada Proceso</v>
      </c>
      <c r="H220" s="184"/>
      <c r="I220" s="184"/>
      <c r="J220" s="61"/>
      <c r="K220" s="61"/>
      <c r="L220" s="61"/>
      <c r="M220" s="61"/>
      <c r="N220" s="61"/>
      <c r="O220" s="61"/>
      <c r="P220" s="61"/>
      <c r="Q220" s="61"/>
      <c r="R220" s="61"/>
      <c r="S220" s="61"/>
      <c r="T220" s="61"/>
      <c r="U220" s="61"/>
      <c r="V220" s="142" t="s">
        <v>215</v>
      </c>
      <c r="W220" s="215"/>
      <c r="X220" s="137"/>
      <c r="Y220" s="72"/>
      <c r="Z220" s="72"/>
      <c r="AA220" s="142"/>
      <c r="AB220" s="70">
        <f t="shared" ca="1" si="37"/>
        <v>0</v>
      </c>
      <c r="AC220" s="70">
        <f t="shared" ca="1" si="39"/>
        <v>0</v>
      </c>
      <c r="AD220" s="186"/>
      <c r="AE220" s="187"/>
      <c r="AF220" s="187"/>
      <c r="AG220" s="188"/>
      <c r="AH220" s="189"/>
      <c r="AI220" s="188"/>
      <c r="AJ220" s="199" t="s">
        <v>242</v>
      </c>
    </row>
    <row r="221" spans="1:36" s="23" customFormat="1" ht="42" customHeight="1" x14ac:dyDescent="0.25">
      <c r="A221" s="142" t="s">
        <v>46</v>
      </c>
      <c r="B221" s="136" t="s">
        <v>395</v>
      </c>
      <c r="C221" s="142" t="s">
        <v>98</v>
      </c>
      <c r="D221" s="142" t="s">
        <v>98</v>
      </c>
      <c r="E221" s="142" t="s">
        <v>165</v>
      </c>
      <c r="F221" s="144" t="s">
        <v>240</v>
      </c>
      <c r="G221" s="44" t="str">
        <f t="shared" ref="G221:G222" si="40">IF(LEN(C221)&gt;0,VLOOKUP(C221,PROCESO2,3,0),"")</f>
        <v>Líderes de Cada Proceso</v>
      </c>
      <c r="H221" s="184">
        <v>44286</v>
      </c>
      <c r="I221" s="184">
        <v>44406</v>
      </c>
      <c r="J221" s="61"/>
      <c r="K221" s="61"/>
      <c r="L221" s="61"/>
      <c r="M221" s="61"/>
      <c r="N221" s="61"/>
      <c r="O221" s="61"/>
      <c r="P221" s="61"/>
      <c r="Q221" s="61"/>
      <c r="R221" s="61"/>
      <c r="S221" s="61"/>
      <c r="T221" s="61"/>
      <c r="U221" s="61"/>
      <c r="V221" s="140" t="s">
        <v>337</v>
      </c>
      <c r="W221" s="215">
        <v>0.02</v>
      </c>
      <c r="X221" s="213"/>
      <c r="Y221" s="72"/>
      <c r="Z221" s="72"/>
      <c r="AA221" s="142"/>
      <c r="AB221" s="70">
        <f t="shared" ref="AB221" ca="1" si="41">IF(ISERROR(VLOOKUP(AA221,INDIRECT(VLOOKUP(A221,ACTA,2,0)&amp;"A"),2,0))=TRUE,0,W221*(VLOOKUP(AA221,INDIRECT(VLOOKUP(A221,ACTA,2,0)&amp;"A"),2,0)))</f>
        <v>0</v>
      </c>
      <c r="AC221" s="70">
        <f t="shared" ref="AC221" ca="1" si="42">+W221-AB221</f>
        <v>0.02</v>
      </c>
      <c r="AD221" s="186">
        <f t="shared" si="31"/>
        <v>7</v>
      </c>
      <c r="AE221" s="187">
        <f t="shared" si="32"/>
        <v>120</v>
      </c>
      <c r="AF221" s="187">
        <f t="shared" si="33"/>
        <v>-31</v>
      </c>
      <c r="AG221" s="188">
        <f t="shared" si="34"/>
        <v>-0.25833333333333336</v>
      </c>
      <c r="AH221" s="189">
        <f t="shared" si="35"/>
        <v>-5.1666666666666675E-3</v>
      </c>
      <c r="AI221" s="188">
        <f t="shared" ca="1" si="36"/>
        <v>5.1666666666666675E-3</v>
      </c>
      <c r="AJ221" s="190"/>
    </row>
    <row r="222" spans="1:36" s="23" customFormat="1" ht="42" customHeight="1" x14ac:dyDescent="0.25">
      <c r="A222" s="142" t="s">
        <v>52</v>
      </c>
      <c r="B222" s="143" t="s">
        <v>393</v>
      </c>
      <c r="C222" s="142" t="s">
        <v>89</v>
      </c>
      <c r="D222" s="142" t="s">
        <v>96</v>
      </c>
      <c r="E222" s="142" t="s">
        <v>165</v>
      </c>
      <c r="F222" s="145" t="s">
        <v>159</v>
      </c>
      <c r="G222" s="44" t="str">
        <f t="shared" si="40"/>
        <v>Subdirector Financiero</v>
      </c>
      <c r="H222" s="184">
        <v>44257</v>
      </c>
      <c r="I222" s="184">
        <v>44281</v>
      </c>
      <c r="J222" s="61"/>
      <c r="K222" s="61"/>
      <c r="L222" s="61"/>
      <c r="M222" s="61"/>
      <c r="N222" s="61"/>
      <c r="O222" s="61"/>
      <c r="P222" s="61"/>
      <c r="Q222" s="61"/>
      <c r="R222" s="61"/>
      <c r="S222" s="61"/>
      <c r="T222" s="61"/>
      <c r="U222" s="61"/>
      <c r="V222" s="142" t="s">
        <v>334</v>
      </c>
      <c r="W222" s="212">
        <v>2.5000000000000001E-3</v>
      </c>
      <c r="X222" s="137"/>
      <c r="Y222" s="80"/>
      <c r="Z222" s="72"/>
      <c r="AA222" s="142"/>
      <c r="AB222" s="70">
        <f t="shared" ref="AB222:AB226" ca="1" si="43">IF(ISERROR(VLOOKUP(AA222,INDIRECT(VLOOKUP(A222,ACTA,2,0)&amp;"A"),2,0))=TRUE,0,W222*(VLOOKUP(AA222,INDIRECT(VLOOKUP(A222,ACTA,2,0)&amp;"A"),2,0)))</f>
        <v>0</v>
      </c>
      <c r="AC222" s="70">
        <f t="shared" ref="AC222:AC226" ca="1" si="44">+W222-AB222</f>
        <v>2.5000000000000001E-3</v>
      </c>
      <c r="AD222" s="186">
        <f t="shared" si="31"/>
        <v>3</v>
      </c>
      <c r="AE222" s="187">
        <f t="shared" si="32"/>
        <v>24</v>
      </c>
      <c r="AF222" s="187">
        <f t="shared" si="33"/>
        <v>-2</v>
      </c>
      <c r="AG222" s="188">
        <f t="shared" si="34"/>
        <v>-8.3333333333333329E-2</v>
      </c>
      <c r="AH222" s="189">
        <f t="shared" si="35"/>
        <v>-2.0833333333333332E-4</v>
      </c>
      <c r="AI222" s="188">
        <f t="shared" ca="1" si="36"/>
        <v>2.0833333333333332E-4</v>
      </c>
      <c r="AJ222" s="190"/>
    </row>
    <row r="223" spans="1:36" s="23" customFormat="1" ht="42" customHeight="1" x14ac:dyDescent="0.25">
      <c r="A223" s="142" t="s">
        <v>52</v>
      </c>
      <c r="B223" s="143" t="s">
        <v>394</v>
      </c>
      <c r="C223" s="142" t="s">
        <v>87</v>
      </c>
      <c r="D223" s="142" t="s">
        <v>96</v>
      </c>
      <c r="E223" s="142" t="s">
        <v>165</v>
      </c>
      <c r="F223" s="145" t="s">
        <v>159</v>
      </c>
      <c r="G223" s="44" t="str">
        <f t="shared" ref="G223:G226" si="45">IF(LEN(C223)&gt;0,VLOOKUP(C223,PROCESO2,3,0),"")</f>
        <v>Subdirector Administrativo</v>
      </c>
      <c r="H223" s="184">
        <v>44257</v>
      </c>
      <c r="I223" s="184">
        <v>44281</v>
      </c>
      <c r="J223" s="61"/>
      <c r="K223" s="61"/>
      <c r="L223" s="61"/>
      <c r="M223" s="61"/>
      <c r="N223" s="61"/>
      <c r="O223" s="61"/>
      <c r="P223" s="61"/>
      <c r="Q223" s="61"/>
      <c r="R223" s="61"/>
      <c r="S223" s="61"/>
      <c r="T223" s="61"/>
      <c r="U223" s="61"/>
      <c r="V223" s="142" t="s">
        <v>334</v>
      </c>
      <c r="W223" s="212">
        <v>2.5000000000000001E-3</v>
      </c>
      <c r="X223" s="137"/>
      <c r="Y223" s="80"/>
      <c r="Z223" s="72"/>
      <c r="AA223" s="142"/>
      <c r="AB223" s="70">
        <f t="shared" ref="AB223:AB225" ca="1" si="46">IF(ISERROR(VLOOKUP(AA223,INDIRECT(VLOOKUP(A223,ACTA,2,0)&amp;"A"),2,0))=TRUE,0,W223*(VLOOKUP(AA223,INDIRECT(VLOOKUP(A223,ACTA,2,0)&amp;"A"),2,0)))</f>
        <v>0</v>
      </c>
      <c r="AC223" s="70">
        <f t="shared" ref="AC223:AC225" ca="1" si="47">+W223-AB223</f>
        <v>2.5000000000000001E-3</v>
      </c>
      <c r="AD223" s="186">
        <f t="shared" si="31"/>
        <v>3</v>
      </c>
      <c r="AE223" s="187">
        <f t="shared" si="32"/>
        <v>24</v>
      </c>
      <c r="AF223" s="187">
        <f t="shared" si="33"/>
        <v>-2</v>
      </c>
      <c r="AG223" s="188">
        <f t="shared" si="34"/>
        <v>-8.3333333333333329E-2</v>
      </c>
      <c r="AH223" s="189">
        <f t="shared" si="35"/>
        <v>-2.0833333333333332E-4</v>
      </c>
      <c r="AI223" s="188">
        <f t="shared" ca="1" si="36"/>
        <v>2.0833333333333332E-4</v>
      </c>
      <c r="AJ223" s="190"/>
    </row>
    <row r="224" spans="1:36" s="23" customFormat="1" ht="42" customHeight="1" x14ac:dyDescent="0.25">
      <c r="A224" s="142" t="s">
        <v>43</v>
      </c>
      <c r="B224" s="143" t="s">
        <v>305</v>
      </c>
      <c r="C224" s="142" t="s">
        <v>90</v>
      </c>
      <c r="D224" s="142" t="s">
        <v>97</v>
      </c>
      <c r="E224" s="142" t="s">
        <v>165</v>
      </c>
      <c r="F224" s="145" t="s">
        <v>239</v>
      </c>
      <c r="G224" s="44" t="str">
        <f t="shared" si="45"/>
        <v>Asesor de Control Interno</v>
      </c>
      <c r="H224" s="184">
        <v>44263</v>
      </c>
      <c r="I224" s="184">
        <v>44301</v>
      </c>
      <c r="J224" s="61"/>
      <c r="K224" s="61"/>
      <c r="L224" s="61"/>
      <c r="M224" s="61"/>
      <c r="N224" s="61"/>
      <c r="O224" s="61"/>
      <c r="P224" s="61"/>
      <c r="Q224" s="61"/>
      <c r="R224" s="61"/>
      <c r="S224" s="61"/>
      <c r="T224" s="61"/>
      <c r="U224" s="61"/>
      <c r="V224" s="142" t="s">
        <v>334</v>
      </c>
      <c r="W224" s="212">
        <v>2.5000000000000001E-3</v>
      </c>
      <c r="X224" s="137"/>
      <c r="Y224" s="80"/>
      <c r="Z224" s="72"/>
      <c r="AA224" s="142"/>
      <c r="AB224" s="70">
        <f t="shared" ca="1" si="46"/>
        <v>0</v>
      </c>
      <c r="AC224" s="70">
        <f t="shared" ca="1" si="47"/>
        <v>2.5000000000000001E-3</v>
      </c>
      <c r="AD224" s="186">
        <f t="shared" si="31"/>
        <v>4</v>
      </c>
      <c r="AE224" s="187">
        <f t="shared" si="32"/>
        <v>38</v>
      </c>
      <c r="AF224" s="187">
        <f t="shared" si="33"/>
        <v>-8</v>
      </c>
      <c r="AG224" s="188">
        <f t="shared" si="34"/>
        <v>-0.21052631578947367</v>
      </c>
      <c r="AH224" s="189">
        <f t="shared" si="35"/>
        <v>-5.263157894736842E-4</v>
      </c>
      <c r="AI224" s="188">
        <f t="shared" ca="1" si="36"/>
        <v>5.263157894736842E-4</v>
      </c>
      <c r="AJ224" s="190"/>
    </row>
    <row r="225" spans="1:36" s="23" customFormat="1" ht="42" customHeight="1" x14ac:dyDescent="0.25">
      <c r="A225" s="142" t="s">
        <v>45</v>
      </c>
      <c r="B225" s="143" t="s">
        <v>441</v>
      </c>
      <c r="C225" s="142" t="s">
        <v>90</v>
      </c>
      <c r="D225" s="142" t="s">
        <v>97</v>
      </c>
      <c r="E225" s="142" t="s">
        <v>165</v>
      </c>
      <c r="F225" s="144" t="s">
        <v>203</v>
      </c>
      <c r="G225" s="44" t="str">
        <f t="shared" ref="G225" si="48">IF(LEN(C225)&gt;0,VLOOKUP(C225,PROCESO2,3,0),"")</f>
        <v>Asesor de Control Interno</v>
      </c>
      <c r="H225" s="184">
        <v>44410</v>
      </c>
      <c r="I225" s="184">
        <v>44428</v>
      </c>
      <c r="J225" s="61"/>
      <c r="K225" s="61"/>
      <c r="L225" s="61"/>
      <c r="M225" s="61"/>
      <c r="N225" s="61"/>
      <c r="O225" s="61"/>
      <c r="P225" s="61"/>
      <c r="Q225" s="61"/>
      <c r="R225" s="61"/>
      <c r="S225" s="61"/>
      <c r="T225" s="61"/>
      <c r="U225" s="61"/>
      <c r="V225" s="142" t="s">
        <v>332</v>
      </c>
      <c r="W225" s="212">
        <v>1E-3</v>
      </c>
      <c r="X225" s="137"/>
      <c r="Y225" s="80"/>
      <c r="Z225" s="72"/>
      <c r="AA225" s="142"/>
      <c r="AB225" s="70">
        <f t="shared" ca="1" si="46"/>
        <v>0</v>
      </c>
      <c r="AC225" s="70">
        <f t="shared" ca="1" si="47"/>
        <v>1E-3</v>
      </c>
      <c r="AD225" s="186">
        <f t="shared" si="31"/>
        <v>8</v>
      </c>
      <c r="AE225" s="187">
        <f t="shared" si="32"/>
        <v>18</v>
      </c>
      <c r="AF225" s="187">
        <f t="shared" si="33"/>
        <v>-155</v>
      </c>
      <c r="AG225" s="188">
        <f t="shared" si="34"/>
        <v>-8.6111111111111107</v>
      </c>
      <c r="AH225" s="189">
        <f t="shared" si="35"/>
        <v>-8.611111111111111E-3</v>
      </c>
      <c r="AI225" s="188">
        <f t="shared" ca="1" si="36"/>
        <v>8.611111111111111E-3</v>
      </c>
      <c r="AJ225" s="190"/>
    </row>
    <row r="226" spans="1:36" s="23" customFormat="1" ht="42" customHeight="1" x14ac:dyDescent="0.25">
      <c r="A226" s="142" t="s">
        <v>45</v>
      </c>
      <c r="B226" s="143" t="s">
        <v>440</v>
      </c>
      <c r="C226" s="142" t="s">
        <v>90</v>
      </c>
      <c r="D226" s="142" t="s">
        <v>97</v>
      </c>
      <c r="E226" s="142" t="s">
        <v>165</v>
      </c>
      <c r="F226" s="144" t="s">
        <v>203</v>
      </c>
      <c r="G226" s="44" t="str">
        <f t="shared" si="45"/>
        <v>Asesor de Control Interno</v>
      </c>
      <c r="H226" s="184">
        <v>44533</v>
      </c>
      <c r="I226" s="184">
        <v>44545</v>
      </c>
      <c r="J226" s="61"/>
      <c r="K226" s="61"/>
      <c r="L226" s="61"/>
      <c r="M226" s="61"/>
      <c r="N226" s="61"/>
      <c r="O226" s="61"/>
      <c r="P226" s="61"/>
      <c r="Q226" s="61"/>
      <c r="R226" s="61"/>
      <c r="S226" s="61"/>
      <c r="T226" s="61"/>
      <c r="U226" s="61"/>
      <c r="V226" s="142" t="s">
        <v>332</v>
      </c>
      <c r="W226" s="212">
        <v>1E-3</v>
      </c>
      <c r="X226" s="137"/>
      <c r="Y226" s="80"/>
      <c r="Z226" s="72"/>
      <c r="AA226" s="142"/>
      <c r="AB226" s="70">
        <f t="shared" ca="1" si="43"/>
        <v>0</v>
      </c>
      <c r="AC226" s="70">
        <f t="shared" ca="1" si="44"/>
        <v>1E-3</v>
      </c>
      <c r="AD226" s="186">
        <f t="shared" si="31"/>
        <v>12</v>
      </c>
      <c r="AE226" s="187">
        <f t="shared" si="32"/>
        <v>12</v>
      </c>
      <c r="AF226" s="187">
        <f t="shared" si="33"/>
        <v>-278</v>
      </c>
      <c r="AG226" s="188">
        <f t="shared" si="34"/>
        <v>-23.166666666666668</v>
      </c>
      <c r="AH226" s="189">
        <f t="shared" si="35"/>
        <v>-2.3166666666666669E-2</v>
      </c>
      <c r="AI226" s="188">
        <f t="shared" ca="1" si="36"/>
        <v>2.3166666666666669E-2</v>
      </c>
      <c r="AJ226" s="190"/>
    </row>
    <row r="227" spans="1:36" ht="15.6" x14ac:dyDescent="0.25">
      <c r="B227" s="71"/>
      <c r="I227" s="82"/>
      <c r="W227" s="216">
        <f>SUBTOTAL(9,W19:W226)</f>
        <v>0.99999999999999967</v>
      </c>
      <c r="X227" s="82"/>
      <c r="Y227" s="52"/>
      <c r="Z227" s="52"/>
      <c r="AB227" s="110">
        <f ca="1">SUBTOTAL(9,AB19:AB226)</f>
        <v>0.22540000000000007</v>
      </c>
      <c r="AC227" s="110">
        <f ca="1">SUBTOTAL(9,AC19:AC226)</f>
        <v>0.77459999999999962</v>
      </c>
      <c r="AD227" s="111"/>
      <c r="AE227" s="63"/>
      <c r="AF227" s="22"/>
      <c r="AG227" s="74"/>
      <c r="AH227" s="110">
        <f>SUBTOTAL(9,AH19:AH226)</f>
        <v>-5.1773874385170204</v>
      </c>
    </row>
    <row r="228" spans="1:36" x14ac:dyDescent="0.25">
      <c r="A228" s="181" t="s">
        <v>386</v>
      </c>
      <c r="B228" s="71"/>
      <c r="AD228" s="1"/>
    </row>
    <row r="229" spans="1:36" ht="27" customHeight="1" x14ac:dyDescent="0.25">
      <c r="A229" s="182" t="s">
        <v>125</v>
      </c>
      <c r="B229" s="181" t="s">
        <v>387</v>
      </c>
      <c r="I229" s="82"/>
      <c r="W229" s="82"/>
      <c r="X229" s="82"/>
      <c r="Y229" s="52"/>
      <c r="Z229" s="52"/>
      <c r="AB229" s="75"/>
      <c r="AC229" s="113"/>
      <c r="AD229" s="115"/>
      <c r="AE229" s="114"/>
      <c r="AF229" s="114"/>
      <c r="AG229" s="75"/>
      <c r="AH229" s="75"/>
      <c r="AI229" s="75"/>
      <c r="AJ229" s="51"/>
    </row>
    <row r="230" spans="1:36" ht="23.25" customHeight="1" x14ac:dyDescent="0.25">
      <c r="A230" s="182" t="s">
        <v>18</v>
      </c>
      <c r="B230" s="198" t="s">
        <v>439</v>
      </c>
      <c r="W230" s="120"/>
      <c r="X230" s="120"/>
      <c r="Y230" s="150"/>
      <c r="Z230" s="151"/>
      <c r="AA230" s="151"/>
      <c r="AB230" s="75"/>
      <c r="AC230" s="151"/>
      <c r="AD230" s="112"/>
      <c r="AF230" s="34"/>
      <c r="AG230" s="34"/>
      <c r="AH230" s="75"/>
      <c r="AI230" s="34"/>
    </row>
    <row r="231" spans="1:36" ht="23.25" customHeight="1" x14ac:dyDescent="0.25">
      <c r="A231" s="24" t="s">
        <v>148</v>
      </c>
      <c r="B231" s="121"/>
      <c r="C231" s="121"/>
      <c r="D231" s="121"/>
      <c r="E231" s="121"/>
      <c r="F231" s="121"/>
      <c r="G231" s="121"/>
      <c r="W231" s="120"/>
      <c r="X231" s="120"/>
      <c r="Y231" s="150"/>
      <c r="Z231" s="151"/>
      <c r="AA231" s="151"/>
      <c r="AB231" s="153"/>
      <c r="AC231" s="151"/>
      <c r="AH231" s="153"/>
      <c r="AI231" s="76"/>
    </row>
    <row r="232" spans="1:36" x14ac:dyDescent="0.25">
      <c r="B232" s="53"/>
      <c r="E232" s="97"/>
      <c r="F232" s="119"/>
      <c r="W232" s="77"/>
      <c r="X232" s="77"/>
      <c r="Y232" s="217" t="s">
        <v>485</v>
      </c>
      <c r="Z232" s="156"/>
      <c r="AA232" s="156"/>
      <c r="AB232" s="156"/>
      <c r="AC232" s="156"/>
      <c r="AD232" s="157"/>
      <c r="AE232" s="157"/>
      <c r="AF232" s="157"/>
    </row>
    <row r="233" spans="1:36" x14ac:dyDescent="0.25">
      <c r="E233" s="97"/>
      <c r="F233" s="119"/>
      <c r="W233" s="77"/>
      <c r="X233" s="77"/>
      <c r="Y233" s="217" t="s">
        <v>486</v>
      </c>
      <c r="Z233" s="156"/>
      <c r="AA233" s="156"/>
      <c r="AB233" s="156"/>
      <c r="AC233" s="156"/>
      <c r="AD233" s="157"/>
      <c r="AE233" s="157"/>
      <c r="AF233" s="157"/>
    </row>
    <row r="234" spans="1:36" x14ac:dyDescent="0.25">
      <c r="E234" s="97"/>
      <c r="F234" s="118"/>
      <c r="G234" s="116"/>
      <c r="H234" s="116"/>
      <c r="I234" s="116"/>
      <c r="J234" s="116"/>
      <c r="K234" s="116"/>
      <c r="L234" s="116"/>
      <c r="M234" s="116"/>
      <c r="N234" s="116"/>
      <c r="O234" s="116"/>
      <c r="P234" s="116"/>
      <c r="Q234" s="116"/>
      <c r="R234" s="116"/>
      <c r="S234" s="116"/>
      <c r="T234" s="116"/>
      <c r="U234" s="116"/>
      <c r="V234" s="116"/>
      <c r="W234" s="116"/>
      <c r="X234" s="116"/>
      <c r="Y234" s="158" t="s">
        <v>487</v>
      </c>
      <c r="Z234" s="158"/>
      <c r="AA234" s="158"/>
      <c r="AB234" s="158"/>
      <c r="AC234" s="158"/>
      <c r="AD234" s="158"/>
      <c r="AE234" s="157"/>
      <c r="AF234" s="157"/>
    </row>
    <row r="235" spans="1:36" x14ac:dyDescent="0.25">
      <c r="Y235" s="159" t="s">
        <v>488</v>
      </c>
      <c r="Z235" s="159"/>
      <c r="AA235" s="159"/>
      <c r="AB235" s="159"/>
      <c r="AC235" s="159"/>
      <c r="AD235" s="160"/>
      <c r="AE235" s="157"/>
      <c r="AF235" s="157"/>
      <c r="AG235" s="23"/>
      <c r="AH235" s="23"/>
      <c r="AI235" s="23"/>
      <c r="AJ235" s="101"/>
    </row>
    <row r="236" spans="1:36" x14ac:dyDescent="0.25">
      <c r="Y236" s="161" t="s">
        <v>385</v>
      </c>
      <c r="Z236" s="161"/>
      <c r="AA236" s="161"/>
      <c r="AB236" s="161"/>
      <c r="AC236" s="161"/>
      <c r="AD236" s="160"/>
      <c r="AE236" s="157"/>
      <c r="AF236" s="157"/>
      <c r="AG236" s="102"/>
      <c r="AH236" s="23"/>
      <c r="AI236" s="23"/>
      <c r="AJ236" s="101"/>
    </row>
    <row r="237" spans="1:36" x14ac:dyDescent="0.25">
      <c r="Y237" s="217" t="s">
        <v>489</v>
      </c>
      <c r="Z237" s="156"/>
      <c r="AA237" s="156"/>
      <c r="AB237" s="156"/>
      <c r="AC237" s="156"/>
      <c r="AD237" s="157"/>
      <c r="AE237" s="162"/>
      <c r="AF237" s="163" t="s">
        <v>383</v>
      </c>
      <c r="AG237" s="102"/>
      <c r="AH237" s="23"/>
      <c r="AI237" s="23"/>
      <c r="AJ237" s="101"/>
    </row>
    <row r="238" spans="1:36" x14ac:dyDescent="0.25">
      <c r="Y238" s="245" t="s">
        <v>490</v>
      </c>
      <c r="Z238" s="245"/>
      <c r="AA238" s="245"/>
      <c r="AB238" s="245"/>
      <c r="AC238" s="245"/>
      <c r="AD238" s="246"/>
      <c r="AE238" s="162"/>
      <c r="AF238" s="164">
        <v>0.20799999999999999</v>
      </c>
      <c r="AG238" s="102"/>
      <c r="AH238" s="23"/>
      <c r="AI238" s="23"/>
      <c r="AJ238" s="101"/>
    </row>
    <row r="239" spans="1:36" x14ac:dyDescent="0.25">
      <c r="Y239" s="245"/>
      <c r="Z239" s="245"/>
      <c r="AA239" s="245"/>
      <c r="AB239" s="245"/>
      <c r="AC239" s="245"/>
      <c r="AD239" s="246"/>
      <c r="AE239" s="162"/>
      <c r="AF239" s="165"/>
      <c r="AG239" s="102"/>
      <c r="AH239" s="23"/>
      <c r="AI239" s="23"/>
      <c r="AJ239" s="101"/>
    </row>
    <row r="240" spans="1:36" x14ac:dyDescent="0.25">
      <c r="Y240" s="247" t="s">
        <v>493</v>
      </c>
      <c r="Z240" s="247"/>
      <c r="AA240" s="247"/>
      <c r="AB240" s="247"/>
      <c r="AC240" s="247"/>
      <c r="AD240" s="246"/>
      <c r="AE240" s="157"/>
      <c r="AF240" s="166">
        <v>1.6799999999999999E-2</v>
      </c>
      <c r="AG240" s="23"/>
      <c r="AH240" s="23"/>
      <c r="AI240" s="23"/>
      <c r="AJ240" s="101"/>
    </row>
    <row r="241" spans="8:36" x14ac:dyDescent="0.25">
      <c r="Y241" s="247"/>
      <c r="Z241" s="247"/>
      <c r="AA241" s="247"/>
      <c r="AB241" s="247"/>
      <c r="AC241" s="247"/>
      <c r="AD241" s="246"/>
      <c r="AE241" s="103"/>
      <c r="AF241" s="167">
        <f>SUM(AF238:AF240)</f>
        <v>0.2248</v>
      </c>
      <c r="AG241" s="23"/>
      <c r="AH241" s="23"/>
      <c r="AI241" s="23"/>
      <c r="AJ241" s="101"/>
    </row>
    <row r="242" spans="8:36" x14ac:dyDescent="0.25">
      <c r="Y242" s="247"/>
      <c r="Z242" s="247"/>
      <c r="AA242" s="247"/>
      <c r="AB242" s="247"/>
      <c r="AC242" s="247"/>
      <c r="AD242" s="246"/>
      <c r="AE242" s="103"/>
      <c r="AF242" s="105"/>
      <c r="AG242" s="23"/>
      <c r="AH242" s="23"/>
      <c r="AI242" s="23"/>
      <c r="AJ242" s="101"/>
    </row>
    <row r="243" spans="8:36" x14ac:dyDescent="0.25">
      <c r="Y243" s="247"/>
      <c r="Z243" s="247"/>
      <c r="AA243" s="247"/>
      <c r="AB243" s="247"/>
      <c r="AC243" s="247"/>
      <c r="AD243" s="246"/>
      <c r="AE243" s="104"/>
      <c r="AF243" s="168"/>
      <c r="AG243" s="23"/>
      <c r="AH243" s="106"/>
      <c r="AI243" s="23"/>
      <c r="AJ243" s="101"/>
    </row>
    <row r="244" spans="8:36" x14ac:dyDescent="0.25">
      <c r="Y244" s="247"/>
      <c r="Z244" s="247"/>
      <c r="AA244" s="247"/>
      <c r="AB244" s="247"/>
      <c r="AC244" s="247"/>
      <c r="AD244" s="246"/>
      <c r="AE244" s="169"/>
      <c r="AF244" s="170"/>
      <c r="AG244" s="23"/>
      <c r="AH244" s="51"/>
      <c r="AI244" s="23"/>
      <c r="AJ244" s="101"/>
    </row>
    <row r="245" spans="8:36" ht="14.4" x14ac:dyDescent="0.3">
      <c r="Y245" s="248" t="s">
        <v>491</v>
      </c>
      <c r="Z245" s="248"/>
      <c r="AA245" s="248"/>
      <c r="AB245" s="248"/>
      <c r="AC245" s="248"/>
      <c r="AD245" s="248"/>
      <c r="AE245" s="171"/>
      <c r="AF245" s="163" t="s">
        <v>384</v>
      </c>
      <c r="AG245" s="23"/>
      <c r="AH245" s="23"/>
      <c r="AI245" s="23"/>
      <c r="AJ245" s="101"/>
    </row>
    <row r="246" spans="8:36" x14ac:dyDescent="0.25">
      <c r="Y246" s="248"/>
      <c r="Z246" s="248"/>
      <c r="AA246" s="248"/>
      <c r="AB246" s="248"/>
      <c r="AC246" s="248"/>
      <c r="AD246" s="248"/>
      <c r="AE246" s="162"/>
      <c r="AF246" s="172">
        <v>0.20799999999999999</v>
      </c>
      <c r="AG246" s="23"/>
      <c r="AH246" s="106"/>
      <c r="AI246" s="23"/>
      <c r="AJ246" s="101"/>
    </row>
    <row r="247" spans="8:36" x14ac:dyDescent="0.25">
      <c r="Y247" s="218" t="s">
        <v>494</v>
      </c>
      <c r="Z247" s="173"/>
      <c r="AA247" s="173"/>
      <c r="AB247" s="173"/>
      <c r="AC247" s="173"/>
      <c r="AD247" s="157"/>
      <c r="AE247" s="170"/>
      <c r="AF247" s="174">
        <v>0</v>
      </c>
      <c r="AG247" s="23"/>
      <c r="AH247" s="102"/>
      <c r="AI247" s="23"/>
      <c r="AJ247" s="101"/>
    </row>
    <row r="248" spans="8:36" x14ac:dyDescent="0.25">
      <c r="Y248" s="218" t="s">
        <v>492</v>
      </c>
      <c r="Z248" s="175"/>
      <c r="AA248" s="175"/>
      <c r="AB248" s="175"/>
      <c r="AC248" s="175"/>
      <c r="AD248" s="157"/>
      <c r="AE248" s="157"/>
      <c r="AF248" s="176"/>
      <c r="AG248" s="23"/>
      <c r="AH248" s="23"/>
      <c r="AI248" s="23"/>
      <c r="AJ248" s="101"/>
    </row>
    <row r="249" spans="8:36" x14ac:dyDescent="0.25">
      <c r="Y249" s="175"/>
      <c r="Z249" s="175"/>
      <c r="AA249" s="175"/>
      <c r="AB249" s="175"/>
      <c r="AC249" s="175"/>
      <c r="AD249" s="157"/>
      <c r="AE249" s="107"/>
      <c r="AF249" s="177">
        <v>1.6799999999999999E-2</v>
      </c>
      <c r="AG249" s="23"/>
      <c r="AH249" s="23"/>
      <c r="AI249" s="23"/>
      <c r="AJ249" s="101"/>
    </row>
    <row r="250" spans="8:36" x14ac:dyDescent="0.25">
      <c r="Y250" s="218" t="s">
        <v>495</v>
      </c>
      <c r="Z250" s="173"/>
      <c r="AA250" s="173"/>
      <c r="AB250" s="173"/>
      <c r="AC250" s="173"/>
      <c r="AD250" s="157"/>
      <c r="AE250" s="108"/>
      <c r="AF250" s="178"/>
      <c r="AG250" s="23"/>
      <c r="AH250" s="23"/>
      <c r="AI250" s="23"/>
      <c r="AJ250" s="101"/>
    </row>
    <row r="251" spans="8:36" x14ac:dyDescent="0.25">
      <c r="Y251" s="173"/>
      <c r="Z251" s="175"/>
      <c r="AA251" s="175"/>
      <c r="AB251" s="175"/>
      <c r="AC251" s="175"/>
      <c r="AD251" s="157"/>
      <c r="AE251" s="104"/>
      <c r="AF251" s="167">
        <f>SUM(AF246:AF249)</f>
        <v>0.2248</v>
      </c>
      <c r="AG251" s="23"/>
      <c r="AH251" s="23"/>
      <c r="AI251" s="23"/>
      <c r="AJ251" s="101"/>
    </row>
    <row r="252" spans="8:36" ht="14.4" thickBot="1" x14ac:dyDescent="0.3">
      <c r="H252" s="197"/>
      <c r="I252" s="197"/>
      <c r="Y252" s="175"/>
      <c r="Z252" s="175"/>
      <c r="AA252" s="175"/>
      <c r="AB252" s="175"/>
      <c r="AC252" s="175"/>
      <c r="AD252" s="157"/>
      <c r="AE252" s="109"/>
      <c r="AF252" s="157"/>
      <c r="AG252" s="23"/>
      <c r="AH252" s="23"/>
      <c r="AI252" s="23"/>
      <c r="AJ252" s="101"/>
    </row>
    <row r="253" spans="8:36" x14ac:dyDescent="0.25">
      <c r="Y253" s="173"/>
      <c r="Z253" s="173"/>
      <c r="AA253" s="173"/>
      <c r="AB253" s="173"/>
      <c r="AC253" s="173"/>
      <c r="AD253" s="157"/>
      <c r="AE253" s="157"/>
      <c r="AF253" s="179" t="s">
        <v>220</v>
      </c>
      <c r="AG253" s="23"/>
      <c r="AH253" s="23"/>
      <c r="AI253" s="23"/>
      <c r="AJ253" s="101"/>
    </row>
    <row r="254" spans="8:36" ht="14.4" thickBot="1" x14ac:dyDescent="0.3">
      <c r="Y254" s="157"/>
      <c r="Z254" s="157"/>
      <c r="AA254" s="157"/>
      <c r="AB254" s="157"/>
      <c r="AC254" s="157"/>
      <c r="AD254" s="157"/>
      <c r="AE254" s="105"/>
      <c r="AF254" s="180">
        <f>AF251/AF241</f>
        <v>1</v>
      </c>
      <c r="AG254" s="23"/>
      <c r="AH254" s="23"/>
      <c r="AI254" s="23"/>
      <c r="AJ254" s="101"/>
    </row>
    <row r="255" spans="8:36" x14ac:dyDescent="0.25">
      <c r="AD255" s="64"/>
      <c r="AE255" s="23"/>
      <c r="AF255" s="23"/>
      <c r="AG255" s="23"/>
      <c r="AH255" s="23"/>
      <c r="AI255" s="23"/>
      <c r="AJ255" s="101"/>
    </row>
    <row r="256" spans="8:36" x14ac:dyDescent="0.25">
      <c r="AD256" s="64"/>
      <c r="AE256" s="23"/>
      <c r="AF256" s="23"/>
      <c r="AG256" s="23"/>
      <c r="AH256" s="23"/>
      <c r="AI256" s="23"/>
      <c r="AJ256" s="101"/>
    </row>
    <row r="257" spans="25:36" ht="23.25" customHeight="1" x14ac:dyDescent="0.25">
      <c r="AD257" s="64"/>
      <c r="AE257" s="23"/>
      <c r="AF257" s="23"/>
      <c r="AG257" s="23"/>
      <c r="AH257" s="23"/>
      <c r="AI257" s="23"/>
      <c r="AJ257" s="101"/>
    </row>
    <row r="258" spans="25:36" ht="23.25" customHeight="1" x14ac:dyDescent="0.25">
      <c r="AD258" s="64"/>
      <c r="AE258" s="23"/>
      <c r="AF258" s="23"/>
      <c r="AG258" s="23"/>
      <c r="AH258" s="23"/>
      <c r="AI258" s="23"/>
      <c r="AJ258" s="101"/>
    </row>
    <row r="259" spans="25:36" x14ac:dyDescent="0.25">
      <c r="Y259" s="23"/>
      <c r="Z259" s="23"/>
      <c r="AA259" s="23"/>
      <c r="AB259" s="23"/>
      <c r="AC259" s="23"/>
      <c r="AD259" s="64"/>
      <c r="AE259" s="23"/>
      <c r="AF259" s="23"/>
      <c r="AG259" s="23"/>
      <c r="AH259" s="23"/>
      <c r="AI259" s="23"/>
      <c r="AJ259" s="101"/>
    </row>
    <row r="260" spans="25:36" x14ac:dyDescent="0.25">
      <c r="Y260" s="23"/>
      <c r="Z260" s="23"/>
      <c r="AA260" s="23"/>
      <c r="AB260" s="23"/>
      <c r="AC260" s="23"/>
      <c r="AD260" s="64"/>
      <c r="AE260" s="23"/>
      <c r="AF260" s="23"/>
      <c r="AG260" s="23"/>
      <c r="AH260" s="23"/>
      <c r="AI260" s="23"/>
      <c r="AJ260" s="101"/>
    </row>
    <row r="261" spans="25:36" x14ac:dyDescent="0.25">
      <c r="Y261" s="23"/>
      <c r="Z261" s="23"/>
      <c r="AA261" s="23"/>
      <c r="AB261" s="23"/>
      <c r="AC261" s="23"/>
      <c r="AD261" s="64"/>
      <c r="AE261" s="23"/>
      <c r="AF261" s="23"/>
      <c r="AG261" s="23"/>
      <c r="AH261" s="23"/>
      <c r="AI261" s="23"/>
      <c r="AJ261" s="101"/>
    </row>
    <row r="262" spans="25:36" x14ac:dyDescent="0.25">
      <c r="Y262" s="23"/>
      <c r="Z262" s="23"/>
      <c r="AA262" s="23"/>
      <c r="AB262" s="23"/>
      <c r="AC262" s="23"/>
      <c r="AD262" s="64"/>
      <c r="AE262" s="23"/>
      <c r="AF262" s="23"/>
      <c r="AG262" s="23"/>
      <c r="AH262" s="23"/>
      <c r="AI262" s="23"/>
      <c r="AJ262" s="101"/>
    </row>
    <row r="263" spans="25:36" x14ac:dyDescent="0.25">
      <c r="Y263" s="23"/>
      <c r="Z263" s="23"/>
      <c r="AA263" s="23"/>
      <c r="AB263" s="23"/>
      <c r="AC263" s="23"/>
      <c r="AD263" s="64"/>
      <c r="AE263" s="23"/>
      <c r="AF263" s="23"/>
      <c r="AG263" s="23"/>
      <c r="AH263" s="23"/>
      <c r="AI263" s="23"/>
      <c r="AJ263" s="101"/>
    </row>
    <row r="264" spans="25:36" x14ac:dyDescent="0.25">
      <c r="Y264" s="23"/>
      <c r="Z264" s="23"/>
      <c r="AA264" s="23"/>
      <c r="AB264" s="23"/>
      <c r="AC264" s="23"/>
      <c r="AD264" s="64"/>
      <c r="AE264" s="23"/>
      <c r="AF264" s="23"/>
      <c r="AG264" s="23"/>
      <c r="AH264" s="23"/>
      <c r="AI264" s="23"/>
      <c r="AJ264" s="101"/>
    </row>
    <row r="265" spans="25:36" x14ac:dyDescent="0.25">
      <c r="Y265" s="23"/>
      <c r="Z265" s="23"/>
      <c r="AA265" s="23"/>
      <c r="AB265" s="23"/>
      <c r="AC265" s="23"/>
      <c r="AD265" s="64"/>
      <c r="AE265" s="23"/>
      <c r="AF265" s="23"/>
      <c r="AG265" s="23"/>
      <c r="AH265" s="23"/>
      <c r="AI265" s="23"/>
      <c r="AJ265" s="101"/>
    </row>
    <row r="266" spans="25:36" x14ac:dyDescent="0.25">
      <c r="Y266" s="23"/>
      <c r="Z266" s="23"/>
      <c r="AA266" s="23"/>
      <c r="AB266" s="23"/>
      <c r="AC266" s="23"/>
      <c r="AD266" s="64"/>
      <c r="AE266" s="23"/>
      <c r="AF266" s="23"/>
      <c r="AG266" s="23"/>
      <c r="AH266" s="23"/>
      <c r="AI266" s="23"/>
      <c r="AJ266" s="101"/>
    </row>
    <row r="267" spans="25:36" x14ac:dyDescent="0.25">
      <c r="Y267" s="23"/>
      <c r="Z267" s="23"/>
      <c r="AA267" s="23"/>
      <c r="AB267" s="23"/>
      <c r="AC267" s="23"/>
      <c r="AD267" s="64"/>
      <c r="AE267" s="23"/>
      <c r="AF267" s="23"/>
      <c r="AG267" s="23"/>
      <c r="AH267" s="23"/>
      <c r="AI267" s="23"/>
      <c r="AJ267" s="101"/>
    </row>
    <row r="268" spans="25:36" x14ac:dyDescent="0.25">
      <c r="Y268" s="23"/>
      <c r="Z268" s="23"/>
      <c r="AA268" s="23"/>
      <c r="AB268" s="23"/>
      <c r="AC268" s="23"/>
      <c r="AD268" s="64"/>
      <c r="AE268" s="23"/>
      <c r="AF268" s="23"/>
      <c r="AG268" s="23"/>
      <c r="AH268" s="23"/>
      <c r="AI268" s="23"/>
      <c r="AJ268" s="101"/>
    </row>
    <row r="269" spans="25:36" x14ac:dyDescent="0.25">
      <c r="Y269" s="23"/>
      <c r="Z269" s="23"/>
      <c r="AA269" s="23"/>
      <c r="AB269" s="23"/>
      <c r="AC269" s="23"/>
      <c r="AD269" s="64"/>
      <c r="AE269" s="23"/>
      <c r="AF269" s="23"/>
      <c r="AG269" s="23"/>
      <c r="AH269" s="23"/>
      <c r="AI269" s="23"/>
      <c r="AJ269" s="101"/>
    </row>
    <row r="270" spans="25:36" x14ac:dyDescent="0.25">
      <c r="Y270" s="23"/>
      <c r="Z270" s="23"/>
      <c r="AA270" s="23"/>
      <c r="AB270" s="23"/>
      <c r="AC270" s="23"/>
      <c r="AD270" s="64"/>
      <c r="AE270" s="23"/>
      <c r="AF270" s="23"/>
      <c r="AG270" s="23"/>
      <c r="AH270" s="23"/>
      <c r="AI270" s="23"/>
      <c r="AJ270" s="101"/>
    </row>
    <row r="271" spans="25:36" x14ac:dyDescent="0.25">
      <c r="Y271" s="23"/>
      <c r="Z271" s="23"/>
      <c r="AA271" s="23"/>
      <c r="AB271" s="23"/>
      <c r="AC271" s="23"/>
      <c r="AD271" s="64"/>
      <c r="AE271" s="23"/>
      <c r="AF271" s="23"/>
      <c r="AG271" s="23"/>
      <c r="AH271" s="23"/>
      <c r="AI271" s="23"/>
      <c r="AJ271" s="101"/>
    </row>
    <row r="272" spans="25:36" x14ac:dyDescent="0.25">
      <c r="Y272" s="23"/>
      <c r="Z272" s="23"/>
      <c r="AA272" s="23"/>
      <c r="AB272" s="23"/>
      <c r="AC272" s="23"/>
      <c r="AD272" s="64"/>
      <c r="AE272" s="23"/>
      <c r="AF272" s="23"/>
      <c r="AG272" s="23"/>
      <c r="AH272" s="23"/>
      <c r="AI272" s="23"/>
      <c r="AJ272" s="101"/>
    </row>
    <row r="273" spans="25:36" x14ac:dyDescent="0.25">
      <c r="Y273" s="23"/>
      <c r="Z273" s="23"/>
      <c r="AA273" s="23"/>
      <c r="AB273" s="23"/>
      <c r="AC273" s="23"/>
      <c r="AD273" s="64"/>
      <c r="AE273" s="23"/>
      <c r="AF273" s="23"/>
      <c r="AG273" s="23"/>
      <c r="AH273" s="23"/>
      <c r="AI273" s="23"/>
      <c r="AJ273" s="101"/>
    </row>
    <row r="274" spans="25:36" x14ac:dyDescent="0.25">
      <c r="Y274" s="23"/>
      <c r="Z274" s="23"/>
      <c r="AA274" s="23"/>
      <c r="AB274" s="23"/>
      <c r="AC274" s="23"/>
      <c r="AD274" s="64"/>
      <c r="AE274" s="23"/>
      <c r="AF274" s="23"/>
      <c r="AG274" s="23"/>
      <c r="AH274" s="23"/>
      <c r="AI274" s="23"/>
      <c r="AJ274" s="101"/>
    </row>
    <row r="1047359" spans="24:24" x14ac:dyDescent="0.25">
      <c r="X1047359" s="45"/>
    </row>
  </sheetData>
  <autoFilter ref="A18:AJ251"/>
  <sortState ref="A19:AJ218">
    <sortCondition ref="H19:H218"/>
    <sortCondition ref="I19:I218"/>
    <sortCondition ref="B19:B218"/>
    <sortCondition ref="F19:F218"/>
  </sortState>
  <dataConsolidate/>
  <mergeCells count="46">
    <mergeCell ref="H17:I17"/>
    <mergeCell ref="J17:U17"/>
    <mergeCell ref="X17:Z17"/>
    <mergeCell ref="V14:W14"/>
    <mergeCell ref="V13:W13"/>
    <mergeCell ref="R13:U13"/>
    <mergeCell ref="X10:AB14"/>
    <mergeCell ref="R14:U14"/>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B14:E14"/>
    <mergeCell ref="B13:E13"/>
    <mergeCell ref="A10:E10"/>
    <mergeCell ref="H10:W12"/>
    <mergeCell ref="F12:G12"/>
    <mergeCell ref="F11:G11"/>
    <mergeCell ref="Y238:AD239"/>
    <mergeCell ref="Y240:AD244"/>
    <mergeCell ref="Y245:AD246"/>
    <mergeCell ref="A12:C12"/>
    <mergeCell ref="A11:C11"/>
    <mergeCell ref="M14:Q14"/>
    <mergeCell ref="D12:E12"/>
    <mergeCell ref="D11:E11"/>
    <mergeCell ref="A13:A14"/>
    <mergeCell ref="H14:I14"/>
    <mergeCell ref="H13:I13"/>
    <mergeCell ref="M13:Q13"/>
    <mergeCell ref="J14:L14"/>
    <mergeCell ref="J13:L13"/>
    <mergeCell ref="F14:G14"/>
    <mergeCell ref="F13:G13"/>
  </mergeCells>
  <conditionalFormatting sqref="J19:U19 J23:U77 J222:U222 J226:U226 J113:U219 K112:U112 J79:U111 K78:U78">
    <cfRule type="expression" dxfId="1517" priority="3748" stopIfTrue="1">
      <formula>IF(AND(J$16&gt;=$H19,J$15&lt;=$I19,VLOOKUP($F19,PROFA,2,0)=1),1,0)</formula>
    </cfRule>
    <cfRule type="expression" dxfId="1516" priority="3749" stopIfTrue="1">
      <formula>IF(AND(J$16&gt;=$H19,J$15&lt;=$I19,VLOOKUP($F19,PROFA,2,0)=2),1,0)</formula>
    </cfRule>
    <cfRule type="expression" dxfId="1515" priority="3750" stopIfTrue="1">
      <formula>IF(AND(J$16&gt;=$H19,J$15&lt;=$I19,VLOOKUP($F19,PROFA,2,0)=3),1,0)</formula>
    </cfRule>
    <cfRule type="expression" dxfId="1514" priority="3751" stopIfTrue="1">
      <formula>IF(AND(J$16&gt;=$H19,J$15&lt;=$I19,VLOOKUP($F19,PROFA,2,0)=4),1,0)</formula>
    </cfRule>
    <cfRule type="expression" dxfId="1513" priority="3752" stopIfTrue="1">
      <formula>IF(AND(J$16&gt;=$H19,J$15&lt;=$I19,VLOOKUP($F19,PROFA,2,0)=5),1,0)</formula>
    </cfRule>
    <cfRule type="expression" dxfId="1512" priority="3753" stopIfTrue="1">
      <formula>IF(AND(J$16&gt;=$H19,J$15&lt;=$I19,VLOOKUP($F19,PROFA,2,0)=6),1,0)</formula>
    </cfRule>
    <cfRule type="expression" dxfId="1511" priority="3755" stopIfTrue="1">
      <formula>IF(AND(J$16&gt;=$H19,J$15&lt;=$I19,VLOOKUP($F19,PROFA,2,0)=7),1,0)</formula>
    </cfRule>
    <cfRule type="expression" dxfId="1510" priority="3756" stopIfTrue="1">
      <formula>IF(AND(J$16&gt;=$H19,J$15&lt;=$I19,VLOOKUP($F19,PROFA,2,0)=8),1,0)</formula>
    </cfRule>
  </conditionalFormatting>
  <conditionalFormatting sqref="J20:U21">
    <cfRule type="expression" dxfId="1509" priority="3615" stopIfTrue="1">
      <formula>IF(AND(J$16&gt;=$H20,J$15&lt;=$I20,VLOOKUP($F20,PROFA,2,0)=1),1,0)</formula>
    </cfRule>
    <cfRule type="expression" dxfId="1508" priority="3616" stopIfTrue="1">
      <formula>IF(AND(J$16&gt;=$H20,J$15&lt;=$I20,VLOOKUP($F20,PROFA,2,0)=2),1,0)</formula>
    </cfRule>
    <cfRule type="expression" dxfId="1507" priority="3617" stopIfTrue="1">
      <formula>IF(AND(J$16&gt;=$H20,J$15&lt;=$I20,VLOOKUP($F20,PROFA,2,0)=3),1,0)</formula>
    </cfRule>
    <cfRule type="expression" dxfId="1506" priority="3618" stopIfTrue="1">
      <formula>IF(AND(J$16&gt;=$H20,J$15&lt;=$I20,VLOOKUP($F20,PROFA,2,0)=4),1,0)</formula>
    </cfRule>
    <cfRule type="expression" dxfId="1505" priority="3619" stopIfTrue="1">
      <formula>IF(AND(J$16&gt;=$H20,J$15&lt;=$I20,VLOOKUP($F20,PROFA,2,0)=5),1,0)</formula>
    </cfRule>
    <cfRule type="expression" dxfId="1504" priority="3620" stopIfTrue="1">
      <formula>IF(AND(J$16&gt;=$H20,J$15&lt;=$I20,VLOOKUP($F20,PROFA,2,0)=6),1,0)</formula>
    </cfRule>
    <cfRule type="expression" dxfId="1503" priority="3621" stopIfTrue="1">
      <formula>IF(AND(J$16&gt;=$H20,J$15&lt;=$I20,VLOOKUP($F20,PROFA,2,0)=7),1,0)</formula>
    </cfRule>
    <cfRule type="expression" dxfId="1502" priority="3622" stopIfTrue="1">
      <formula>IF(AND(J$16&gt;=$H20,J$15&lt;=$I20,VLOOKUP($F20,PROFA,2,0)=8),1,0)</formula>
    </cfRule>
  </conditionalFormatting>
  <conditionalFormatting sqref="J22:N22 R22:U22">
    <cfRule type="expression" dxfId="1501" priority="2374" stopIfTrue="1">
      <formula>IF(AND(J$16&gt;=$H22,J$15&lt;=$I22,VLOOKUP($F22,PROFA,2,0)=1),1,0)</formula>
    </cfRule>
    <cfRule type="expression" dxfId="1500" priority="2375" stopIfTrue="1">
      <formula>IF(AND(J$16&gt;=$H22,J$15&lt;=$I22,VLOOKUP($F22,PROFA,2,0)=2),1,0)</formula>
    </cfRule>
    <cfRule type="expression" dxfId="1499" priority="2376" stopIfTrue="1">
      <formula>IF(AND(J$16&gt;=$H22,J$15&lt;=$I22,VLOOKUP($F22,PROFA,2,0)=3),1,0)</formula>
    </cfRule>
    <cfRule type="expression" dxfId="1498" priority="2377" stopIfTrue="1">
      <formula>IF(AND(J$16&gt;=$H22,J$15&lt;=$I22,VLOOKUP($F22,PROFA,2,0)=4),1,0)</formula>
    </cfRule>
    <cfRule type="expression" dxfId="1497" priority="2378" stopIfTrue="1">
      <formula>IF(AND(J$16&gt;=$H22,J$15&lt;=$I22,VLOOKUP($F22,PROFA,2,0)=5),1,0)</formula>
    </cfRule>
    <cfRule type="expression" dxfId="1496" priority="2379" stopIfTrue="1">
      <formula>IF(AND(J$16&gt;=$H22,J$15&lt;=$I22,VLOOKUP($F22,PROFA,2,0)=6),1,0)</formula>
    </cfRule>
    <cfRule type="expression" dxfId="1495" priority="2380" stopIfTrue="1">
      <formula>IF(AND(J$16&gt;=$H22,J$15&lt;=$I22,VLOOKUP($F22,PROFA,2,0)=7),1,0)</formula>
    </cfRule>
    <cfRule type="expression" dxfId="1494" priority="2381" stopIfTrue="1">
      <formula>IF(AND(J$16&gt;=$H22,J$15&lt;=$I22,VLOOKUP($F22,PROFA,2,0)=8),1,0)</formula>
    </cfRule>
  </conditionalFormatting>
  <conditionalFormatting sqref="O22:Q22">
    <cfRule type="expression" dxfId="1493" priority="2358" stopIfTrue="1">
      <formula>IF(AND(O$16&gt;=$H22,O$15&lt;=$I22,VLOOKUP($F22,PROFA,2,0)=1),1,0)</formula>
    </cfRule>
    <cfRule type="expression" dxfId="1492" priority="2359" stopIfTrue="1">
      <formula>IF(AND(O$16&gt;=$H22,O$15&lt;=$I22,VLOOKUP($F22,PROFA,2,0)=2),1,0)</formula>
    </cfRule>
    <cfRule type="expression" dxfId="1491" priority="2360" stopIfTrue="1">
      <formula>IF(AND(O$16&gt;=$H22,O$15&lt;=$I22,VLOOKUP($F22,PROFA,2,0)=3),1,0)</formula>
    </cfRule>
    <cfRule type="expression" dxfId="1490" priority="2361" stopIfTrue="1">
      <formula>IF(AND(O$16&gt;=$H22,O$15&lt;=$I22,VLOOKUP($F22,PROFA,2,0)=4),1,0)</formula>
    </cfRule>
    <cfRule type="expression" dxfId="1489" priority="2362" stopIfTrue="1">
      <formula>IF(AND(O$16&gt;=$H22,O$15&lt;=$I22,VLOOKUP($F22,PROFA,2,0)=5),1,0)</formula>
    </cfRule>
    <cfRule type="expression" dxfId="1488" priority="2363" stopIfTrue="1">
      <formula>IF(AND(O$16&gt;=$H22,O$15&lt;=$I22,VLOOKUP($F22,PROFA,2,0)=6),1,0)</formula>
    </cfRule>
    <cfRule type="expression" dxfId="1487" priority="2364" stopIfTrue="1">
      <formula>IF(AND(O$16&gt;=$H22,O$15&lt;=$I22,VLOOKUP($F22,PROFA,2,0)=7),1,0)</formula>
    </cfRule>
    <cfRule type="expression" dxfId="1486" priority="2365" stopIfTrue="1">
      <formula>IF(AND(O$16&gt;=$H22,O$15&lt;=$I22,VLOOKUP($F22,PROFA,2,0)=8),1,0)</formula>
    </cfRule>
  </conditionalFormatting>
  <conditionalFormatting sqref="F90">
    <cfRule type="expression" dxfId="1485" priority="2198">
      <formula>IF(VLOOKUP($F90,PROFA,2,0)=1,1,0)</formula>
    </cfRule>
    <cfRule type="expression" dxfId="1484" priority="2199">
      <formula>IF(VLOOKUP($F90,PROFA,2,0)=2,1,0)</formula>
    </cfRule>
    <cfRule type="expression" dxfId="1483" priority="2200">
      <formula>IF(VLOOKUP($F90,PROFA,2,0)=3,1,0)</formula>
    </cfRule>
    <cfRule type="expression" dxfId="1482" priority="2201">
      <formula>IF(VLOOKUP($F90,PROFA,2,0)=4,1,0)</formula>
    </cfRule>
    <cfRule type="expression" dxfId="1481" priority="2202">
      <formula>IF(VLOOKUP($F90,PROFA,2,0)=5,1,0)</formula>
    </cfRule>
    <cfRule type="expression" dxfId="1480" priority="2203">
      <formula>IF(VLOOKUP($F90,PROFA,2,0)=6,1,0)</formula>
    </cfRule>
    <cfRule type="expression" dxfId="1479" priority="2204">
      <formula>IF(VLOOKUP($F90,PROFA,2,0)=7,1,0)</formula>
    </cfRule>
    <cfRule type="expression" dxfId="1478" priority="2205">
      <formula>IF(VLOOKUP($F90,PROFA,2,0)=8,1,0)</formula>
    </cfRule>
  </conditionalFormatting>
  <conditionalFormatting sqref="F19 F200:F206 F208:F219 F222 F183:F198">
    <cfRule type="expression" dxfId="1477" priority="1940">
      <formula>IF(VLOOKUP($F19,PROFA,2,0)=1,1,0)</formula>
    </cfRule>
    <cfRule type="expression" dxfId="1476" priority="2422">
      <formula>IF(VLOOKUP($F19,PROFA,2,0)=2,1,0)</formula>
    </cfRule>
    <cfRule type="expression" dxfId="1475" priority="2423">
      <formula>IF(VLOOKUP($F19,PROFA,2,0)=3,1,0)</formula>
    </cfRule>
    <cfRule type="expression" dxfId="1474" priority="2424">
      <formula>IF(VLOOKUP($F19,PROFA,2,0)=4,1,0)</formula>
    </cfRule>
    <cfRule type="expression" dxfId="1473" priority="2425">
      <formula>IF(VLOOKUP($F19,PROFA,2,0)=5,1,0)</formula>
    </cfRule>
    <cfRule type="expression" dxfId="1472" priority="2426">
      <formula>IF(VLOOKUP($F19,PROFA,2,0)=6,1,0)</formula>
    </cfRule>
    <cfRule type="expression" dxfId="1471" priority="2427">
      <formula>IF(VLOOKUP($F19,PROFA,2,0)=7,1,0)</formula>
    </cfRule>
    <cfRule type="expression" dxfId="1470" priority="2428">
      <formula>IF(VLOOKUP($F19,PROFA,2,0)=8,1,0)</formula>
    </cfRule>
    <cfRule type="expression" dxfId="1469" priority="2429">
      <formula>IF(VLOOKUP($F19,PROFA,2,0)=9,1,0)</formula>
    </cfRule>
  </conditionalFormatting>
  <conditionalFormatting sqref="F29">
    <cfRule type="expression" dxfId="1468" priority="1931">
      <formula>IF(VLOOKUP($F29,PROFA,2,0)=1,1,0)</formula>
    </cfRule>
    <cfRule type="expression" dxfId="1467" priority="1932">
      <formula>IF(VLOOKUP($F29,PROFA,2,0)=2,1,0)</formula>
    </cfRule>
    <cfRule type="expression" dxfId="1466" priority="1933">
      <formula>IF(VLOOKUP($F29,PROFA,2,0)=3,1,0)</formula>
    </cfRule>
    <cfRule type="expression" dxfId="1465" priority="1934">
      <formula>IF(VLOOKUP($F29,PROFA,2,0)=4,1,0)</formula>
    </cfRule>
    <cfRule type="expression" dxfId="1464" priority="1935">
      <formula>IF(VLOOKUP($F29,PROFA,2,0)=5,1,0)</formula>
    </cfRule>
    <cfRule type="expression" dxfId="1463" priority="1936">
      <formula>IF(VLOOKUP($F29,PROFA,2,0)=6,1,0)</formula>
    </cfRule>
    <cfRule type="expression" dxfId="1462" priority="1937">
      <formula>IF(VLOOKUP($F29,PROFA,2,0)=7,1,0)</formula>
    </cfRule>
    <cfRule type="expression" dxfId="1461" priority="1938">
      <formula>IF(VLOOKUP($F29,PROFA,2,0)=8,1,0)</formula>
    </cfRule>
    <cfRule type="expression" dxfId="1460" priority="1939">
      <formula>IF(VLOOKUP($F29,PROFA,2,0)=9,1,0)</formula>
    </cfRule>
  </conditionalFormatting>
  <conditionalFormatting sqref="F35">
    <cfRule type="expression" dxfId="1459" priority="1922">
      <formula>IF(VLOOKUP($F35,PROFA,2,0)=1,1,0)</formula>
    </cfRule>
    <cfRule type="expression" dxfId="1458" priority="1923">
      <formula>IF(VLOOKUP($F35,PROFA,2,0)=2,1,0)</formula>
    </cfRule>
    <cfRule type="expression" dxfId="1457" priority="1924">
      <formula>IF(VLOOKUP($F35,PROFA,2,0)=3,1,0)</formula>
    </cfRule>
    <cfRule type="expression" dxfId="1456" priority="1925">
      <formula>IF(VLOOKUP($F35,PROFA,2,0)=4,1,0)</formula>
    </cfRule>
    <cfRule type="expression" dxfId="1455" priority="1926">
      <formula>IF(VLOOKUP($F35,PROFA,2,0)=5,1,0)</formula>
    </cfRule>
    <cfRule type="expression" dxfId="1454" priority="1927">
      <formula>IF(VLOOKUP($F35,PROFA,2,0)=6,1,0)</formula>
    </cfRule>
    <cfRule type="expression" dxfId="1453" priority="1928">
      <formula>IF(VLOOKUP($F35,PROFA,2,0)=7,1,0)</formula>
    </cfRule>
    <cfRule type="expression" dxfId="1452" priority="1929">
      <formula>IF(VLOOKUP($F35,PROFA,2,0)=8,1,0)</formula>
    </cfRule>
    <cfRule type="expression" dxfId="1451" priority="1930">
      <formula>IF(VLOOKUP($F35,PROFA,2,0)=9,1,0)</formula>
    </cfRule>
  </conditionalFormatting>
  <conditionalFormatting sqref="F36">
    <cfRule type="expression" dxfId="1450" priority="1913">
      <formula>IF(VLOOKUP($F36,PROFA,2,0)=1,1,0)</formula>
    </cfRule>
    <cfRule type="expression" dxfId="1449" priority="1914">
      <formula>IF(VLOOKUP($F36,PROFA,2,0)=2,1,0)</formula>
    </cfRule>
    <cfRule type="expression" dxfId="1448" priority="1915">
      <formula>IF(VLOOKUP($F36,PROFA,2,0)=3,1,0)</formula>
    </cfRule>
    <cfRule type="expression" dxfId="1447" priority="1916">
      <formula>IF(VLOOKUP($F36,PROFA,2,0)=4,1,0)</formula>
    </cfRule>
    <cfRule type="expression" dxfId="1446" priority="1917">
      <formula>IF(VLOOKUP($F36,PROFA,2,0)=5,1,0)</formula>
    </cfRule>
    <cfRule type="expression" dxfId="1445" priority="1918">
      <formula>IF(VLOOKUP($F36,PROFA,2,0)=6,1,0)</formula>
    </cfRule>
    <cfRule type="expression" dxfId="1444" priority="1919">
      <formula>IF(VLOOKUP($F36,PROFA,2,0)=7,1,0)</formula>
    </cfRule>
    <cfRule type="expression" dxfId="1443" priority="1920">
      <formula>IF(VLOOKUP($F36,PROFA,2,0)=8,1,0)</formula>
    </cfRule>
    <cfRule type="expression" dxfId="1442" priority="1921">
      <formula>IF(VLOOKUP($F36,PROFA,2,0)=9,1,0)</formula>
    </cfRule>
  </conditionalFormatting>
  <conditionalFormatting sqref="F49">
    <cfRule type="expression" dxfId="1441" priority="1904">
      <formula>IF(VLOOKUP($F49,PROFA,2,0)=1,1,0)</formula>
    </cfRule>
    <cfRule type="expression" dxfId="1440" priority="1905">
      <formula>IF(VLOOKUP($F49,PROFA,2,0)=2,1,0)</formula>
    </cfRule>
    <cfRule type="expression" dxfId="1439" priority="1906">
      <formula>IF(VLOOKUP($F49,PROFA,2,0)=3,1,0)</formula>
    </cfRule>
    <cfRule type="expression" dxfId="1438" priority="1907">
      <formula>IF(VLOOKUP($F49,PROFA,2,0)=4,1,0)</formula>
    </cfRule>
    <cfRule type="expression" dxfId="1437" priority="1908">
      <formula>IF(VLOOKUP($F49,PROFA,2,0)=5,1,0)</formula>
    </cfRule>
    <cfRule type="expression" dxfId="1436" priority="1909">
      <formula>IF(VLOOKUP($F49,PROFA,2,0)=6,1,0)</formula>
    </cfRule>
    <cfRule type="expression" dxfId="1435" priority="1910">
      <formula>IF(VLOOKUP($F49,PROFA,2,0)=7,1,0)</formula>
    </cfRule>
    <cfRule type="expression" dxfId="1434" priority="1911">
      <formula>IF(VLOOKUP($F49,PROFA,2,0)=8,1,0)</formula>
    </cfRule>
    <cfRule type="expression" dxfId="1433" priority="1912">
      <formula>IF(VLOOKUP($F49,PROFA,2,0)=9,1,0)</formula>
    </cfRule>
  </conditionalFormatting>
  <conditionalFormatting sqref="F69">
    <cfRule type="expression" dxfId="1432" priority="1895">
      <formula>IF(VLOOKUP($F69,PROFA,2,0)=1,1,0)</formula>
    </cfRule>
    <cfRule type="expression" dxfId="1431" priority="1896">
      <formula>IF(VLOOKUP($F69,PROFA,2,0)=2,1,0)</formula>
    </cfRule>
    <cfRule type="expression" dxfId="1430" priority="1897">
      <formula>IF(VLOOKUP($F69,PROFA,2,0)=3,1,0)</formula>
    </cfRule>
    <cfRule type="expression" dxfId="1429" priority="1898">
      <formula>IF(VLOOKUP($F69,PROFA,2,0)=4,1,0)</formula>
    </cfRule>
    <cfRule type="expression" dxfId="1428" priority="1899">
      <formula>IF(VLOOKUP($F69,PROFA,2,0)=5,1,0)</formula>
    </cfRule>
    <cfRule type="expression" dxfId="1427" priority="1900">
      <formula>IF(VLOOKUP($F69,PROFA,2,0)=6,1,0)</formula>
    </cfRule>
    <cfRule type="expression" dxfId="1426" priority="1901">
      <formula>IF(VLOOKUP($F69,PROFA,2,0)=7,1,0)</formula>
    </cfRule>
    <cfRule type="expression" dxfId="1425" priority="1902">
      <formula>IF(VLOOKUP($F69,PROFA,2,0)=8,1,0)</formula>
    </cfRule>
    <cfRule type="expression" dxfId="1424" priority="1903">
      <formula>IF(VLOOKUP($F69,PROFA,2,0)=9,1,0)</formula>
    </cfRule>
  </conditionalFormatting>
  <conditionalFormatting sqref="F75">
    <cfRule type="expression" dxfId="1423" priority="1886">
      <formula>IF(VLOOKUP($F75,PROFA,2,0)=1,1,0)</formula>
    </cfRule>
    <cfRule type="expression" dxfId="1422" priority="1887">
      <formula>IF(VLOOKUP($F75,PROFA,2,0)=2,1,0)</formula>
    </cfRule>
    <cfRule type="expression" dxfId="1421" priority="1888">
      <formula>IF(VLOOKUP($F75,PROFA,2,0)=3,1,0)</formula>
    </cfRule>
    <cfRule type="expression" dxfId="1420" priority="1889">
      <formula>IF(VLOOKUP($F75,PROFA,2,0)=4,1,0)</formula>
    </cfRule>
    <cfRule type="expression" dxfId="1419" priority="1890">
      <formula>IF(VLOOKUP($F75,PROFA,2,0)=5,1,0)</formula>
    </cfRule>
    <cfRule type="expression" dxfId="1418" priority="1891">
      <formula>IF(VLOOKUP($F75,PROFA,2,0)=6,1,0)</formula>
    </cfRule>
    <cfRule type="expression" dxfId="1417" priority="1892">
      <formula>IF(VLOOKUP($F75,PROFA,2,0)=7,1,0)</formula>
    </cfRule>
    <cfRule type="expression" dxfId="1416" priority="1893">
      <formula>IF(VLOOKUP($F75,PROFA,2,0)=8,1,0)</formula>
    </cfRule>
    <cfRule type="expression" dxfId="1415" priority="1894">
      <formula>IF(VLOOKUP($F75,PROFA,2,0)=9,1,0)</formula>
    </cfRule>
  </conditionalFormatting>
  <conditionalFormatting sqref="F93">
    <cfRule type="expression" dxfId="1414" priority="1850">
      <formula>IF(VLOOKUP($F93,PROFA,2,0)=1,1,0)</formula>
    </cfRule>
    <cfRule type="expression" dxfId="1413" priority="1851">
      <formula>IF(VLOOKUP($F93,PROFA,2,0)=2,1,0)</formula>
    </cfRule>
    <cfRule type="expression" dxfId="1412" priority="1852">
      <formula>IF(VLOOKUP($F93,PROFA,2,0)=3,1,0)</formula>
    </cfRule>
    <cfRule type="expression" dxfId="1411" priority="1853">
      <formula>IF(VLOOKUP($F93,PROFA,2,0)=4,1,0)</formula>
    </cfRule>
    <cfRule type="expression" dxfId="1410" priority="1854">
      <formula>IF(VLOOKUP($F93,PROFA,2,0)=5,1,0)</formula>
    </cfRule>
    <cfRule type="expression" dxfId="1409" priority="1855">
      <formula>IF(VLOOKUP($F93,PROFA,2,0)=6,1,0)</formula>
    </cfRule>
    <cfRule type="expression" dxfId="1408" priority="1856">
      <formula>IF(VLOOKUP($F93,PROFA,2,0)=7,1,0)</formula>
    </cfRule>
    <cfRule type="expression" dxfId="1407" priority="1857">
      <formula>IF(VLOOKUP($F93,PROFA,2,0)=8,1,0)</formula>
    </cfRule>
    <cfRule type="expression" dxfId="1406" priority="1858">
      <formula>IF(VLOOKUP($F93,PROFA,2,0)=9,1,0)</formula>
    </cfRule>
  </conditionalFormatting>
  <conditionalFormatting sqref="F134">
    <cfRule type="expression" dxfId="1405" priority="1796">
      <formula>IF(VLOOKUP($F134,PROFA,2,0)=1,1,0)</formula>
    </cfRule>
    <cfRule type="expression" dxfId="1404" priority="1797">
      <formula>IF(VLOOKUP($F134,PROFA,2,0)=2,1,0)</formula>
    </cfRule>
    <cfRule type="expression" dxfId="1403" priority="1798">
      <formula>IF(VLOOKUP($F134,PROFA,2,0)=3,1,0)</formula>
    </cfRule>
    <cfRule type="expression" dxfId="1402" priority="1799">
      <formula>IF(VLOOKUP($F134,PROFA,2,0)=4,1,0)</formula>
    </cfRule>
    <cfRule type="expression" dxfId="1401" priority="1800">
      <formula>IF(VLOOKUP($F134,PROFA,2,0)=5,1,0)</formula>
    </cfRule>
    <cfRule type="expression" dxfId="1400" priority="1801">
      <formula>IF(VLOOKUP($F134,PROFA,2,0)=6,1,0)</formula>
    </cfRule>
    <cfRule type="expression" dxfId="1399" priority="1802">
      <formula>IF(VLOOKUP($F134,PROFA,2,0)=7,1,0)</formula>
    </cfRule>
    <cfRule type="expression" dxfId="1398" priority="1803">
      <formula>IF(VLOOKUP($F134,PROFA,2,0)=8,1,0)</formula>
    </cfRule>
    <cfRule type="expression" dxfId="1397" priority="1804">
      <formula>IF(VLOOKUP($F134,PROFA,2,0)=9,1,0)</formula>
    </cfRule>
  </conditionalFormatting>
  <conditionalFormatting sqref="F28">
    <cfRule type="expression" dxfId="1396" priority="1741">
      <formula>IF(VLOOKUP($F28,PROFA,2,0)=1,1,0)</formula>
    </cfRule>
    <cfRule type="expression" dxfId="1395" priority="1742">
      <formula>IF(VLOOKUP($F28,PROFA,2,0)=2,1,0)</formula>
    </cfRule>
    <cfRule type="expression" dxfId="1394" priority="1743">
      <formula>IF(VLOOKUP($F28,PROFA,2,0)=3,1,0)</formula>
    </cfRule>
    <cfRule type="expression" dxfId="1393" priority="1744">
      <formula>IF(VLOOKUP($F28,PROFA,2,0)=4,1,0)</formula>
    </cfRule>
    <cfRule type="expression" dxfId="1392" priority="1745">
      <formula>IF(VLOOKUP($F28,PROFA,2,0)=5,1,0)</formula>
    </cfRule>
    <cfRule type="expression" dxfId="1391" priority="1746">
      <formula>IF(VLOOKUP($F28,PROFA,2,0)=6,1,0)</formula>
    </cfRule>
    <cfRule type="expression" dxfId="1390" priority="1747">
      <formula>IF(VLOOKUP($F28,PROFA,2,0)=7,1,0)</formula>
    </cfRule>
    <cfRule type="expression" dxfId="1389" priority="1748">
      <formula>IF(VLOOKUP($F28,PROFA,2,0)=8,1,0)</formula>
    </cfRule>
    <cfRule type="expression" dxfId="1388" priority="1749">
      <formula>IF(VLOOKUP($F28,PROFA,2,0)=9,1,0)</formula>
    </cfRule>
  </conditionalFormatting>
  <conditionalFormatting sqref="F32">
    <cfRule type="expression" dxfId="1387" priority="1732">
      <formula>IF(VLOOKUP($F32,PROFA,2,0)=1,1,0)</formula>
    </cfRule>
    <cfRule type="expression" dxfId="1386" priority="1733">
      <formula>IF(VLOOKUP($F32,PROFA,2,0)=2,1,0)</formula>
    </cfRule>
    <cfRule type="expression" dxfId="1385" priority="1734">
      <formula>IF(VLOOKUP($F32,PROFA,2,0)=3,1,0)</formula>
    </cfRule>
    <cfRule type="expression" dxfId="1384" priority="1735">
      <formula>IF(VLOOKUP($F32,PROFA,2,0)=4,1,0)</formula>
    </cfRule>
    <cfRule type="expression" dxfId="1383" priority="1736">
      <formula>IF(VLOOKUP($F32,PROFA,2,0)=5,1,0)</formula>
    </cfRule>
    <cfRule type="expression" dxfId="1382" priority="1737">
      <formula>IF(VLOOKUP($F32,PROFA,2,0)=6,1,0)</formula>
    </cfRule>
    <cfRule type="expression" dxfId="1381" priority="1738">
      <formula>IF(VLOOKUP($F32,PROFA,2,0)=7,1,0)</formula>
    </cfRule>
    <cfRule type="expression" dxfId="1380" priority="1739">
      <formula>IF(VLOOKUP($F32,PROFA,2,0)=8,1,0)</formula>
    </cfRule>
    <cfRule type="expression" dxfId="1379" priority="1740">
      <formula>IF(VLOOKUP($F32,PROFA,2,0)=9,1,0)</formula>
    </cfRule>
  </conditionalFormatting>
  <conditionalFormatting sqref="F38">
    <cfRule type="expression" dxfId="1378" priority="1723">
      <formula>IF(VLOOKUP($F38,PROFA,2,0)=1,1,0)</formula>
    </cfRule>
    <cfRule type="expression" dxfId="1377" priority="1724">
      <formula>IF(VLOOKUP($F38,PROFA,2,0)=2,1,0)</formula>
    </cfRule>
    <cfRule type="expression" dxfId="1376" priority="1725">
      <formula>IF(VLOOKUP($F38,PROFA,2,0)=3,1,0)</formula>
    </cfRule>
    <cfRule type="expression" dxfId="1375" priority="1726">
      <formula>IF(VLOOKUP($F38,PROFA,2,0)=4,1,0)</formula>
    </cfRule>
    <cfRule type="expression" dxfId="1374" priority="1727">
      <formula>IF(VLOOKUP($F38,PROFA,2,0)=5,1,0)</formula>
    </cfRule>
    <cfRule type="expression" dxfId="1373" priority="1728">
      <formula>IF(VLOOKUP($F38,PROFA,2,0)=6,1,0)</formula>
    </cfRule>
    <cfRule type="expression" dxfId="1372" priority="1729">
      <formula>IF(VLOOKUP($F38,PROFA,2,0)=7,1,0)</formula>
    </cfRule>
    <cfRule type="expression" dxfId="1371" priority="1730">
      <formula>IF(VLOOKUP($F38,PROFA,2,0)=8,1,0)</formula>
    </cfRule>
    <cfRule type="expression" dxfId="1370" priority="1731">
      <formula>IF(VLOOKUP($F38,PROFA,2,0)=9,1,0)</formula>
    </cfRule>
  </conditionalFormatting>
  <conditionalFormatting sqref="F46">
    <cfRule type="expression" dxfId="1369" priority="1714">
      <formula>IF(VLOOKUP($F46,PROFA,2,0)=1,1,0)</formula>
    </cfRule>
    <cfRule type="expression" dxfId="1368" priority="1715">
      <formula>IF(VLOOKUP($F46,PROFA,2,0)=2,1,0)</formula>
    </cfRule>
    <cfRule type="expression" dxfId="1367" priority="1716">
      <formula>IF(VLOOKUP($F46,PROFA,2,0)=3,1,0)</formula>
    </cfRule>
    <cfRule type="expression" dxfId="1366" priority="1717">
      <formula>IF(VLOOKUP($F46,PROFA,2,0)=4,1,0)</formula>
    </cfRule>
    <cfRule type="expression" dxfId="1365" priority="1718">
      <formula>IF(VLOOKUP($F46,PROFA,2,0)=5,1,0)</formula>
    </cfRule>
    <cfRule type="expression" dxfId="1364" priority="1719">
      <formula>IF(VLOOKUP($F46,PROFA,2,0)=6,1,0)</formula>
    </cfRule>
    <cfRule type="expression" dxfId="1363" priority="1720">
      <formula>IF(VLOOKUP($F46,PROFA,2,0)=7,1,0)</formula>
    </cfRule>
    <cfRule type="expression" dxfId="1362" priority="1721">
      <formula>IF(VLOOKUP($F46,PROFA,2,0)=8,1,0)</formula>
    </cfRule>
    <cfRule type="expression" dxfId="1361" priority="1722">
      <formula>IF(VLOOKUP($F46,PROFA,2,0)=9,1,0)</formula>
    </cfRule>
  </conditionalFormatting>
  <conditionalFormatting sqref="F53">
    <cfRule type="expression" dxfId="1360" priority="1705">
      <formula>IF(VLOOKUP($F53,PROFA,2,0)=1,1,0)</formula>
    </cfRule>
    <cfRule type="expression" dxfId="1359" priority="1706">
      <formula>IF(VLOOKUP($F53,PROFA,2,0)=2,1,0)</formula>
    </cfRule>
    <cfRule type="expression" dxfId="1358" priority="1707">
      <formula>IF(VLOOKUP($F53,PROFA,2,0)=3,1,0)</formula>
    </cfRule>
    <cfRule type="expression" dxfId="1357" priority="1708">
      <formula>IF(VLOOKUP($F53,PROFA,2,0)=4,1,0)</formula>
    </cfRule>
    <cfRule type="expression" dxfId="1356" priority="1709">
      <formula>IF(VLOOKUP($F53,PROFA,2,0)=5,1,0)</formula>
    </cfRule>
    <cfRule type="expression" dxfId="1355" priority="1710">
      <formula>IF(VLOOKUP($F53,PROFA,2,0)=6,1,0)</formula>
    </cfRule>
    <cfRule type="expression" dxfId="1354" priority="1711">
      <formula>IF(VLOOKUP($F53,PROFA,2,0)=7,1,0)</formula>
    </cfRule>
    <cfRule type="expression" dxfId="1353" priority="1712">
      <formula>IF(VLOOKUP($F53,PROFA,2,0)=8,1,0)</formula>
    </cfRule>
    <cfRule type="expression" dxfId="1352" priority="1713">
      <formula>IF(VLOOKUP($F53,PROFA,2,0)=9,1,0)</formula>
    </cfRule>
  </conditionalFormatting>
  <conditionalFormatting sqref="F73">
    <cfRule type="expression" dxfId="1351" priority="1696">
      <formula>IF(VLOOKUP($F73,PROFA,2,0)=1,1,0)</formula>
    </cfRule>
    <cfRule type="expression" dxfId="1350" priority="1697">
      <formula>IF(VLOOKUP($F73,PROFA,2,0)=2,1,0)</formula>
    </cfRule>
    <cfRule type="expression" dxfId="1349" priority="1698">
      <formula>IF(VLOOKUP($F73,PROFA,2,0)=3,1,0)</formula>
    </cfRule>
    <cfRule type="expression" dxfId="1348" priority="1699">
      <formula>IF(VLOOKUP($F73,PROFA,2,0)=4,1,0)</formula>
    </cfRule>
    <cfRule type="expression" dxfId="1347" priority="1700">
      <formula>IF(VLOOKUP($F73,PROFA,2,0)=5,1,0)</formula>
    </cfRule>
    <cfRule type="expression" dxfId="1346" priority="1701">
      <formula>IF(VLOOKUP($F73,PROFA,2,0)=6,1,0)</formula>
    </cfRule>
    <cfRule type="expression" dxfId="1345" priority="1702">
      <formula>IF(VLOOKUP($F73,PROFA,2,0)=7,1,0)</formula>
    </cfRule>
    <cfRule type="expression" dxfId="1344" priority="1703">
      <formula>IF(VLOOKUP($F73,PROFA,2,0)=8,1,0)</formula>
    </cfRule>
    <cfRule type="expression" dxfId="1343" priority="1704">
      <formula>IF(VLOOKUP($F73,PROFA,2,0)=9,1,0)</formula>
    </cfRule>
  </conditionalFormatting>
  <conditionalFormatting sqref="F74">
    <cfRule type="expression" dxfId="1342" priority="1687">
      <formula>IF(VLOOKUP($F74,PROFA,2,0)=1,1,0)</formula>
    </cfRule>
    <cfRule type="expression" dxfId="1341" priority="1688">
      <formula>IF(VLOOKUP($F74,PROFA,2,0)=2,1,0)</formula>
    </cfRule>
    <cfRule type="expression" dxfId="1340" priority="1689">
      <formula>IF(VLOOKUP($F74,PROFA,2,0)=3,1,0)</formula>
    </cfRule>
    <cfRule type="expression" dxfId="1339" priority="1690">
      <formula>IF(VLOOKUP($F74,PROFA,2,0)=4,1,0)</formula>
    </cfRule>
    <cfRule type="expression" dxfId="1338" priority="1691">
      <formula>IF(VLOOKUP($F74,PROFA,2,0)=5,1,0)</formula>
    </cfRule>
    <cfRule type="expression" dxfId="1337" priority="1692">
      <formula>IF(VLOOKUP($F74,PROFA,2,0)=6,1,0)</formula>
    </cfRule>
    <cfRule type="expression" dxfId="1336" priority="1693">
      <formula>IF(VLOOKUP($F74,PROFA,2,0)=7,1,0)</formula>
    </cfRule>
    <cfRule type="expression" dxfId="1335" priority="1694">
      <formula>IF(VLOOKUP($F74,PROFA,2,0)=8,1,0)</formula>
    </cfRule>
    <cfRule type="expression" dxfId="1334" priority="1695">
      <formula>IF(VLOOKUP($F74,PROFA,2,0)=9,1,0)</formula>
    </cfRule>
  </conditionalFormatting>
  <conditionalFormatting sqref="F92">
    <cfRule type="expression" dxfId="1333" priority="1678">
      <formula>IF(VLOOKUP($F92,PROFA,2,0)=1,1,0)</formula>
    </cfRule>
    <cfRule type="expression" dxfId="1332" priority="1679">
      <formula>IF(VLOOKUP($F92,PROFA,2,0)=2,1,0)</formula>
    </cfRule>
    <cfRule type="expression" dxfId="1331" priority="1680">
      <formula>IF(VLOOKUP($F92,PROFA,2,0)=3,1,0)</formula>
    </cfRule>
    <cfRule type="expression" dxfId="1330" priority="1681">
      <formula>IF(VLOOKUP($F92,PROFA,2,0)=4,1,0)</formula>
    </cfRule>
    <cfRule type="expression" dxfId="1329" priority="1682">
      <formula>IF(VLOOKUP($F92,PROFA,2,0)=5,1,0)</formula>
    </cfRule>
    <cfRule type="expression" dxfId="1328" priority="1683">
      <formula>IF(VLOOKUP($F92,PROFA,2,0)=6,1,0)</formula>
    </cfRule>
    <cfRule type="expression" dxfId="1327" priority="1684">
      <formula>IF(VLOOKUP($F92,PROFA,2,0)=7,1,0)</formula>
    </cfRule>
    <cfRule type="expression" dxfId="1326" priority="1685">
      <formula>IF(VLOOKUP($F92,PROFA,2,0)=8,1,0)</formula>
    </cfRule>
    <cfRule type="expression" dxfId="1325" priority="1686">
      <formula>IF(VLOOKUP($F92,PROFA,2,0)=9,1,0)</formula>
    </cfRule>
  </conditionalFormatting>
  <conditionalFormatting sqref="F97">
    <cfRule type="expression" dxfId="1324" priority="1669">
      <formula>IF(VLOOKUP($F97,PROFA,2,0)=1,1,0)</formula>
    </cfRule>
    <cfRule type="expression" dxfId="1323" priority="1670">
      <formula>IF(VLOOKUP($F97,PROFA,2,0)=2,1,0)</formula>
    </cfRule>
    <cfRule type="expression" dxfId="1322" priority="1671">
      <formula>IF(VLOOKUP($F97,PROFA,2,0)=3,1,0)</formula>
    </cfRule>
    <cfRule type="expression" dxfId="1321" priority="1672">
      <formula>IF(VLOOKUP($F97,PROFA,2,0)=4,1,0)</formula>
    </cfRule>
    <cfRule type="expression" dxfId="1320" priority="1673">
      <formula>IF(VLOOKUP($F97,PROFA,2,0)=5,1,0)</formula>
    </cfRule>
    <cfRule type="expression" dxfId="1319" priority="1674">
      <formula>IF(VLOOKUP($F97,PROFA,2,0)=6,1,0)</formula>
    </cfRule>
    <cfRule type="expression" dxfId="1318" priority="1675">
      <formula>IF(VLOOKUP($F97,PROFA,2,0)=7,1,0)</formula>
    </cfRule>
    <cfRule type="expression" dxfId="1317" priority="1676">
      <formula>IF(VLOOKUP($F97,PROFA,2,0)=8,1,0)</formula>
    </cfRule>
    <cfRule type="expression" dxfId="1316" priority="1677">
      <formula>IF(VLOOKUP($F97,PROFA,2,0)=9,1,0)</formula>
    </cfRule>
  </conditionalFormatting>
  <conditionalFormatting sqref="F129">
    <cfRule type="expression" dxfId="1315" priority="1642">
      <formula>IF(VLOOKUP($F129,PROFA,2,0)=1,1,0)</formula>
    </cfRule>
    <cfRule type="expression" dxfId="1314" priority="1643">
      <formula>IF(VLOOKUP($F129,PROFA,2,0)=2,1,0)</formula>
    </cfRule>
    <cfRule type="expression" dxfId="1313" priority="1644">
      <formula>IF(VLOOKUP($F129,PROFA,2,0)=3,1,0)</formula>
    </cfRule>
    <cfRule type="expression" dxfId="1312" priority="1645">
      <formula>IF(VLOOKUP($F129,PROFA,2,0)=4,1,0)</formula>
    </cfRule>
    <cfRule type="expression" dxfId="1311" priority="1646">
      <formula>IF(VLOOKUP($F129,PROFA,2,0)=5,1,0)</formula>
    </cfRule>
    <cfRule type="expression" dxfId="1310" priority="1647">
      <formula>IF(VLOOKUP($F129,PROFA,2,0)=6,1,0)</formula>
    </cfRule>
    <cfRule type="expression" dxfId="1309" priority="1648">
      <formula>IF(VLOOKUP($F129,PROFA,2,0)=7,1,0)</formula>
    </cfRule>
    <cfRule type="expression" dxfId="1308" priority="1649">
      <formula>IF(VLOOKUP($F129,PROFA,2,0)=8,1,0)</formula>
    </cfRule>
    <cfRule type="expression" dxfId="1307" priority="1650">
      <formula>IF(VLOOKUP($F129,PROFA,2,0)=9,1,0)</formula>
    </cfRule>
  </conditionalFormatting>
  <conditionalFormatting sqref="F136">
    <cfRule type="expression" dxfId="1306" priority="1633">
      <formula>IF(VLOOKUP($F136,PROFA,2,0)=1,1,0)</formula>
    </cfRule>
    <cfRule type="expression" dxfId="1305" priority="1634">
      <formula>IF(VLOOKUP($F136,PROFA,2,0)=2,1,0)</formula>
    </cfRule>
    <cfRule type="expression" dxfId="1304" priority="1635">
      <formula>IF(VLOOKUP($F136,PROFA,2,0)=3,1,0)</formula>
    </cfRule>
    <cfRule type="expression" dxfId="1303" priority="1636">
      <formula>IF(VLOOKUP($F136,PROFA,2,0)=4,1,0)</formula>
    </cfRule>
    <cfRule type="expression" dxfId="1302" priority="1637">
      <formula>IF(VLOOKUP($F136,PROFA,2,0)=5,1,0)</formula>
    </cfRule>
    <cfRule type="expression" dxfId="1301" priority="1638">
      <formula>IF(VLOOKUP($F136,PROFA,2,0)=6,1,0)</formula>
    </cfRule>
    <cfRule type="expression" dxfId="1300" priority="1639">
      <formula>IF(VLOOKUP($F136,PROFA,2,0)=7,1,0)</formula>
    </cfRule>
    <cfRule type="expression" dxfId="1299" priority="1640">
      <formula>IF(VLOOKUP($F136,PROFA,2,0)=8,1,0)</formula>
    </cfRule>
    <cfRule type="expression" dxfId="1298" priority="1641">
      <formula>IF(VLOOKUP($F136,PROFA,2,0)=9,1,0)</formula>
    </cfRule>
  </conditionalFormatting>
  <conditionalFormatting sqref="F155">
    <cfRule type="expression" dxfId="1297" priority="1588">
      <formula>IF(VLOOKUP($F155,PROFA,2,0)=1,1,0)</formula>
    </cfRule>
    <cfRule type="expression" dxfId="1296" priority="1589">
      <formula>IF(VLOOKUP($F155,PROFA,2,0)=2,1,0)</formula>
    </cfRule>
    <cfRule type="expression" dxfId="1295" priority="1590">
      <formula>IF(VLOOKUP($F155,PROFA,2,0)=3,1,0)</formula>
    </cfRule>
    <cfRule type="expression" dxfId="1294" priority="1591">
      <formula>IF(VLOOKUP($F155,PROFA,2,0)=4,1,0)</formula>
    </cfRule>
    <cfRule type="expression" dxfId="1293" priority="1592">
      <formula>IF(VLOOKUP($F155,PROFA,2,0)=5,1,0)</formula>
    </cfRule>
    <cfRule type="expression" dxfId="1292" priority="1593">
      <formula>IF(VLOOKUP($F155,PROFA,2,0)=6,1,0)</formula>
    </cfRule>
    <cfRule type="expression" dxfId="1291" priority="1594">
      <formula>IF(VLOOKUP($F155,PROFA,2,0)=7,1,0)</formula>
    </cfRule>
    <cfRule type="expression" dxfId="1290" priority="1595">
      <formula>IF(VLOOKUP($F155,PROFA,2,0)=8,1,0)</formula>
    </cfRule>
    <cfRule type="expression" dxfId="1289" priority="1596">
      <formula>IF(VLOOKUP($F155,PROFA,2,0)=9,1,0)</formula>
    </cfRule>
  </conditionalFormatting>
  <conditionalFormatting sqref="F21">
    <cfRule type="expression" dxfId="1288" priority="1570">
      <formula>IF(VLOOKUP($F21,PROFA,2,0)=1,1,0)</formula>
    </cfRule>
    <cfRule type="expression" dxfId="1287" priority="1571">
      <formula>IF(VLOOKUP($F21,PROFA,2,0)=2,1,0)</formula>
    </cfRule>
    <cfRule type="expression" dxfId="1286" priority="1572">
      <formula>IF(VLOOKUP($F21,PROFA,2,0)=3,1,0)</formula>
    </cfRule>
    <cfRule type="expression" dxfId="1285" priority="1573">
      <formula>IF(VLOOKUP($F21,PROFA,2,0)=4,1,0)</formula>
    </cfRule>
    <cfRule type="expression" dxfId="1284" priority="1574">
      <formula>IF(VLOOKUP($F21,PROFA,2,0)=5,1,0)</formula>
    </cfRule>
    <cfRule type="expression" dxfId="1283" priority="1575">
      <formula>IF(VLOOKUP($F21,PROFA,2,0)=6,1,0)</formula>
    </cfRule>
    <cfRule type="expression" dxfId="1282" priority="1576">
      <formula>IF(VLOOKUP($F21,PROFA,2,0)=7,1,0)</formula>
    </cfRule>
    <cfRule type="expression" dxfId="1281" priority="1577">
      <formula>IF(VLOOKUP($F21,PROFA,2,0)=8,1,0)</formula>
    </cfRule>
    <cfRule type="expression" dxfId="1280" priority="1578">
      <formula>IF(VLOOKUP($F21,PROFA,2,0)=9,1,0)</formula>
    </cfRule>
  </conditionalFormatting>
  <conditionalFormatting sqref="F23">
    <cfRule type="expression" dxfId="1279" priority="1561">
      <formula>IF(VLOOKUP($F23,PROFA,2,0)=1,1,0)</formula>
    </cfRule>
    <cfRule type="expression" dxfId="1278" priority="1562">
      <formula>IF(VLOOKUP($F23,PROFA,2,0)=2,1,0)</formula>
    </cfRule>
    <cfRule type="expression" dxfId="1277" priority="1563">
      <formula>IF(VLOOKUP($F23,PROFA,2,0)=3,1,0)</formula>
    </cfRule>
    <cfRule type="expression" dxfId="1276" priority="1564">
      <formula>IF(VLOOKUP($F23,PROFA,2,0)=4,1,0)</formula>
    </cfRule>
    <cfRule type="expression" dxfId="1275" priority="1565">
      <formula>IF(VLOOKUP($F23,PROFA,2,0)=5,1,0)</formula>
    </cfRule>
    <cfRule type="expression" dxfId="1274" priority="1566">
      <formula>IF(VLOOKUP($F23,PROFA,2,0)=6,1,0)</formula>
    </cfRule>
    <cfRule type="expression" dxfId="1273" priority="1567">
      <formula>IF(VLOOKUP($F23,PROFA,2,0)=7,1,0)</formula>
    </cfRule>
    <cfRule type="expression" dxfId="1272" priority="1568">
      <formula>IF(VLOOKUP($F23,PROFA,2,0)=8,1,0)</formula>
    </cfRule>
    <cfRule type="expression" dxfId="1271" priority="1569">
      <formula>IF(VLOOKUP($F23,PROFA,2,0)=9,1,0)</formula>
    </cfRule>
  </conditionalFormatting>
  <conditionalFormatting sqref="F25">
    <cfRule type="expression" dxfId="1270" priority="1552">
      <formula>IF(VLOOKUP($F25,PROFA,2,0)=1,1,0)</formula>
    </cfRule>
    <cfRule type="expression" dxfId="1269" priority="1553">
      <formula>IF(VLOOKUP($F25,PROFA,2,0)=2,1,0)</formula>
    </cfRule>
    <cfRule type="expression" dxfId="1268" priority="1554">
      <formula>IF(VLOOKUP($F25,PROFA,2,0)=3,1,0)</formula>
    </cfRule>
    <cfRule type="expression" dxfId="1267" priority="1555">
      <formula>IF(VLOOKUP($F25,PROFA,2,0)=4,1,0)</formula>
    </cfRule>
    <cfRule type="expression" dxfId="1266" priority="1556">
      <formula>IF(VLOOKUP($F25,PROFA,2,0)=5,1,0)</formula>
    </cfRule>
    <cfRule type="expression" dxfId="1265" priority="1557">
      <formula>IF(VLOOKUP($F25,PROFA,2,0)=6,1,0)</formula>
    </cfRule>
    <cfRule type="expression" dxfId="1264" priority="1558">
      <formula>IF(VLOOKUP($F25,PROFA,2,0)=7,1,0)</formula>
    </cfRule>
    <cfRule type="expression" dxfId="1263" priority="1559">
      <formula>IF(VLOOKUP($F25,PROFA,2,0)=8,1,0)</formula>
    </cfRule>
    <cfRule type="expression" dxfId="1262" priority="1560">
      <formula>IF(VLOOKUP($F25,PROFA,2,0)=9,1,0)</formula>
    </cfRule>
  </conditionalFormatting>
  <conditionalFormatting sqref="F26">
    <cfRule type="expression" dxfId="1261" priority="1543">
      <formula>IF(VLOOKUP($F26,PROFA,2,0)=1,1,0)</formula>
    </cfRule>
    <cfRule type="expression" dxfId="1260" priority="1544">
      <formula>IF(VLOOKUP($F26,PROFA,2,0)=2,1,0)</formula>
    </cfRule>
    <cfRule type="expression" dxfId="1259" priority="1545">
      <formula>IF(VLOOKUP($F26,PROFA,2,0)=3,1,0)</formula>
    </cfRule>
    <cfRule type="expression" dxfId="1258" priority="1546">
      <formula>IF(VLOOKUP($F26,PROFA,2,0)=4,1,0)</formula>
    </cfRule>
    <cfRule type="expression" dxfId="1257" priority="1547">
      <formula>IF(VLOOKUP($F26,PROFA,2,0)=5,1,0)</formula>
    </cfRule>
    <cfRule type="expression" dxfId="1256" priority="1548">
      <formula>IF(VLOOKUP($F26,PROFA,2,0)=6,1,0)</formula>
    </cfRule>
    <cfRule type="expression" dxfId="1255" priority="1549">
      <formula>IF(VLOOKUP($F26,PROFA,2,0)=7,1,0)</formula>
    </cfRule>
    <cfRule type="expression" dxfId="1254" priority="1550">
      <formula>IF(VLOOKUP($F26,PROFA,2,0)=8,1,0)</formula>
    </cfRule>
    <cfRule type="expression" dxfId="1253" priority="1551">
      <formula>IF(VLOOKUP($F26,PROFA,2,0)=9,1,0)</formula>
    </cfRule>
  </conditionalFormatting>
  <conditionalFormatting sqref="F65">
    <cfRule type="expression" dxfId="1252" priority="1534">
      <formula>IF(VLOOKUP($F65,PROFA,2,0)=1,1,0)</formula>
    </cfRule>
    <cfRule type="expression" dxfId="1251" priority="1535">
      <formula>IF(VLOOKUP($F65,PROFA,2,0)=2,1,0)</formula>
    </cfRule>
    <cfRule type="expression" dxfId="1250" priority="1536">
      <formula>IF(VLOOKUP($F65,PROFA,2,0)=3,1,0)</formula>
    </cfRule>
    <cfRule type="expression" dxfId="1249" priority="1537">
      <formula>IF(VLOOKUP($F65,PROFA,2,0)=4,1,0)</formula>
    </cfRule>
    <cfRule type="expression" dxfId="1248" priority="1538">
      <formula>IF(VLOOKUP($F65,PROFA,2,0)=5,1,0)</formula>
    </cfRule>
    <cfRule type="expression" dxfId="1247" priority="1539">
      <formula>IF(VLOOKUP($F65,PROFA,2,0)=6,1,0)</formula>
    </cfRule>
    <cfRule type="expression" dxfId="1246" priority="1540">
      <formula>IF(VLOOKUP($F65,PROFA,2,0)=7,1,0)</formula>
    </cfRule>
    <cfRule type="expression" dxfId="1245" priority="1541">
      <formula>IF(VLOOKUP($F65,PROFA,2,0)=8,1,0)</formula>
    </cfRule>
    <cfRule type="expression" dxfId="1244" priority="1542">
      <formula>IF(VLOOKUP($F65,PROFA,2,0)=9,1,0)</formula>
    </cfRule>
  </conditionalFormatting>
  <conditionalFormatting sqref="F117">
    <cfRule type="expression" dxfId="1243" priority="1507">
      <formula>IF(VLOOKUP($F117,PROFA,2,0)=1,1,0)</formula>
    </cfRule>
    <cfRule type="expression" dxfId="1242" priority="1508">
      <formula>IF(VLOOKUP($F117,PROFA,2,0)=2,1,0)</formula>
    </cfRule>
    <cfRule type="expression" dxfId="1241" priority="1509">
      <formula>IF(VLOOKUP($F117,PROFA,2,0)=3,1,0)</formula>
    </cfRule>
    <cfRule type="expression" dxfId="1240" priority="1510">
      <formula>IF(VLOOKUP($F117,PROFA,2,0)=4,1,0)</formula>
    </cfRule>
    <cfRule type="expression" dxfId="1239" priority="1511">
      <formula>IF(VLOOKUP($F117,PROFA,2,0)=5,1,0)</formula>
    </cfRule>
    <cfRule type="expression" dxfId="1238" priority="1512">
      <formula>IF(VLOOKUP($F117,PROFA,2,0)=6,1,0)</formula>
    </cfRule>
    <cfRule type="expression" dxfId="1237" priority="1513">
      <formula>IF(VLOOKUP($F117,PROFA,2,0)=7,1,0)</formula>
    </cfRule>
    <cfRule type="expression" dxfId="1236" priority="1514">
      <formula>IF(VLOOKUP($F117,PROFA,2,0)=8,1,0)</formula>
    </cfRule>
    <cfRule type="expression" dxfId="1235" priority="1515">
      <formula>IF(VLOOKUP($F117,PROFA,2,0)=9,1,0)</formula>
    </cfRule>
  </conditionalFormatting>
  <conditionalFormatting sqref="F37">
    <cfRule type="expression" dxfId="1234" priority="1498">
      <formula>IF(VLOOKUP($F37,PROFA,2,0)=1,1,0)</formula>
    </cfRule>
    <cfRule type="expression" dxfId="1233" priority="1499">
      <formula>IF(VLOOKUP($F37,PROFA,2,0)=2,1,0)</formula>
    </cfRule>
    <cfRule type="expression" dxfId="1232" priority="1500">
      <formula>IF(VLOOKUP($F37,PROFA,2,0)=3,1,0)</formula>
    </cfRule>
    <cfRule type="expression" dxfId="1231" priority="1501">
      <formula>IF(VLOOKUP($F37,PROFA,2,0)=4,1,0)</formula>
    </cfRule>
    <cfRule type="expression" dxfId="1230" priority="1502">
      <formula>IF(VLOOKUP($F37,PROFA,2,0)=5,1,0)</formula>
    </cfRule>
    <cfRule type="expression" dxfId="1229" priority="1503">
      <formula>IF(VLOOKUP($F37,PROFA,2,0)=6,1,0)</formula>
    </cfRule>
    <cfRule type="expression" dxfId="1228" priority="1504">
      <formula>IF(VLOOKUP($F37,PROFA,2,0)=7,1,0)</formula>
    </cfRule>
    <cfRule type="expression" dxfId="1227" priority="1505">
      <formula>IF(VLOOKUP($F37,PROFA,2,0)=8,1,0)</formula>
    </cfRule>
    <cfRule type="expression" dxfId="1226" priority="1506">
      <formula>IF(VLOOKUP($F37,PROFA,2,0)=9,1,0)</formula>
    </cfRule>
  </conditionalFormatting>
  <conditionalFormatting sqref="F31">
    <cfRule type="expression" dxfId="1225" priority="1489">
      <formula>IF(VLOOKUP($F31,PROFA,2,0)=1,1,0)</formula>
    </cfRule>
    <cfRule type="expression" dxfId="1224" priority="1490">
      <formula>IF(VLOOKUP($F31,PROFA,2,0)=2,1,0)</formula>
    </cfRule>
    <cfRule type="expression" dxfId="1223" priority="1491">
      <formula>IF(VLOOKUP($F31,PROFA,2,0)=3,1,0)</formula>
    </cfRule>
    <cfRule type="expression" dxfId="1222" priority="1492">
      <formula>IF(VLOOKUP($F31,PROFA,2,0)=4,1,0)</formula>
    </cfRule>
    <cfRule type="expression" dxfId="1221" priority="1493">
      <formula>IF(VLOOKUP($F31,PROFA,2,0)=5,1,0)</formula>
    </cfRule>
    <cfRule type="expression" dxfId="1220" priority="1494">
      <formula>IF(VLOOKUP($F31,PROFA,2,0)=6,1,0)</formula>
    </cfRule>
    <cfRule type="expression" dxfId="1219" priority="1495">
      <formula>IF(VLOOKUP($F31,PROFA,2,0)=7,1,0)</formula>
    </cfRule>
    <cfRule type="expression" dxfId="1218" priority="1496">
      <formula>IF(VLOOKUP($F31,PROFA,2,0)=8,1,0)</formula>
    </cfRule>
    <cfRule type="expression" dxfId="1217" priority="1497">
      <formula>IF(VLOOKUP($F31,PROFA,2,0)=9,1,0)</formula>
    </cfRule>
  </conditionalFormatting>
  <conditionalFormatting sqref="F33">
    <cfRule type="expression" dxfId="1216" priority="1480">
      <formula>IF(VLOOKUP($F33,PROFA,2,0)=1,1,0)</formula>
    </cfRule>
    <cfRule type="expression" dxfId="1215" priority="1481">
      <formula>IF(VLOOKUP($F33,PROFA,2,0)=2,1,0)</formula>
    </cfRule>
    <cfRule type="expression" dxfId="1214" priority="1482">
      <formula>IF(VLOOKUP($F33,PROFA,2,0)=3,1,0)</formula>
    </cfRule>
    <cfRule type="expression" dxfId="1213" priority="1483">
      <formula>IF(VLOOKUP($F33,PROFA,2,0)=4,1,0)</formula>
    </cfRule>
    <cfRule type="expression" dxfId="1212" priority="1484">
      <formula>IF(VLOOKUP($F33,PROFA,2,0)=5,1,0)</formula>
    </cfRule>
    <cfRule type="expression" dxfId="1211" priority="1485">
      <formula>IF(VLOOKUP($F33,PROFA,2,0)=6,1,0)</formula>
    </cfRule>
    <cfRule type="expression" dxfId="1210" priority="1486">
      <formula>IF(VLOOKUP($F33,PROFA,2,0)=7,1,0)</formula>
    </cfRule>
    <cfRule type="expression" dxfId="1209" priority="1487">
      <formula>IF(VLOOKUP($F33,PROFA,2,0)=8,1,0)</formula>
    </cfRule>
    <cfRule type="expression" dxfId="1208" priority="1488">
      <formula>IF(VLOOKUP($F33,PROFA,2,0)=9,1,0)</formula>
    </cfRule>
  </conditionalFormatting>
  <conditionalFormatting sqref="F40">
    <cfRule type="expression" dxfId="1207" priority="1471">
      <formula>IF(VLOOKUP($F40,PROFA,2,0)=1,1,0)</formula>
    </cfRule>
    <cfRule type="expression" dxfId="1206" priority="1472">
      <formula>IF(VLOOKUP($F40,PROFA,2,0)=2,1,0)</formula>
    </cfRule>
    <cfRule type="expression" dxfId="1205" priority="1473">
      <formula>IF(VLOOKUP($F40,PROFA,2,0)=3,1,0)</formula>
    </cfRule>
    <cfRule type="expression" dxfId="1204" priority="1474">
      <formula>IF(VLOOKUP($F40,PROFA,2,0)=4,1,0)</formula>
    </cfRule>
    <cfRule type="expression" dxfId="1203" priority="1475">
      <formula>IF(VLOOKUP($F40,PROFA,2,0)=5,1,0)</formula>
    </cfRule>
    <cfRule type="expression" dxfId="1202" priority="1476">
      <formula>IF(VLOOKUP($F40,PROFA,2,0)=6,1,0)</formula>
    </cfRule>
    <cfRule type="expression" dxfId="1201" priority="1477">
      <formula>IF(VLOOKUP($F40,PROFA,2,0)=7,1,0)</formula>
    </cfRule>
    <cfRule type="expression" dxfId="1200" priority="1478">
      <formula>IF(VLOOKUP($F40,PROFA,2,0)=8,1,0)</formula>
    </cfRule>
    <cfRule type="expression" dxfId="1199" priority="1479">
      <formula>IF(VLOOKUP($F40,PROFA,2,0)=9,1,0)</formula>
    </cfRule>
  </conditionalFormatting>
  <conditionalFormatting sqref="F44">
    <cfRule type="expression" dxfId="1198" priority="1462">
      <formula>IF(VLOOKUP($F44,PROFA,2,0)=1,1,0)</formula>
    </cfRule>
    <cfRule type="expression" dxfId="1197" priority="1463">
      <formula>IF(VLOOKUP($F44,PROFA,2,0)=2,1,0)</formula>
    </cfRule>
    <cfRule type="expression" dxfId="1196" priority="1464">
      <formula>IF(VLOOKUP($F44,PROFA,2,0)=3,1,0)</formula>
    </cfRule>
    <cfRule type="expression" dxfId="1195" priority="1465">
      <formula>IF(VLOOKUP($F44,PROFA,2,0)=4,1,0)</formula>
    </cfRule>
    <cfRule type="expression" dxfId="1194" priority="1466">
      <formula>IF(VLOOKUP($F44,PROFA,2,0)=5,1,0)</formula>
    </cfRule>
    <cfRule type="expression" dxfId="1193" priority="1467">
      <formula>IF(VLOOKUP($F44,PROFA,2,0)=6,1,0)</formula>
    </cfRule>
    <cfRule type="expression" dxfId="1192" priority="1468">
      <formula>IF(VLOOKUP($F44,PROFA,2,0)=7,1,0)</formula>
    </cfRule>
    <cfRule type="expression" dxfId="1191" priority="1469">
      <formula>IF(VLOOKUP($F44,PROFA,2,0)=8,1,0)</formula>
    </cfRule>
    <cfRule type="expression" dxfId="1190" priority="1470">
      <formula>IF(VLOOKUP($F44,PROFA,2,0)=9,1,0)</formula>
    </cfRule>
  </conditionalFormatting>
  <conditionalFormatting sqref="F45">
    <cfRule type="expression" dxfId="1189" priority="1453">
      <formula>IF(VLOOKUP($F45,PROFA,2,0)=1,1,0)</formula>
    </cfRule>
    <cfRule type="expression" dxfId="1188" priority="1454">
      <formula>IF(VLOOKUP($F45,PROFA,2,0)=2,1,0)</formula>
    </cfRule>
    <cfRule type="expression" dxfId="1187" priority="1455">
      <formula>IF(VLOOKUP($F45,PROFA,2,0)=3,1,0)</formula>
    </cfRule>
    <cfRule type="expression" dxfId="1186" priority="1456">
      <formula>IF(VLOOKUP($F45,PROFA,2,0)=4,1,0)</formula>
    </cfRule>
    <cfRule type="expression" dxfId="1185" priority="1457">
      <formula>IF(VLOOKUP($F45,PROFA,2,0)=5,1,0)</formula>
    </cfRule>
    <cfRule type="expression" dxfId="1184" priority="1458">
      <formula>IF(VLOOKUP($F45,PROFA,2,0)=6,1,0)</formula>
    </cfRule>
    <cfRule type="expression" dxfId="1183" priority="1459">
      <formula>IF(VLOOKUP($F45,PROFA,2,0)=7,1,0)</formula>
    </cfRule>
    <cfRule type="expression" dxfId="1182" priority="1460">
      <formula>IF(VLOOKUP($F45,PROFA,2,0)=8,1,0)</formula>
    </cfRule>
    <cfRule type="expression" dxfId="1181" priority="1461">
      <formula>IF(VLOOKUP($F45,PROFA,2,0)=9,1,0)</formula>
    </cfRule>
  </conditionalFormatting>
  <conditionalFormatting sqref="F54">
    <cfRule type="expression" dxfId="1180" priority="1444">
      <formula>IF(VLOOKUP($F54,PROFA,2,0)=1,1,0)</formula>
    </cfRule>
    <cfRule type="expression" dxfId="1179" priority="1445">
      <formula>IF(VLOOKUP($F54,PROFA,2,0)=2,1,0)</formula>
    </cfRule>
    <cfRule type="expression" dxfId="1178" priority="1446">
      <formula>IF(VLOOKUP($F54,PROFA,2,0)=3,1,0)</formula>
    </cfRule>
    <cfRule type="expression" dxfId="1177" priority="1447">
      <formula>IF(VLOOKUP($F54,PROFA,2,0)=4,1,0)</formula>
    </cfRule>
    <cfRule type="expression" dxfId="1176" priority="1448">
      <formula>IF(VLOOKUP($F54,PROFA,2,0)=5,1,0)</formula>
    </cfRule>
    <cfRule type="expression" dxfId="1175" priority="1449">
      <formula>IF(VLOOKUP($F54,PROFA,2,0)=6,1,0)</formula>
    </cfRule>
    <cfRule type="expression" dxfId="1174" priority="1450">
      <formula>IF(VLOOKUP($F54,PROFA,2,0)=7,1,0)</formula>
    </cfRule>
    <cfRule type="expression" dxfId="1173" priority="1451">
      <formula>IF(VLOOKUP($F54,PROFA,2,0)=8,1,0)</formula>
    </cfRule>
    <cfRule type="expression" dxfId="1172" priority="1452">
      <formula>IF(VLOOKUP($F54,PROFA,2,0)=9,1,0)</formula>
    </cfRule>
  </conditionalFormatting>
  <conditionalFormatting sqref="F56">
    <cfRule type="expression" dxfId="1171" priority="1435">
      <formula>IF(VLOOKUP($F56,PROFA,2,0)=1,1,0)</formula>
    </cfRule>
    <cfRule type="expression" dxfId="1170" priority="1436">
      <formula>IF(VLOOKUP($F56,PROFA,2,0)=2,1,0)</formula>
    </cfRule>
    <cfRule type="expression" dxfId="1169" priority="1437">
      <formula>IF(VLOOKUP($F56,PROFA,2,0)=3,1,0)</formula>
    </cfRule>
    <cfRule type="expression" dxfId="1168" priority="1438">
      <formula>IF(VLOOKUP($F56,PROFA,2,0)=4,1,0)</formula>
    </cfRule>
    <cfRule type="expression" dxfId="1167" priority="1439">
      <formula>IF(VLOOKUP($F56,PROFA,2,0)=5,1,0)</formula>
    </cfRule>
    <cfRule type="expression" dxfId="1166" priority="1440">
      <formula>IF(VLOOKUP($F56,PROFA,2,0)=6,1,0)</formula>
    </cfRule>
    <cfRule type="expression" dxfId="1165" priority="1441">
      <formula>IF(VLOOKUP($F56,PROFA,2,0)=7,1,0)</formula>
    </cfRule>
    <cfRule type="expression" dxfId="1164" priority="1442">
      <formula>IF(VLOOKUP($F56,PROFA,2,0)=8,1,0)</formula>
    </cfRule>
    <cfRule type="expression" dxfId="1163" priority="1443">
      <formula>IF(VLOOKUP($F56,PROFA,2,0)=9,1,0)</formula>
    </cfRule>
  </conditionalFormatting>
  <conditionalFormatting sqref="F57">
    <cfRule type="expression" dxfId="1162" priority="1426">
      <formula>IF(VLOOKUP($F57,PROFA,2,0)=1,1,0)</formula>
    </cfRule>
    <cfRule type="expression" dxfId="1161" priority="1427">
      <formula>IF(VLOOKUP($F57,PROFA,2,0)=2,1,0)</formula>
    </cfRule>
    <cfRule type="expression" dxfId="1160" priority="1428">
      <formula>IF(VLOOKUP($F57,PROFA,2,0)=3,1,0)</formula>
    </cfRule>
    <cfRule type="expression" dxfId="1159" priority="1429">
      <formula>IF(VLOOKUP($F57,PROFA,2,0)=4,1,0)</formula>
    </cfRule>
    <cfRule type="expression" dxfId="1158" priority="1430">
      <formula>IF(VLOOKUP($F57,PROFA,2,0)=5,1,0)</formula>
    </cfRule>
    <cfRule type="expression" dxfId="1157" priority="1431">
      <formula>IF(VLOOKUP($F57,PROFA,2,0)=6,1,0)</formula>
    </cfRule>
    <cfRule type="expression" dxfId="1156" priority="1432">
      <formula>IF(VLOOKUP($F57,PROFA,2,0)=7,1,0)</formula>
    </cfRule>
    <cfRule type="expression" dxfId="1155" priority="1433">
      <formula>IF(VLOOKUP($F57,PROFA,2,0)=8,1,0)</formula>
    </cfRule>
    <cfRule type="expression" dxfId="1154" priority="1434">
      <formula>IF(VLOOKUP($F57,PROFA,2,0)=9,1,0)</formula>
    </cfRule>
  </conditionalFormatting>
  <conditionalFormatting sqref="F59">
    <cfRule type="expression" dxfId="1153" priority="1417">
      <formula>IF(VLOOKUP($F59,PROFA,2,0)=1,1,0)</formula>
    </cfRule>
    <cfRule type="expression" dxfId="1152" priority="1418">
      <formula>IF(VLOOKUP($F59,PROFA,2,0)=2,1,0)</formula>
    </cfRule>
    <cfRule type="expression" dxfId="1151" priority="1419">
      <formula>IF(VLOOKUP($F59,PROFA,2,0)=3,1,0)</formula>
    </cfRule>
    <cfRule type="expression" dxfId="1150" priority="1420">
      <formula>IF(VLOOKUP($F59,PROFA,2,0)=4,1,0)</formula>
    </cfRule>
    <cfRule type="expression" dxfId="1149" priority="1421">
      <formula>IF(VLOOKUP($F59,PROFA,2,0)=5,1,0)</formula>
    </cfRule>
    <cfRule type="expression" dxfId="1148" priority="1422">
      <formula>IF(VLOOKUP($F59,PROFA,2,0)=6,1,0)</formula>
    </cfRule>
    <cfRule type="expression" dxfId="1147" priority="1423">
      <formula>IF(VLOOKUP($F59,PROFA,2,0)=7,1,0)</formula>
    </cfRule>
    <cfRule type="expression" dxfId="1146" priority="1424">
      <formula>IF(VLOOKUP($F59,PROFA,2,0)=8,1,0)</formula>
    </cfRule>
    <cfRule type="expression" dxfId="1145" priority="1425">
      <formula>IF(VLOOKUP($F59,PROFA,2,0)=9,1,0)</formula>
    </cfRule>
  </conditionalFormatting>
  <conditionalFormatting sqref="F60">
    <cfRule type="expression" dxfId="1144" priority="1408">
      <formula>IF(VLOOKUP($F60,PROFA,2,0)=1,1,0)</formula>
    </cfRule>
    <cfRule type="expression" dxfId="1143" priority="1409">
      <formula>IF(VLOOKUP($F60,PROFA,2,0)=2,1,0)</formula>
    </cfRule>
    <cfRule type="expression" dxfId="1142" priority="1410">
      <formula>IF(VLOOKUP($F60,PROFA,2,0)=3,1,0)</formula>
    </cfRule>
    <cfRule type="expression" dxfId="1141" priority="1411">
      <formula>IF(VLOOKUP($F60,PROFA,2,0)=4,1,0)</formula>
    </cfRule>
    <cfRule type="expression" dxfId="1140" priority="1412">
      <formula>IF(VLOOKUP($F60,PROFA,2,0)=5,1,0)</formula>
    </cfRule>
    <cfRule type="expression" dxfId="1139" priority="1413">
      <formula>IF(VLOOKUP($F60,PROFA,2,0)=6,1,0)</formula>
    </cfRule>
    <cfRule type="expression" dxfId="1138" priority="1414">
      <formula>IF(VLOOKUP($F60,PROFA,2,0)=7,1,0)</formula>
    </cfRule>
    <cfRule type="expression" dxfId="1137" priority="1415">
      <formula>IF(VLOOKUP($F60,PROFA,2,0)=8,1,0)</formula>
    </cfRule>
    <cfRule type="expression" dxfId="1136" priority="1416">
      <formula>IF(VLOOKUP($F60,PROFA,2,0)=9,1,0)</formula>
    </cfRule>
  </conditionalFormatting>
  <conditionalFormatting sqref="F61">
    <cfRule type="expression" dxfId="1135" priority="1399">
      <formula>IF(VLOOKUP($F61,PROFA,2,0)=1,1,0)</formula>
    </cfRule>
    <cfRule type="expression" dxfId="1134" priority="1400">
      <formula>IF(VLOOKUP($F61,PROFA,2,0)=2,1,0)</formula>
    </cfRule>
    <cfRule type="expression" dxfId="1133" priority="1401">
      <formula>IF(VLOOKUP($F61,PROFA,2,0)=3,1,0)</formula>
    </cfRule>
    <cfRule type="expression" dxfId="1132" priority="1402">
      <formula>IF(VLOOKUP($F61,PROFA,2,0)=4,1,0)</formula>
    </cfRule>
    <cfRule type="expression" dxfId="1131" priority="1403">
      <formula>IF(VLOOKUP($F61,PROFA,2,0)=5,1,0)</formula>
    </cfRule>
    <cfRule type="expression" dxfId="1130" priority="1404">
      <formula>IF(VLOOKUP($F61,PROFA,2,0)=6,1,0)</formula>
    </cfRule>
    <cfRule type="expression" dxfId="1129" priority="1405">
      <formula>IF(VLOOKUP($F61,PROFA,2,0)=7,1,0)</formula>
    </cfRule>
    <cfRule type="expression" dxfId="1128" priority="1406">
      <formula>IF(VLOOKUP($F61,PROFA,2,0)=8,1,0)</formula>
    </cfRule>
    <cfRule type="expression" dxfId="1127" priority="1407">
      <formula>IF(VLOOKUP($F61,PROFA,2,0)=9,1,0)</formula>
    </cfRule>
  </conditionalFormatting>
  <conditionalFormatting sqref="F67">
    <cfRule type="expression" dxfId="1126" priority="1390">
      <formula>IF(VLOOKUP($F67,PROFA,2,0)=1,1,0)</formula>
    </cfRule>
    <cfRule type="expression" dxfId="1125" priority="1391">
      <formula>IF(VLOOKUP($F67,PROFA,2,0)=2,1,0)</formula>
    </cfRule>
    <cfRule type="expression" dxfId="1124" priority="1392">
      <formula>IF(VLOOKUP($F67,PROFA,2,0)=3,1,0)</formula>
    </cfRule>
    <cfRule type="expression" dxfId="1123" priority="1393">
      <formula>IF(VLOOKUP($F67,PROFA,2,0)=4,1,0)</formula>
    </cfRule>
    <cfRule type="expression" dxfId="1122" priority="1394">
      <formula>IF(VLOOKUP($F67,PROFA,2,0)=5,1,0)</formula>
    </cfRule>
    <cfRule type="expression" dxfId="1121" priority="1395">
      <formula>IF(VLOOKUP($F67,PROFA,2,0)=6,1,0)</formula>
    </cfRule>
    <cfRule type="expression" dxfId="1120" priority="1396">
      <formula>IF(VLOOKUP($F67,PROFA,2,0)=7,1,0)</formula>
    </cfRule>
    <cfRule type="expression" dxfId="1119" priority="1397">
      <formula>IF(VLOOKUP($F67,PROFA,2,0)=8,1,0)</formula>
    </cfRule>
    <cfRule type="expression" dxfId="1118" priority="1398">
      <formula>IF(VLOOKUP($F67,PROFA,2,0)=9,1,0)</formula>
    </cfRule>
  </conditionalFormatting>
  <conditionalFormatting sqref="F68">
    <cfRule type="expression" dxfId="1117" priority="1381">
      <formula>IF(VLOOKUP($F68,PROFA,2,0)=1,1,0)</formula>
    </cfRule>
    <cfRule type="expression" dxfId="1116" priority="1382">
      <formula>IF(VLOOKUP($F68,PROFA,2,0)=2,1,0)</formula>
    </cfRule>
    <cfRule type="expression" dxfId="1115" priority="1383">
      <formula>IF(VLOOKUP($F68,PROFA,2,0)=3,1,0)</formula>
    </cfRule>
    <cfRule type="expression" dxfId="1114" priority="1384">
      <formula>IF(VLOOKUP($F68,PROFA,2,0)=4,1,0)</formula>
    </cfRule>
    <cfRule type="expression" dxfId="1113" priority="1385">
      <formula>IF(VLOOKUP($F68,PROFA,2,0)=5,1,0)</formula>
    </cfRule>
    <cfRule type="expression" dxfId="1112" priority="1386">
      <formula>IF(VLOOKUP($F68,PROFA,2,0)=6,1,0)</formula>
    </cfRule>
    <cfRule type="expression" dxfId="1111" priority="1387">
      <formula>IF(VLOOKUP($F68,PROFA,2,0)=7,1,0)</formula>
    </cfRule>
    <cfRule type="expression" dxfId="1110" priority="1388">
      <formula>IF(VLOOKUP($F68,PROFA,2,0)=8,1,0)</formula>
    </cfRule>
    <cfRule type="expression" dxfId="1109" priority="1389">
      <formula>IF(VLOOKUP($F68,PROFA,2,0)=9,1,0)</formula>
    </cfRule>
  </conditionalFormatting>
  <conditionalFormatting sqref="F77">
    <cfRule type="expression" dxfId="1108" priority="1372">
      <formula>IF(VLOOKUP($F77,PROFA,2,0)=1,1,0)</formula>
    </cfRule>
    <cfRule type="expression" dxfId="1107" priority="1373">
      <formula>IF(VLOOKUP($F77,PROFA,2,0)=2,1,0)</formula>
    </cfRule>
    <cfRule type="expression" dxfId="1106" priority="1374">
      <formula>IF(VLOOKUP($F77,PROFA,2,0)=3,1,0)</formula>
    </cfRule>
    <cfRule type="expression" dxfId="1105" priority="1375">
      <formula>IF(VLOOKUP($F77,PROFA,2,0)=4,1,0)</formula>
    </cfRule>
    <cfRule type="expression" dxfId="1104" priority="1376">
      <formula>IF(VLOOKUP($F77,PROFA,2,0)=5,1,0)</formula>
    </cfRule>
    <cfRule type="expression" dxfId="1103" priority="1377">
      <formula>IF(VLOOKUP($F77,PROFA,2,0)=6,1,0)</formula>
    </cfRule>
    <cfRule type="expression" dxfId="1102" priority="1378">
      <formula>IF(VLOOKUP($F77,PROFA,2,0)=7,1,0)</formula>
    </cfRule>
    <cfRule type="expression" dxfId="1101" priority="1379">
      <formula>IF(VLOOKUP($F77,PROFA,2,0)=8,1,0)</formula>
    </cfRule>
    <cfRule type="expression" dxfId="1100" priority="1380">
      <formula>IF(VLOOKUP($F77,PROFA,2,0)=9,1,0)</formula>
    </cfRule>
  </conditionalFormatting>
  <conditionalFormatting sqref="F80">
    <cfRule type="expression" dxfId="1099" priority="1363">
      <formula>IF(VLOOKUP($F80,PROFA,2,0)=1,1,0)</formula>
    </cfRule>
    <cfRule type="expression" dxfId="1098" priority="1364">
      <formula>IF(VLOOKUP($F80,PROFA,2,0)=2,1,0)</formula>
    </cfRule>
    <cfRule type="expression" dxfId="1097" priority="1365">
      <formula>IF(VLOOKUP($F80,PROFA,2,0)=3,1,0)</formula>
    </cfRule>
    <cfRule type="expression" dxfId="1096" priority="1366">
      <formula>IF(VLOOKUP($F80,PROFA,2,0)=4,1,0)</formula>
    </cfRule>
    <cfRule type="expression" dxfId="1095" priority="1367">
      <formula>IF(VLOOKUP($F80,PROFA,2,0)=5,1,0)</formula>
    </cfRule>
    <cfRule type="expression" dxfId="1094" priority="1368">
      <formula>IF(VLOOKUP($F80,PROFA,2,0)=6,1,0)</formula>
    </cfRule>
    <cfRule type="expression" dxfId="1093" priority="1369">
      <formula>IF(VLOOKUP($F80,PROFA,2,0)=7,1,0)</formula>
    </cfRule>
    <cfRule type="expression" dxfId="1092" priority="1370">
      <formula>IF(VLOOKUP($F80,PROFA,2,0)=8,1,0)</formula>
    </cfRule>
    <cfRule type="expression" dxfId="1091" priority="1371">
      <formula>IF(VLOOKUP($F80,PROFA,2,0)=9,1,0)</formula>
    </cfRule>
  </conditionalFormatting>
  <conditionalFormatting sqref="F81">
    <cfRule type="expression" dxfId="1090" priority="1354">
      <formula>IF(VLOOKUP($F81,PROFA,2,0)=1,1,0)</formula>
    </cfRule>
    <cfRule type="expression" dxfId="1089" priority="1355">
      <formula>IF(VLOOKUP($F81,PROFA,2,0)=2,1,0)</formula>
    </cfRule>
    <cfRule type="expression" dxfId="1088" priority="1356">
      <formula>IF(VLOOKUP($F81,PROFA,2,0)=3,1,0)</formula>
    </cfRule>
    <cfRule type="expression" dxfId="1087" priority="1357">
      <formula>IF(VLOOKUP($F81,PROFA,2,0)=4,1,0)</formula>
    </cfRule>
    <cfRule type="expression" dxfId="1086" priority="1358">
      <formula>IF(VLOOKUP($F81,PROFA,2,0)=5,1,0)</formula>
    </cfRule>
    <cfRule type="expression" dxfId="1085" priority="1359">
      <formula>IF(VLOOKUP($F81,PROFA,2,0)=6,1,0)</formula>
    </cfRule>
    <cfRule type="expression" dxfId="1084" priority="1360">
      <formula>IF(VLOOKUP($F81,PROFA,2,0)=7,1,0)</formula>
    </cfRule>
    <cfRule type="expression" dxfId="1083" priority="1361">
      <formula>IF(VLOOKUP($F81,PROFA,2,0)=8,1,0)</formula>
    </cfRule>
    <cfRule type="expression" dxfId="1082" priority="1362">
      <formula>IF(VLOOKUP($F81,PROFA,2,0)=9,1,0)</formula>
    </cfRule>
  </conditionalFormatting>
  <conditionalFormatting sqref="F85">
    <cfRule type="expression" dxfId="1081" priority="1345">
      <formula>IF(VLOOKUP($F85,PROFA,2,0)=1,1,0)</formula>
    </cfRule>
    <cfRule type="expression" dxfId="1080" priority="1346">
      <formula>IF(VLOOKUP($F85,PROFA,2,0)=2,1,0)</formula>
    </cfRule>
    <cfRule type="expression" dxfId="1079" priority="1347">
      <formula>IF(VLOOKUP($F85,PROFA,2,0)=3,1,0)</formula>
    </cfRule>
    <cfRule type="expression" dxfId="1078" priority="1348">
      <formula>IF(VLOOKUP($F85,PROFA,2,0)=4,1,0)</formula>
    </cfRule>
    <cfRule type="expression" dxfId="1077" priority="1349">
      <formula>IF(VLOOKUP($F85,PROFA,2,0)=5,1,0)</formula>
    </cfRule>
    <cfRule type="expression" dxfId="1076" priority="1350">
      <formula>IF(VLOOKUP($F85,PROFA,2,0)=6,1,0)</formula>
    </cfRule>
    <cfRule type="expression" dxfId="1075" priority="1351">
      <formula>IF(VLOOKUP($F85,PROFA,2,0)=7,1,0)</formula>
    </cfRule>
    <cfRule type="expression" dxfId="1074" priority="1352">
      <formula>IF(VLOOKUP($F85,PROFA,2,0)=8,1,0)</formula>
    </cfRule>
    <cfRule type="expression" dxfId="1073" priority="1353">
      <formula>IF(VLOOKUP($F85,PROFA,2,0)=9,1,0)</formula>
    </cfRule>
  </conditionalFormatting>
  <conditionalFormatting sqref="F88">
    <cfRule type="expression" dxfId="1072" priority="1336">
      <formula>IF(VLOOKUP($F88,PROFA,2,0)=1,1,0)</formula>
    </cfRule>
    <cfRule type="expression" dxfId="1071" priority="1337">
      <formula>IF(VLOOKUP($F88,PROFA,2,0)=2,1,0)</formula>
    </cfRule>
    <cfRule type="expression" dxfId="1070" priority="1338">
      <formula>IF(VLOOKUP($F88,PROFA,2,0)=3,1,0)</formula>
    </cfRule>
    <cfRule type="expression" dxfId="1069" priority="1339">
      <formula>IF(VLOOKUP($F88,PROFA,2,0)=4,1,0)</formula>
    </cfRule>
    <cfRule type="expression" dxfId="1068" priority="1340">
      <formula>IF(VLOOKUP($F88,PROFA,2,0)=5,1,0)</formula>
    </cfRule>
    <cfRule type="expression" dxfId="1067" priority="1341">
      <formula>IF(VLOOKUP($F88,PROFA,2,0)=6,1,0)</formula>
    </cfRule>
    <cfRule type="expression" dxfId="1066" priority="1342">
      <formula>IF(VLOOKUP($F88,PROFA,2,0)=7,1,0)</formula>
    </cfRule>
    <cfRule type="expression" dxfId="1065" priority="1343">
      <formula>IF(VLOOKUP($F88,PROFA,2,0)=8,1,0)</formula>
    </cfRule>
    <cfRule type="expression" dxfId="1064" priority="1344">
      <formula>IF(VLOOKUP($F88,PROFA,2,0)=9,1,0)</formula>
    </cfRule>
  </conditionalFormatting>
  <conditionalFormatting sqref="F89">
    <cfRule type="expression" dxfId="1063" priority="1327">
      <formula>IF(VLOOKUP($F89,PROFA,2,0)=1,1,0)</formula>
    </cfRule>
    <cfRule type="expression" dxfId="1062" priority="1328">
      <formula>IF(VLOOKUP($F89,PROFA,2,0)=2,1,0)</formula>
    </cfRule>
    <cfRule type="expression" dxfId="1061" priority="1329">
      <formula>IF(VLOOKUP($F89,PROFA,2,0)=3,1,0)</formula>
    </cfRule>
    <cfRule type="expression" dxfId="1060" priority="1330">
      <formula>IF(VLOOKUP($F89,PROFA,2,0)=4,1,0)</formula>
    </cfRule>
    <cfRule type="expression" dxfId="1059" priority="1331">
      <formula>IF(VLOOKUP($F89,PROFA,2,0)=5,1,0)</formula>
    </cfRule>
    <cfRule type="expression" dxfId="1058" priority="1332">
      <formula>IF(VLOOKUP($F89,PROFA,2,0)=6,1,0)</formula>
    </cfRule>
    <cfRule type="expression" dxfId="1057" priority="1333">
      <formula>IF(VLOOKUP($F89,PROFA,2,0)=7,1,0)</formula>
    </cfRule>
    <cfRule type="expression" dxfId="1056" priority="1334">
      <formula>IF(VLOOKUP($F89,PROFA,2,0)=8,1,0)</formula>
    </cfRule>
    <cfRule type="expression" dxfId="1055" priority="1335">
      <formula>IF(VLOOKUP($F89,PROFA,2,0)=9,1,0)</formula>
    </cfRule>
  </conditionalFormatting>
  <conditionalFormatting sqref="F95">
    <cfRule type="expression" dxfId="1054" priority="1318">
      <formula>IF(VLOOKUP($F95,PROFA,2,0)=1,1,0)</formula>
    </cfRule>
    <cfRule type="expression" dxfId="1053" priority="1319">
      <formula>IF(VLOOKUP($F95,PROFA,2,0)=2,1,0)</formula>
    </cfRule>
    <cfRule type="expression" dxfId="1052" priority="1320">
      <formula>IF(VLOOKUP($F95,PROFA,2,0)=3,1,0)</formula>
    </cfRule>
    <cfRule type="expression" dxfId="1051" priority="1321">
      <formula>IF(VLOOKUP($F95,PROFA,2,0)=4,1,0)</formula>
    </cfRule>
    <cfRule type="expression" dxfId="1050" priority="1322">
      <formula>IF(VLOOKUP($F95,PROFA,2,0)=5,1,0)</formula>
    </cfRule>
    <cfRule type="expression" dxfId="1049" priority="1323">
      <formula>IF(VLOOKUP($F95,PROFA,2,0)=6,1,0)</formula>
    </cfRule>
    <cfRule type="expression" dxfId="1048" priority="1324">
      <formula>IF(VLOOKUP($F95,PROFA,2,0)=7,1,0)</formula>
    </cfRule>
    <cfRule type="expression" dxfId="1047" priority="1325">
      <formula>IF(VLOOKUP($F95,PROFA,2,0)=8,1,0)</formula>
    </cfRule>
    <cfRule type="expression" dxfId="1046" priority="1326">
      <formula>IF(VLOOKUP($F95,PROFA,2,0)=9,1,0)</formula>
    </cfRule>
  </conditionalFormatting>
  <conditionalFormatting sqref="F100">
    <cfRule type="expression" dxfId="1045" priority="1309">
      <formula>IF(VLOOKUP($F100,PROFA,2,0)=1,1,0)</formula>
    </cfRule>
    <cfRule type="expression" dxfId="1044" priority="1310">
      <formula>IF(VLOOKUP($F100,PROFA,2,0)=2,1,0)</formula>
    </cfRule>
    <cfRule type="expression" dxfId="1043" priority="1311">
      <formula>IF(VLOOKUP($F100,PROFA,2,0)=3,1,0)</formula>
    </cfRule>
    <cfRule type="expression" dxfId="1042" priority="1312">
      <formula>IF(VLOOKUP($F100,PROFA,2,0)=4,1,0)</formula>
    </cfRule>
    <cfRule type="expression" dxfId="1041" priority="1313">
      <formula>IF(VLOOKUP($F100,PROFA,2,0)=5,1,0)</formula>
    </cfRule>
    <cfRule type="expression" dxfId="1040" priority="1314">
      <formula>IF(VLOOKUP($F100,PROFA,2,0)=6,1,0)</formula>
    </cfRule>
    <cfRule type="expression" dxfId="1039" priority="1315">
      <formula>IF(VLOOKUP($F100,PROFA,2,0)=7,1,0)</formula>
    </cfRule>
    <cfRule type="expression" dxfId="1038" priority="1316">
      <formula>IF(VLOOKUP($F100,PROFA,2,0)=8,1,0)</formula>
    </cfRule>
    <cfRule type="expression" dxfId="1037" priority="1317">
      <formula>IF(VLOOKUP($F100,PROFA,2,0)=9,1,0)</formula>
    </cfRule>
  </conditionalFormatting>
  <conditionalFormatting sqref="F101">
    <cfRule type="expression" dxfId="1036" priority="1300">
      <formula>IF(VLOOKUP($F101,PROFA,2,0)=1,1,0)</formula>
    </cfRule>
    <cfRule type="expression" dxfId="1035" priority="1301">
      <formula>IF(VLOOKUP($F101,PROFA,2,0)=2,1,0)</formula>
    </cfRule>
    <cfRule type="expression" dxfId="1034" priority="1302">
      <formula>IF(VLOOKUP($F101,PROFA,2,0)=3,1,0)</formula>
    </cfRule>
    <cfRule type="expression" dxfId="1033" priority="1303">
      <formula>IF(VLOOKUP($F101,PROFA,2,0)=4,1,0)</formula>
    </cfRule>
    <cfRule type="expression" dxfId="1032" priority="1304">
      <formula>IF(VLOOKUP($F101,PROFA,2,0)=5,1,0)</formula>
    </cfRule>
    <cfRule type="expression" dxfId="1031" priority="1305">
      <formula>IF(VLOOKUP($F101,PROFA,2,0)=6,1,0)</formula>
    </cfRule>
    <cfRule type="expression" dxfId="1030" priority="1306">
      <formula>IF(VLOOKUP($F101,PROFA,2,0)=7,1,0)</formula>
    </cfRule>
    <cfRule type="expression" dxfId="1029" priority="1307">
      <formula>IF(VLOOKUP($F101,PROFA,2,0)=8,1,0)</formula>
    </cfRule>
    <cfRule type="expression" dxfId="1028" priority="1308">
      <formula>IF(VLOOKUP($F101,PROFA,2,0)=9,1,0)</formula>
    </cfRule>
  </conditionalFormatting>
  <conditionalFormatting sqref="F108">
    <cfRule type="expression" dxfId="1027" priority="1291">
      <formula>IF(VLOOKUP($F108,PROFA,2,0)=1,1,0)</formula>
    </cfRule>
    <cfRule type="expression" dxfId="1026" priority="1292">
      <formula>IF(VLOOKUP($F108,PROFA,2,0)=2,1,0)</formula>
    </cfRule>
    <cfRule type="expression" dxfId="1025" priority="1293">
      <formula>IF(VLOOKUP($F108,PROFA,2,0)=3,1,0)</formula>
    </cfRule>
    <cfRule type="expression" dxfId="1024" priority="1294">
      <formula>IF(VLOOKUP($F108,PROFA,2,0)=4,1,0)</formula>
    </cfRule>
    <cfRule type="expression" dxfId="1023" priority="1295">
      <formula>IF(VLOOKUP($F108,PROFA,2,0)=5,1,0)</formula>
    </cfRule>
    <cfRule type="expression" dxfId="1022" priority="1296">
      <formula>IF(VLOOKUP($F108,PROFA,2,0)=6,1,0)</formula>
    </cfRule>
    <cfRule type="expression" dxfId="1021" priority="1297">
      <formula>IF(VLOOKUP($F108,PROFA,2,0)=7,1,0)</formula>
    </cfRule>
    <cfRule type="expression" dxfId="1020" priority="1298">
      <formula>IF(VLOOKUP($F108,PROFA,2,0)=8,1,0)</formula>
    </cfRule>
    <cfRule type="expression" dxfId="1019" priority="1299">
      <formula>IF(VLOOKUP($F108,PROFA,2,0)=9,1,0)</formula>
    </cfRule>
  </conditionalFormatting>
  <conditionalFormatting sqref="F116">
    <cfRule type="expression" dxfId="1018" priority="1282">
      <formula>IF(VLOOKUP($F116,PROFA,2,0)=1,1,0)</formula>
    </cfRule>
    <cfRule type="expression" dxfId="1017" priority="1283">
      <formula>IF(VLOOKUP($F116,PROFA,2,0)=2,1,0)</formula>
    </cfRule>
    <cfRule type="expression" dxfId="1016" priority="1284">
      <formula>IF(VLOOKUP($F116,PROFA,2,0)=3,1,0)</formula>
    </cfRule>
    <cfRule type="expression" dxfId="1015" priority="1285">
      <formula>IF(VLOOKUP($F116,PROFA,2,0)=4,1,0)</formula>
    </cfRule>
    <cfRule type="expression" dxfId="1014" priority="1286">
      <formula>IF(VLOOKUP($F116,PROFA,2,0)=5,1,0)</formula>
    </cfRule>
    <cfRule type="expression" dxfId="1013" priority="1287">
      <formula>IF(VLOOKUP($F116,PROFA,2,0)=6,1,0)</formula>
    </cfRule>
    <cfRule type="expression" dxfId="1012" priority="1288">
      <formula>IF(VLOOKUP($F116,PROFA,2,0)=7,1,0)</formula>
    </cfRule>
    <cfRule type="expression" dxfId="1011" priority="1289">
      <formula>IF(VLOOKUP($F116,PROFA,2,0)=8,1,0)</formula>
    </cfRule>
    <cfRule type="expression" dxfId="1010" priority="1290">
      <formula>IF(VLOOKUP($F116,PROFA,2,0)=9,1,0)</formula>
    </cfRule>
  </conditionalFormatting>
  <conditionalFormatting sqref="F132">
    <cfRule type="expression" dxfId="1009" priority="1273">
      <formula>IF(VLOOKUP($F132,PROFA,2,0)=1,1,0)</formula>
    </cfRule>
    <cfRule type="expression" dxfId="1008" priority="1274">
      <formula>IF(VLOOKUP($F132,PROFA,2,0)=2,1,0)</formula>
    </cfRule>
    <cfRule type="expression" dxfId="1007" priority="1275">
      <formula>IF(VLOOKUP($F132,PROFA,2,0)=3,1,0)</formula>
    </cfRule>
    <cfRule type="expression" dxfId="1006" priority="1276">
      <formula>IF(VLOOKUP($F132,PROFA,2,0)=4,1,0)</formula>
    </cfRule>
    <cfRule type="expression" dxfId="1005" priority="1277">
      <formula>IF(VLOOKUP($F132,PROFA,2,0)=5,1,0)</formula>
    </cfRule>
    <cfRule type="expression" dxfId="1004" priority="1278">
      <formula>IF(VLOOKUP($F132,PROFA,2,0)=6,1,0)</formula>
    </cfRule>
    <cfRule type="expression" dxfId="1003" priority="1279">
      <formula>IF(VLOOKUP($F132,PROFA,2,0)=7,1,0)</formula>
    </cfRule>
    <cfRule type="expression" dxfId="1002" priority="1280">
      <formula>IF(VLOOKUP($F132,PROFA,2,0)=8,1,0)</formula>
    </cfRule>
    <cfRule type="expression" dxfId="1001" priority="1281">
      <formula>IF(VLOOKUP($F132,PROFA,2,0)=9,1,0)</formula>
    </cfRule>
  </conditionalFormatting>
  <conditionalFormatting sqref="F133">
    <cfRule type="expression" dxfId="1000" priority="1264">
      <formula>IF(VLOOKUP($F133,PROFA,2,0)=1,1,0)</formula>
    </cfRule>
    <cfRule type="expression" dxfId="999" priority="1265">
      <formula>IF(VLOOKUP($F133,PROFA,2,0)=2,1,0)</formula>
    </cfRule>
    <cfRule type="expression" dxfId="998" priority="1266">
      <formula>IF(VLOOKUP($F133,PROFA,2,0)=3,1,0)</formula>
    </cfRule>
    <cfRule type="expression" dxfId="997" priority="1267">
      <formula>IF(VLOOKUP($F133,PROFA,2,0)=4,1,0)</formula>
    </cfRule>
    <cfRule type="expression" dxfId="996" priority="1268">
      <formula>IF(VLOOKUP($F133,PROFA,2,0)=5,1,0)</formula>
    </cfRule>
    <cfRule type="expression" dxfId="995" priority="1269">
      <formula>IF(VLOOKUP($F133,PROFA,2,0)=6,1,0)</formula>
    </cfRule>
    <cfRule type="expression" dxfId="994" priority="1270">
      <formula>IF(VLOOKUP($F133,PROFA,2,0)=7,1,0)</formula>
    </cfRule>
    <cfRule type="expression" dxfId="993" priority="1271">
      <formula>IF(VLOOKUP($F133,PROFA,2,0)=8,1,0)</formula>
    </cfRule>
    <cfRule type="expression" dxfId="992" priority="1272">
      <formula>IF(VLOOKUP($F133,PROFA,2,0)=9,1,0)</formula>
    </cfRule>
  </conditionalFormatting>
  <conditionalFormatting sqref="F135">
    <cfRule type="expression" dxfId="991" priority="1255">
      <formula>IF(VLOOKUP($F135,PROFA,2,0)=1,1,0)</formula>
    </cfRule>
    <cfRule type="expression" dxfId="990" priority="1256">
      <formula>IF(VLOOKUP($F135,PROFA,2,0)=2,1,0)</formula>
    </cfRule>
    <cfRule type="expression" dxfId="989" priority="1257">
      <formula>IF(VLOOKUP($F135,PROFA,2,0)=3,1,0)</formula>
    </cfRule>
    <cfRule type="expression" dxfId="988" priority="1258">
      <formula>IF(VLOOKUP($F135,PROFA,2,0)=4,1,0)</formula>
    </cfRule>
    <cfRule type="expression" dxfId="987" priority="1259">
      <formula>IF(VLOOKUP($F135,PROFA,2,0)=5,1,0)</formula>
    </cfRule>
    <cfRule type="expression" dxfId="986" priority="1260">
      <formula>IF(VLOOKUP($F135,PROFA,2,0)=6,1,0)</formula>
    </cfRule>
    <cfRule type="expression" dxfId="985" priority="1261">
      <formula>IF(VLOOKUP($F135,PROFA,2,0)=7,1,0)</formula>
    </cfRule>
    <cfRule type="expression" dxfId="984" priority="1262">
      <formula>IF(VLOOKUP($F135,PROFA,2,0)=8,1,0)</formula>
    </cfRule>
    <cfRule type="expression" dxfId="983" priority="1263">
      <formula>IF(VLOOKUP($F135,PROFA,2,0)=9,1,0)</formula>
    </cfRule>
  </conditionalFormatting>
  <conditionalFormatting sqref="F139">
    <cfRule type="expression" dxfId="982" priority="1246">
      <formula>IF(VLOOKUP($F139,PROFA,2,0)=1,1,0)</formula>
    </cfRule>
    <cfRule type="expression" dxfId="981" priority="1247">
      <formula>IF(VLOOKUP($F139,PROFA,2,0)=2,1,0)</formula>
    </cfRule>
    <cfRule type="expression" dxfId="980" priority="1248">
      <formula>IF(VLOOKUP($F139,PROFA,2,0)=3,1,0)</formula>
    </cfRule>
    <cfRule type="expression" dxfId="979" priority="1249">
      <formula>IF(VLOOKUP($F139,PROFA,2,0)=4,1,0)</formula>
    </cfRule>
    <cfRule type="expression" dxfId="978" priority="1250">
      <formula>IF(VLOOKUP($F139,PROFA,2,0)=5,1,0)</formula>
    </cfRule>
    <cfRule type="expression" dxfId="977" priority="1251">
      <formula>IF(VLOOKUP($F139,PROFA,2,0)=6,1,0)</formula>
    </cfRule>
    <cfRule type="expression" dxfId="976" priority="1252">
      <formula>IF(VLOOKUP($F139,PROFA,2,0)=7,1,0)</formula>
    </cfRule>
    <cfRule type="expression" dxfId="975" priority="1253">
      <formula>IF(VLOOKUP($F139,PROFA,2,0)=8,1,0)</formula>
    </cfRule>
    <cfRule type="expression" dxfId="974" priority="1254">
      <formula>IF(VLOOKUP($F139,PROFA,2,0)=9,1,0)</formula>
    </cfRule>
  </conditionalFormatting>
  <conditionalFormatting sqref="F142">
    <cfRule type="expression" dxfId="973" priority="1237">
      <formula>IF(VLOOKUP($F142,PROFA,2,0)=1,1,0)</formula>
    </cfRule>
    <cfRule type="expression" dxfId="972" priority="1238">
      <formula>IF(VLOOKUP($F142,PROFA,2,0)=2,1,0)</formula>
    </cfRule>
    <cfRule type="expression" dxfId="971" priority="1239">
      <formula>IF(VLOOKUP($F142,PROFA,2,0)=3,1,0)</formula>
    </cfRule>
    <cfRule type="expression" dxfId="970" priority="1240">
      <formula>IF(VLOOKUP($F142,PROFA,2,0)=4,1,0)</formula>
    </cfRule>
    <cfRule type="expression" dxfId="969" priority="1241">
      <formula>IF(VLOOKUP($F142,PROFA,2,0)=5,1,0)</formula>
    </cfRule>
    <cfRule type="expression" dxfId="968" priority="1242">
      <formula>IF(VLOOKUP($F142,PROFA,2,0)=6,1,0)</formula>
    </cfRule>
    <cfRule type="expression" dxfId="967" priority="1243">
      <formula>IF(VLOOKUP($F142,PROFA,2,0)=7,1,0)</formula>
    </cfRule>
    <cfRule type="expression" dxfId="966" priority="1244">
      <formula>IF(VLOOKUP($F142,PROFA,2,0)=8,1,0)</formula>
    </cfRule>
    <cfRule type="expression" dxfId="965" priority="1245">
      <formula>IF(VLOOKUP($F142,PROFA,2,0)=9,1,0)</formula>
    </cfRule>
  </conditionalFormatting>
  <conditionalFormatting sqref="F150">
    <cfRule type="expression" dxfId="964" priority="1219">
      <formula>IF(VLOOKUP($F150,PROFA,2,0)=1,1,0)</formula>
    </cfRule>
    <cfRule type="expression" dxfId="963" priority="1220">
      <formula>IF(VLOOKUP($F150,PROFA,2,0)=2,1,0)</formula>
    </cfRule>
    <cfRule type="expression" dxfId="962" priority="1221">
      <formula>IF(VLOOKUP($F150,PROFA,2,0)=3,1,0)</formula>
    </cfRule>
    <cfRule type="expression" dxfId="961" priority="1222">
      <formula>IF(VLOOKUP($F150,PROFA,2,0)=4,1,0)</formula>
    </cfRule>
    <cfRule type="expression" dxfId="960" priority="1223">
      <formula>IF(VLOOKUP($F150,PROFA,2,0)=5,1,0)</formula>
    </cfRule>
    <cfRule type="expression" dxfId="959" priority="1224">
      <formula>IF(VLOOKUP($F150,PROFA,2,0)=6,1,0)</formula>
    </cfRule>
    <cfRule type="expression" dxfId="958" priority="1225">
      <formula>IF(VLOOKUP($F150,PROFA,2,0)=7,1,0)</formula>
    </cfRule>
    <cfRule type="expression" dxfId="957" priority="1226">
      <formula>IF(VLOOKUP($F150,PROFA,2,0)=8,1,0)</formula>
    </cfRule>
    <cfRule type="expression" dxfId="956" priority="1227">
      <formula>IF(VLOOKUP($F150,PROFA,2,0)=9,1,0)</formula>
    </cfRule>
  </conditionalFormatting>
  <conditionalFormatting sqref="F158">
    <cfRule type="expression" dxfId="955" priority="1210">
      <formula>IF(VLOOKUP($F158,PROFA,2,0)=1,1,0)</formula>
    </cfRule>
    <cfRule type="expression" dxfId="954" priority="1211">
      <formula>IF(VLOOKUP($F158,PROFA,2,0)=2,1,0)</formula>
    </cfRule>
    <cfRule type="expression" dxfId="953" priority="1212">
      <formula>IF(VLOOKUP($F158,PROFA,2,0)=3,1,0)</formula>
    </cfRule>
    <cfRule type="expression" dxfId="952" priority="1213">
      <formula>IF(VLOOKUP($F158,PROFA,2,0)=4,1,0)</formula>
    </cfRule>
    <cfRule type="expression" dxfId="951" priority="1214">
      <formula>IF(VLOOKUP($F158,PROFA,2,0)=5,1,0)</formula>
    </cfRule>
    <cfRule type="expression" dxfId="950" priority="1215">
      <formula>IF(VLOOKUP($F158,PROFA,2,0)=6,1,0)</formula>
    </cfRule>
    <cfRule type="expression" dxfId="949" priority="1216">
      <formula>IF(VLOOKUP($F158,PROFA,2,0)=7,1,0)</formula>
    </cfRule>
    <cfRule type="expression" dxfId="948" priority="1217">
      <formula>IF(VLOOKUP($F158,PROFA,2,0)=8,1,0)</formula>
    </cfRule>
    <cfRule type="expression" dxfId="947" priority="1218">
      <formula>IF(VLOOKUP($F158,PROFA,2,0)=9,1,0)</formula>
    </cfRule>
  </conditionalFormatting>
  <conditionalFormatting sqref="F159">
    <cfRule type="expression" dxfId="946" priority="1201">
      <formula>IF(VLOOKUP($F159,PROFA,2,0)=1,1,0)</formula>
    </cfRule>
    <cfRule type="expression" dxfId="945" priority="1202">
      <formula>IF(VLOOKUP($F159,PROFA,2,0)=2,1,0)</formula>
    </cfRule>
    <cfRule type="expression" dxfId="944" priority="1203">
      <formula>IF(VLOOKUP($F159,PROFA,2,0)=3,1,0)</formula>
    </cfRule>
    <cfRule type="expression" dxfId="943" priority="1204">
      <formula>IF(VLOOKUP($F159,PROFA,2,0)=4,1,0)</formula>
    </cfRule>
    <cfRule type="expression" dxfId="942" priority="1205">
      <formula>IF(VLOOKUP($F159,PROFA,2,0)=5,1,0)</formula>
    </cfRule>
    <cfRule type="expression" dxfId="941" priority="1206">
      <formula>IF(VLOOKUP($F159,PROFA,2,0)=6,1,0)</formula>
    </cfRule>
    <cfRule type="expression" dxfId="940" priority="1207">
      <formula>IF(VLOOKUP($F159,PROFA,2,0)=7,1,0)</formula>
    </cfRule>
    <cfRule type="expression" dxfId="939" priority="1208">
      <formula>IF(VLOOKUP($F159,PROFA,2,0)=8,1,0)</formula>
    </cfRule>
    <cfRule type="expression" dxfId="938" priority="1209">
      <formula>IF(VLOOKUP($F159,PROFA,2,0)=9,1,0)</formula>
    </cfRule>
  </conditionalFormatting>
  <conditionalFormatting sqref="F161">
    <cfRule type="expression" dxfId="937" priority="1192">
      <formula>IF(VLOOKUP($F161,PROFA,2,0)=1,1,0)</formula>
    </cfRule>
    <cfRule type="expression" dxfId="936" priority="1193">
      <formula>IF(VLOOKUP($F161,PROFA,2,0)=2,1,0)</formula>
    </cfRule>
    <cfRule type="expression" dxfId="935" priority="1194">
      <formula>IF(VLOOKUP($F161,PROFA,2,0)=3,1,0)</formula>
    </cfRule>
    <cfRule type="expression" dxfId="934" priority="1195">
      <formula>IF(VLOOKUP($F161,PROFA,2,0)=4,1,0)</formula>
    </cfRule>
    <cfRule type="expression" dxfId="933" priority="1196">
      <formula>IF(VLOOKUP($F161,PROFA,2,0)=5,1,0)</formula>
    </cfRule>
    <cfRule type="expression" dxfId="932" priority="1197">
      <formula>IF(VLOOKUP($F161,PROFA,2,0)=6,1,0)</formula>
    </cfRule>
    <cfRule type="expression" dxfId="931" priority="1198">
      <formula>IF(VLOOKUP($F161,PROFA,2,0)=7,1,0)</formula>
    </cfRule>
    <cfRule type="expression" dxfId="930" priority="1199">
      <formula>IF(VLOOKUP($F161,PROFA,2,0)=8,1,0)</formula>
    </cfRule>
    <cfRule type="expression" dxfId="929" priority="1200">
      <formula>IF(VLOOKUP($F161,PROFA,2,0)=9,1,0)</formula>
    </cfRule>
  </conditionalFormatting>
  <conditionalFormatting sqref="F163">
    <cfRule type="expression" dxfId="928" priority="1183">
      <formula>IF(VLOOKUP($F163,PROFA,2,0)=1,1,0)</formula>
    </cfRule>
    <cfRule type="expression" dxfId="927" priority="1184">
      <formula>IF(VLOOKUP($F163,PROFA,2,0)=2,1,0)</formula>
    </cfRule>
    <cfRule type="expression" dxfId="926" priority="1185">
      <formula>IF(VLOOKUP($F163,PROFA,2,0)=3,1,0)</formula>
    </cfRule>
    <cfRule type="expression" dxfId="925" priority="1186">
      <formula>IF(VLOOKUP($F163,PROFA,2,0)=4,1,0)</formula>
    </cfRule>
    <cfRule type="expression" dxfId="924" priority="1187">
      <formula>IF(VLOOKUP($F163,PROFA,2,0)=5,1,0)</formula>
    </cfRule>
    <cfRule type="expression" dxfId="923" priority="1188">
      <formula>IF(VLOOKUP($F163,PROFA,2,0)=6,1,0)</formula>
    </cfRule>
    <cfRule type="expression" dxfId="922" priority="1189">
      <formula>IF(VLOOKUP($F163,PROFA,2,0)=7,1,0)</formula>
    </cfRule>
    <cfRule type="expression" dxfId="921" priority="1190">
      <formula>IF(VLOOKUP($F163,PROFA,2,0)=8,1,0)</formula>
    </cfRule>
    <cfRule type="expression" dxfId="920" priority="1191">
      <formula>IF(VLOOKUP($F163,PROFA,2,0)=9,1,0)</formula>
    </cfRule>
  </conditionalFormatting>
  <conditionalFormatting sqref="F165">
    <cfRule type="expression" dxfId="919" priority="1174">
      <formula>IF(VLOOKUP($F165,PROFA,2,0)=1,1,0)</formula>
    </cfRule>
    <cfRule type="expression" dxfId="918" priority="1175">
      <formula>IF(VLOOKUP($F165,PROFA,2,0)=2,1,0)</formula>
    </cfRule>
    <cfRule type="expression" dxfId="917" priority="1176">
      <formula>IF(VLOOKUP($F165,PROFA,2,0)=3,1,0)</formula>
    </cfRule>
    <cfRule type="expression" dxfId="916" priority="1177">
      <formula>IF(VLOOKUP($F165,PROFA,2,0)=4,1,0)</formula>
    </cfRule>
    <cfRule type="expression" dxfId="915" priority="1178">
      <formula>IF(VLOOKUP($F165,PROFA,2,0)=5,1,0)</formula>
    </cfRule>
    <cfRule type="expression" dxfId="914" priority="1179">
      <formula>IF(VLOOKUP($F165,PROFA,2,0)=6,1,0)</formula>
    </cfRule>
    <cfRule type="expression" dxfId="913" priority="1180">
      <formula>IF(VLOOKUP($F165,PROFA,2,0)=7,1,0)</formula>
    </cfRule>
    <cfRule type="expression" dxfId="912" priority="1181">
      <formula>IF(VLOOKUP($F165,PROFA,2,0)=8,1,0)</formula>
    </cfRule>
    <cfRule type="expression" dxfId="911" priority="1182">
      <formula>IF(VLOOKUP($F165,PROFA,2,0)=9,1,0)</formula>
    </cfRule>
  </conditionalFormatting>
  <conditionalFormatting sqref="F169">
    <cfRule type="expression" dxfId="910" priority="1165">
      <formula>IF(VLOOKUP($F169,PROFA,2,0)=1,1,0)</formula>
    </cfRule>
    <cfRule type="expression" dxfId="909" priority="1166">
      <formula>IF(VLOOKUP($F169,PROFA,2,0)=2,1,0)</formula>
    </cfRule>
    <cfRule type="expression" dxfId="908" priority="1167">
      <formula>IF(VLOOKUP($F169,PROFA,2,0)=3,1,0)</formula>
    </cfRule>
    <cfRule type="expression" dxfId="907" priority="1168">
      <formula>IF(VLOOKUP($F169,PROFA,2,0)=4,1,0)</formula>
    </cfRule>
    <cfRule type="expression" dxfId="906" priority="1169">
      <formula>IF(VLOOKUP($F169,PROFA,2,0)=5,1,0)</formula>
    </cfRule>
    <cfRule type="expression" dxfId="905" priority="1170">
      <formula>IF(VLOOKUP($F169,PROFA,2,0)=6,1,0)</formula>
    </cfRule>
    <cfRule type="expression" dxfId="904" priority="1171">
      <formula>IF(VLOOKUP($F169,PROFA,2,0)=7,1,0)</formula>
    </cfRule>
    <cfRule type="expression" dxfId="903" priority="1172">
      <formula>IF(VLOOKUP($F169,PROFA,2,0)=8,1,0)</formula>
    </cfRule>
    <cfRule type="expression" dxfId="902" priority="1173">
      <formula>IF(VLOOKUP($F169,PROFA,2,0)=9,1,0)</formula>
    </cfRule>
  </conditionalFormatting>
  <conditionalFormatting sqref="F177">
    <cfRule type="expression" dxfId="901" priority="1156">
      <formula>IF(VLOOKUP($F177,PROFA,2,0)=1,1,0)</formula>
    </cfRule>
    <cfRule type="expression" dxfId="900" priority="1157">
      <formula>IF(VLOOKUP($F177,PROFA,2,0)=2,1,0)</formula>
    </cfRule>
    <cfRule type="expression" dxfId="899" priority="1158">
      <formula>IF(VLOOKUP($F177,PROFA,2,0)=3,1,0)</formula>
    </cfRule>
    <cfRule type="expression" dxfId="898" priority="1159">
      <formula>IF(VLOOKUP($F177,PROFA,2,0)=4,1,0)</formula>
    </cfRule>
    <cfRule type="expression" dxfId="897" priority="1160">
      <formula>IF(VLOOKUP($F177,PROFA,2,0)=5,1,0)</formula>
    </cfRule>
    <cfRule type="expression" dxfId="896" priority="1161">
      <formula>IF(VLOOKUP($F177,PROFA,2,0)=6,1,0)</formula>
    </cfRule>
    <cfRule type="expression" dxfId="895" priority="1162">
      <formula>IF(VLOOKUP($F177,PROFA,2,0)=7,1,0)</formula>
    </cfRule>
    <cfRule type="expression" dxfId="894" priority="1163">
      <formula>IF(VLOOKUP($F177,PROFA,2,0)=8,1,0)</formula>
    </cfRule>
    <cfRule type="expression" dxfId="893" priority="1164">
      <formula>IF(VLOOKUP($F177,PROFA,2,0)=9,1,0)</formula>
    </cfRule>
  </conditionalFormatting>
  <conditionalFormatting sqref="F180">
    <cfRule type="expression" dxfId="892" priority="1147">
      <formula>IF(VLOOKUP($F180,PROFA,2,0)=1,1,0)</formula>
    </cfRule>
    <cfRule type="expression" dxfId="891" priority="1148">
      <formula>IF(VLOOKUP($F180,PROFA,2,0)=2,1,0)</formula>
    </cfRule>
    <cfRule type="expression" dxfId="890" priority="1149">
      <formula>IF(VLOOKUP($F180,PROFA,2,0)=3,1,0)</formula>
    </cfRule>
    <cfRule type="expression" dxfId="889" priority="1150">
      <formula>IF(VLOOKUP($F180,PROFA,2,0)=4,1,0)</formula>
    </cfRule>
    <cfRule type="expression" dxfId="888" priority="1151">
      <formula>IF(VLOOKUP($F180,PROFA,2,0)=5,1,0)</formula>
    </cfRule>
    <cfRule type="expression" dxfId="887" priority="1152">
      <formula>IF(VLOOKUP($F180,PROFA,2,0)=6,1,0)</formula>
    </cfRule>
    <cfRule type="expression" dxfId="886" priority="1153">
      <formula>IF(VLOOKUP($F180,PROFA,2,0)=7,1,0)</formula>
    </cfRule>
    <cfRule type="expression" dxfId="885" priority="1154">
      <formula>IF(VLOOKUP($F180,PROFA,2,0)=8,1,0)</formula>
    </cfRule>
    <cfRule type="expression" dxfId="884" priority="1155">
      <formula>IF(VLOOKUP($F180,PROFA,2,0)=9,1,0)</formula>
    </cfRule>
  </conditionalFormatting>
  <conditionalFormatting sqref="F39">
    <cfRule type="expression" dxfId="883" priority="1138">
      <formula>IF(VLOOKUP($F39,PROFA,2,0)=1,1,0)</formula>
    </cfRule>
    <cfRule type="expression" dxfId="882" priority="1139">
      <formula>IF(VLOOKUP($F39,PROFA,2,0)=2,1,0)</formula>
    </cfRule>
    <cfRule type="expression" dxfId="881" priority="1140">
      <formula>IF(VLOOKUP($F39,PROFA,2,0)=3,1,0)</formula>
    </cfRule>
    <cfRule type="expression" dxfId="880" priority="1141">
      <formula>IF(VLOOKUP($F39,PROFA,2,0)=4,1,0)</formula>
    </cfRule>
    <cfRule type="expression" dxfId="879" priority="1142">
      <formula>IF(VLOOKUP($F39,PROFA,2,0)=5,1,0)</formula>
    </cfRule>
    <cfRule type="expression" dxfId="878" priority="1143">
      <formula>IF(VLOOKUP($F39,PROFA,2,0)=6,1,0)</formula>
    </cfRule>
    <cfRule type="expression" dxfId="877" priority="1144">
      <formula>IF(VLOOKUP($F39,PROFA,2,0)=7,1,0)</formula>
    </cfRule>
    <cfRule type="expression" dxfId="876" priority="1145">
      <formula>IF(VLOOKUP($F39,PROFA,2,0)=8,1,0)</formula>
    </cfRule>
    <cfRule type="expression" dxfId="875" priority="1146">
      <formula>IF(VLOOKUP($F39,PROFA,2,0)=9,1,0)</formula>
    </cfRule>
  </conditionalFormatting>
  <conditionalFormatting sqref="F66">
    <cfRule type="expression" dxfId="874" priority="1129">
      <formula>IF(VLOOKUP($F66,PROFA,2,0)=1,1,0)</formula>
    </cfRule>
    <cfRule type="expression" dxfId="873" priority="1130">
      <formula>IF(VLOOKUP($F66,PROFA,2,0)=2,1,0)</formula>
    </cfRule>
    <cfRule type="expression" dxfId="872" priority="1131">
      <formula>IF(VLOOKUP($F66,PROFA,2,0)=3,1,0)</formula>
    </cfRule>
    <cfRule type="expression" dxfId="871" priority="1132">
      <formula>IF(VLOOKUP($F66,PROFA,2,0)=4,1,0)</formula>
    </cfRule>
    <cfRule type="expression" dxfId="870" priority="1133">
      <formula>IF(VLOOKUP($F66,PROFA,2,0)=5,1,0)</formula>
    </cfRule>
    <cfRule type="expression" dxfId="869" priority="1134">
      <formula>IF(VLOOKUP($F66,PROFA,2,0)=6,1,0)</formula>
    </cfRule>
    <cfRule type="expression" dxfId="868" priority="1135">
      <formula>IF(VLOOKUP($F66,PROFA,2,0)=7,1,0)</formula>
    </cfRule>
    <cfRule type="expression" dxfId="867" priority="1136">
      <formula>IF(VLOOKUP($F66,PROFA,2,0)=8,1,0)</formula>
    </cfRule>
    <cfRule type="expression" dxfId="866" priority="1137">
      <formula>IF(VLOOKUP($F66,PROFA,2,0)=9,1,0)</formula>
    </cfRule>
  </conditionalFormatting>
  <conditionalFormatting sqref="F70">
    <cfRule type="expression" dxfId="865" priority="1120">
      <formula>IF(VLOOKUP($F70,PROFA,2,0)=1,1,0)</formula>
    </cfRule>
    <cfRule type="expression" dxfId="864" priority="1121">
      <formula>IF(VLOOKUP($F70,PROFA,2,0)=2,1,0)</formula>
    </cfRule>
    <cfRule type="expression" dxfId="863" priority="1122">
      <formula>IF(VLOOKUP($F70,PROFA,2,0)=3,1,0)</formula>
    </cfRule>
    <cfRule type="expression" dxfId="862" priority="1123">
      <formula>IF(VLOOKUP($F70,PROFA,2,0)=4,1,0)</formula>
    </cfRule>
    <cfRule type="expression" dxfId="861" priority="1124">
      <formula>IF(VLOOKUP($F70,PROFA,2,0)=5,1,0)</formula>
    </cfRule>
    <cfRule type="expression" dxfId="860" priority="1125">
      <formula>IF(VLOOKUP($F70,PROFA,2,0)=6,1,0)</formula>
    </cfRule>
    <cfRule type="expression" dxfId="859" priority="1126">
      <formula>IF(VLOOKUP($F70,PROFA,2,0)=7,1,0)</formula>
    </cfRule>
    <cfRule type="expression" dxfId="858" priority="1127">
      <formula>IF(VLOOKUP($F70,PROFA,2,0)=8,1,0)</formula>
    </cfRule>
    <cfRule type="expression" dxfId="857" priority="1128">
      <formula>IF(VLOOKUP($F70,PROFA,2,0)=9,1,0)</formula>
    </cfRule>
  </conditionalFormatting>
  <conditionalFormatting sqref="F87">
    <cfRule type="expression" dxfId="856" priority="1111">
      <formula>IF(VLOOKUP($F87,PROFA,2,0)=1,1,0)</formula>
    </cfRule>
    <cfRule type="expression" dxfId="855" priority="1112">
      <formula>IF(VLOOKUP($F87,PROFA,2,0)=2,1,0)</formula>
    </cfRule>
    <cfRule type="expression" dxfId="854" priority="1113">
      <formula>IF(VLOOKUP($F87,PROFA,2,0)=3,1,0)</formula>
    </cfRule>
    <cfRule type="expression" dxfId="853" priority="1114">
      <formula>IF(VLOOKUP($F87,PROFA,2,0)=4,1,0)</formula>
    </cfRule>
    <cfRule type="expression" dxfId="852" priority="1115">
      <formula>IF(VLOOKUP($F87,PROFA,2,0)=5,1,0)</formula>
    </cfRule>
    <cfRule type="expression" dxfId="851" priority="1116">
      <formula>IF(VLOOKUP($F87,PROFA,2,0)=6,1,0)</formula>
    </cfRule>
    <cfRule type="expression" dxfId="850" priority="1117">
      <formula>IF(VLOOKUP($F87,PROFA,2,0)=7,1,0)</formula>
    </cfRule>
    <cfRule type="expression" dxfId="849" priority="1118">
      <formula>IF(VLOOKUP($F87,PROFA,2,0)=8,1,0)</formula>
    </cfRule>
    <cfRule type="expression" dxfId="848" priority="1119">
      <formula>IF(VLOOKUP($F87,PROFA,2,0)=9,1,0)</formula>
    </cfRule>
  </conditionalFormatting>
  <conditionalFormatting sqref="F99">
    <cfRule type="expression" dxfId="847" priority="1102">
      <formula>IF(VLOOKUP($F99,PROFA,2,0)=1,1,0)</formula>
    </cfRule>
    <cfRule type="expression" dxfId="846" priority="1103">
      <formula>IF(VLOOKUP($F99,PROFA,2,0)=2,1,0)</formula>
    </cfRule>
    <cfRule type="expression" dxfId="845" priority="1104">
      <formula>IF(VLOOKUP($F99,PROFA,2,0)=3,1,0)</formula>
    </cfRule>
    <cfRule type="expression" dxfId="844" priority="1105">
      <formula>IF(VLOOKUP($F99,PROFA,2,0)=4,1,0)</formula>
    </cfRule>
    <cfRule type="expression" dxfId="843" priority="1106">
      <formula>IF(VLOOKUP($F99,PROFA,2,0)=5,1,0)</formula>
    </cfRule>
    <cfRule type="expression" dxfId="842" priority="1107">
      <formula>IF(VLOOKUP($F99,PROFA,2,0)=6,1,0)</formula>
    </cfRule>
    <cfRule type="expression" dxfId="841" priority="1108">
      <formula>IF(VLOOKUP($F99,PROFA,2,0)=7,1,0)</formula>
    </cfRule>
    <cfRule type="expression" dxfId="840" priority="1109">
      <formula>IF(VLOOKUP($F99,PROFA,2,0)=8,1,0)</formula>
    </cfRule>
    <cfRule type="expression" dxfId="839" priority="1110">
      <formula>IF(VLOOKUP($F99,PROFA,2,0)=9,1,0)</formula>
    </cfRule>
  </conditionalFormatting>
  <conditionalFormatting sqref="F107">
    <cfRule type="expression" dxfId="838" priority="1093">
      <formula>IF(VLOOKUP($F107,PROFA,2,0)=1,1,0)</formula>
    </cfRule>
    <cfRule type="expression" dxfId="837" priority="1094">
      <formula>IF(VLOOKUP($F107,PROFA,2,0)=2,1,0)</formula>
    </cfRule>
    <cfRule type="expression" dxfId="836" priority="1095">
      <formula>IF(VLOOKUP($F107,PROFA,2,0)=3,1,0)</formula>
    </cfRule>
    <cfRule type="expression" dxfId="835" priority="1096">
      <formula>IF(VLOOKUP($F107,PROFA,2,0)=4,1,0)</formula>
    </cfRule>
    <cfRule type="expression" dxfId="834" priority="1097">
      <formula>IF(VLOOKUP($F107,PROFA,2,0)=5,1,0)</formula>
    </cfRule>
    <cfRule type="expression" dxfId="833" priority="1098">
      <formula>IF(VLOOKUP($F107,PROFA,2,0)=6,1,0)</formula>
    </cfRule>
    <cfRule type="expression" dxfId="832" priority="1099">
      <formula>IF(VLOOKUP($F107,PROFA,2,0)=7,1,0)</formula>
    </cfRule>
    <cfRule type="expression" dxfId="831" priority="1100">
      <formula>IF(VLOOKUP($F107,PROFA,2,0)=8,1,0)</formula>
    </cfRule>
    <cfRule type="expression" dxfId="830" priority="1101">
      <formula>IF(VLOOKUP($F107,PROFA,2,0)=9,1,0)</formula>
    </cfRule>
  </conditionalFormatting>
  <conditionalFormatting sqref="F115">
    <cfRule type="expression" dxfId="829" priority="1084">
      <formula>IF(VLOOKUP($F115,PROFA,2,0)=1,1,0)</formula>
    </cfRule>
    <cfRule type="expression" dxfId="828" priority="1085">
      <formula>IF(VLOOKUP($F115,PROFA,2,0)=2,1,0)</formula>
    </cfRule>
    <cfRule type="expression" dxfId="827" priority="1086">
      <formula>IF(VLOOKUP($F115,PROFA,2,0)=3,1,0)</formula>
    </cfRule>
    <cfRule type="expression" dxfId="826" priority="1087">
      <formula>IF(VLOOKUP($F115,PROFA,2,0)=4,1,0)</formula>
    </cfRule>
    <cfRule type="expression" dxfId="825" priority="1088">
      <formula>IF(VLOOKUP($F115,PROFA,2,0)=5,1,0)</formula>
    </cfRule>
    <cfRule type="expression" dxfId="824" priority="1089">
      <formula>IF(VLOOKUP($F115,PROFA,2,0)=6,1,0)</formula>
    </cfRule>
    <cfRule type="expression" dxfId="823" priority="1090">
      <formula>IF(VLOOKUP($F115,PROFA,2,0)=7,1,0)</formula>
    </cfRule>
    <cfRule type="expression" dxfId="822" priority="1091">
      <formula>IF(VLOOKUP($F115,PROFA,2,0)=8,1,0)</formula>
    </cfRule>
    <cfRule type="expression" dxfId="821" priority="1092">
      <formula>IF(VLOOKUP($F115,PROFA,2,0)=9,1,0)</formula>
    </cfRule>
  </conditionalFormatting>
  <conditionalFormatting sqref="F131">
    <cfRule type="expression" dxfId="820" priority="1075">
      <formula>IF(VLOOKUP($F131,PROFA,2,0)=1,1,0)</formula>
    </cfRule>
    <cfRule type="expression" dxfId="819" priority="1076">
      <formula>IF(VLOOKUP($F131,PROFA,2,0)=2,1,0)</formula>
    </cfRule>
    <cfRule type="expression" dxfId="818" priority="1077">
      <formula>IF(VLOOKUP($F131,PROFA,2,0)=3,1,0)</formula>
    </cfRule>
    <cfRule type="expression" dxfId="817" priority="1078">
      <formula>IF(VLOOKUP($F131,PROFA,2,0)=4,1,0)</formula>
    </cfRule>
    <cfRule type="expression" dxfId="816" priority="1079">
      <formula>IF(VLOOKUP($F131,PROFA,2,0)=5,1,0)</formula>
    </cfRule>
    <cfRule type="expression" dxfId="815" priority="1080">
      <formula>IF(VLOOKUP($F131,PROFA,2,0)=6,1,0)</formula>
    </cfRule>
    <cfRule type="expression" dxfId="814" priority="1081">
      <formula>IF(VLOOKUP($F131,PROFA,2,0)=7,1,0)</formula>
    </cfRule>
    <cfRule type="expression" dxfId="813" priority="1082">
      <formula>IF(VLOOKUP($F131,PROFA,2,0)=8,1,0)</formula>
    </cfRule>
    <cfRule type="expression" dxfId="812" priority="1083">
      <formula>IF(VLOOKUP($F131,PROFA,2,0)=9,1,0)</formula>
    </cfRule>
  </conditionalFormatting>
  <conditionalFormatting sqref="F141">
    <cfRule type="expression" dxfId="811" priority="1066">
      <formula>IF(VLOOKUP($F141,PROFA,2,0)=1,1,0)</formula>
    </cfRule>
    <cfRule type="expression" dxfId="810" priority="1067">
      <formula>IF(VLOOKUP($F141,PROFA,2,0)=2,1,0)</formula>
    </cfRule>
    <cfRule type="expression" dxfId="809" priority="1068">
      <formula>IF(VLOOKUP($F141,PROFA,2,0)=3,1,0)</formula>
    </cfRule>
    <cfRule type="expression" dxfId="808" priority="1069">
      <formula>IF(VLOOKUP($F141,PROFA,2,0)=4,1,0)</formula>
    </cfRule>
    <cfRule type="expression" dxfId="807" priority="1070">
      <formula>IF(VLOOKUP($F141,PROFA,2,0)=5,1,0)</formula>
    </cfRule>
    <cfRule type="expression" dxfId="806" priority="1071">
      <formula>IF(VLOOKUP($F141,PROFA,2,0)=6,1,0)</formula>
    </cfRule>
    <cfRule type="expression" dxfId="805" priority="1072">
      <formula>IF(VLOOKUP($F141,PROFA,2,0)=7,1,0)</formula>
    </cfRule>
    <cfRule type="expression" dxfId="804" priority="1073">
      <formula>IF(VLOOKUP($F141,PROFA,2,0)=8,1,0)</formula>
    </cfRule>
    <cfRule type="expression" dxfId="803" priority="1074">
      <formula>IF(VLOOKUP($F141,PROFA,2,0)=9,1,0)</formula>
    </cfRule>
  </conditionalFormatting>
  <conditionalFormatting sqref="F149">
    <cfRule type="expression" dxfId="802" priority="1057">
      <formula>IF(VLOOKUP($F149,PROFA,2,0)=1,1,0)</formula>
    </cfRule>
    <cfRule type="expression" dxfId="801" priority="1058">
      <formula>IF(VLOOKUP($F149,PROFA,2,0)=2,1,0)</formula>
    </cfRule>
    <cfRule type="expression" dxfId="800" priority="1059">
      <formula>IF(VLOOKUP($F149,PROFA,2,0)=3,1,0)</formula>
    </cfRule>
    <cfRule type="expression" dxfId="799" priority="1060">
      <formula>IF(VLOOKUP($F149,PROFA,2,0)=4,1,0)</formula>
    </cfRule>
    <cfRule type="expression" dxfId="798" priority="1061">
      <formula>IF(VLOOKUP($F149,PROFA,2,0)=5,1,0)</formula>
    </cfRule>
    <cfRule type="expression" dxfId="797" priority="1062">
      <formula>IF(VLOOKUP($F149,PROFA,2,0)=6,1,0)</formula>
    </cfRule>
    <cfRule type="expression" dxfId="796" priority="1063">
      <formula>IF(VLOOKUP($F149,PROFA,2,0)=7,1,0)</formula>
    </cfRule>
    <cfRule type="expression" dxfId="795" priority="1064">
      <formula>IF(VLOOKUP($F149,PROFA,2,0)=8,1,0)</formula>
    </cfRule>
    <cfRule type="expression" dxfId="794" priority="1065">
      <formula>IF(VLOOKUP($F149,PROFA,2,0)=9,1,0)</formula>
    </cfRule>
  </conditionalFormatting>
  <conditionalFormatting sqref="F157">
    <cfRule type="expression" dxfId="793" priority="1048">
      <formula>IF(VLOOKUP($F157,PROFA,2,0)=1,1,0)</formula>
    </cfRule>
    <cfRule type="expression" dxfId="792" priority="1049">
      <formula>IF(VLOOKUP($F157,PROFA,2,0)=2,1,0)</formula>
    </cfRule>
    <cfRule type="expression" dxfId="791" priority="1050">
      <formula>IF(VLOOKUP($F157,PROFA,2,0)=3,1,0)</formula>
    </cfRule>
    <cfRule type="expression" dxfId="790" priority="1051">
      <formula>IF(VLOOKUP($F157,PROFA,2,0)=4,1,0)</formula>
    </cfRule>
    <cfRule type="expression" dxfId="789" priority="1052">
      <formula>IF(VLOOKUP($F157,PROFA,2,0)=5,1,0)</formula>
    </cfRule>
    <cfRule type="expression" dxfId="788" priority="1053">
      <formula>IF(VLOOKUP($F157,PROFA,2,0)=6,1,0)</formula>
    </cfRule>
    <cfRule type="expression" dxfId="787" priority="1054">
      <formula>IF(VLOOKUP($F157,PROFA,2,0)=7,1,0)</formula>
    </cfRule>
    <cfRule type="expression" dxfId="786" priority="1055">
      <formula>IF(VLOOKUP($F157,PROFA,2,0)=8,1,0)</formula>
    </cfRule>
    <cfRule type="expression" dxfId="785" priority="1056">
      <formula>IF(VLOOKUP($F157,PROFA,2,0)=9,1,0)</formula>
    </cfRule>
  </conditionalFormatting>
  <conditionalFormatting sqref="F168">
    <cfRule type="expression" dxfId="784" priority="1039">
      <formula>IF(VLOOKUP($F168,PROFA,2,0)=1,1,0)</formula>
    </cfRule>
    <cfRule type="expression" dxfId="783" priority="1040">
      <formula>IF(VLOOKUP($F168,PROFA,2,0)=2,1,0)</formula>
    </cfRule>
    <cfRule type="expression" dxfId="782" priority="1041">
      <formula>IF(VLOOKUP($F168,PROFA,2,0)=3,1,0)</formula>
    </cfRule>
    <cfRule type="expression" dxfId="781" priority="1042">
      <formula>IF(VLOOKUP($F168,PROFA,2,0)=4,1,0)</formula>
    </cfRule>
    <cfRule type="expression" dxfId="780" priority="1043">
      <formula>IF(VLOOKUP($F168,PROFA,2,0)=5,1,0)</formula>
    </cfRule>
    <cfRule type="expression" dxfId="779" priority="1044">
      <formula>IF(VLOOKUP($F168,PROFA,2,0)=6,1,0)</formula>
    </cfRule>
    <cfRule type="expression" dxfId="778" priority="1045">
      <formula>IF(VLOOKUP($F168,PROFA,2,0)=7,1,0)</formula>
    </cfRule>
    <cfRule type="expression" dxfId="777" priority="1046">
      <formula>IF(VLOOKUP($F168,PROFA,2,0)=8,1,0)</formula>
    </cfRule>
    <cfRule type="expression" dxfId="776" priority="1047">
      <formula>IF(VLOOKUP($F168,PROFA,2,0)=9,1,0)</formula>
    </cfRule>
  </conditionalFormatting>
  <conditionalFormatting sqref="F176">
    <cfRule type="expression" dxfId="775" priority="1030">
      <formula>IF(VLOOKUP($F176,PROFA,2,0)=1,1,0)</formula>
    </cfRule>
    <cfRule type="expression" dxfId="774" priority="1031">
      <formula>IF(VLOOKUP($F176,PROFA,2,0)=2,1,0)</formula>
    </cfRule>
    <cfRule type="expression" dxfId="773" priority="1032">
      <formula>IF(VLOOKUP($F176,PROFA,2,0)=3,1,0)</formula>
    </cfRule>
    <cfRule type="expression" dxfId="772" priority="1033">
      <formula>IF(VLOOKUP($F176,PROFA,2,0)=4,1,0)</formula>
    </cfRule>
    <cfRule type="expression" dxfId="771" priority="1034">
      <formula>IF(VLOOKUP($F176,PROFA,2,0)=5,1,0)</formula>
    </cfRule>
    <cfRule type="expression" dxfId="770" priority="1035">
      <formula>IF(VLOOKUP($F176,PROFA,2,0)=6,1,0)</formula>
    </cfRule>
    <cfRule type="expression" dxfId="769" priority="1036">
      <formula>IF(VLOOKUP($F176,PROFA,2,0)=7,1,0)</formula>
    </cfRule>
    <cfRule type="expression" dxfId="768" priority="1037">
      <formula>IF(VLOOKUP($F176,PROFA,2,0)=8,1,0)</formula>
    </cfRule>
    <cfRule type="expression" dxfId="767" priority="1038">
      <formula>IF(VLOOKUP($F176,PROFA,2,0)=9,1,0)</formula>
    </cfRule>
  </conditionalFormatting>
  <conditionalFormatting sqref="F113">
    <cfRule type="expression" dxfId="766" priority="1003">
      <formula>IF(VLOOKUP($F113,PROFA,2,0)=1,1,0)</formula>
    </cfRule>
    <cfRule type="expression" dxfId="765" priority="1004">
      <formula>IF(VLOOKUP($F113,PROFA,2,0)=2,1,0)</formula>
    </cfRule>
    <cfRule type="expression" dxfId="764" priority="1005">
      <formula>IF(VLOOKUP($F113,PROFA,2,0)=3,1,0)</formula>
    </cfRule>
    <cfRule type="expression" dxfId="763" priority="1006">
      <formula>IF(VLOOKUP($F113,PROFA,2,0)=4,1,0)</formula>
    </cfRule>
    <cfRule type="expression" dxfId="762" priority="1007">
      <formula>IF(VLOOKUP($F113,PROFA,2,0)=5,1,0)</formula>
    </cfRule>
    <cfRule type="expression" dxfId="761" priority="1008">
      <formula>IF(VLOOKUP($F113,PROFA,2,0)=6,1,0)</formula>
    </cfRule>
    <cfRule type="expression" dxfId="760" priority="1009">
      <formula>IF(VLOOKUP($F113,PROFA,2,0)=7,1,0)</formula>
    </cfRule>
    <cfRule type="expression" dxfId="759" priority="1010">
      <formula>IF(VLOOKUP($F113,PROFA,2,0)=8,1,0)</formula>
    </cfRule>
    <cfRule type="expression" dxfId="758" priority="1011">
      <formula>IF(VLOOKUP($F113,PROFA,2,0)=9,1,0)</formula>
    </cfRule>
  </conditionalFormatting>
  <conditionalFormatting sqref="F30">
    <cfRule type="expression" dxfId="757" priority="985">
      <formula>IF(VLOOKUP($F30,PROFA,2,0)=1,1,0)</formula>
    </cfRule>
    <cfRule type="expression" dxfId="756" priority="986">
      <formula>IF(VLOOKUP($F30,PROFA,2,0)=2,1,0)</formula>
    </cfRule>
    <cfRule type="expression" dxfId="755" priority="987">
      <formula>IF(VLOOKUP($F30,PROFA,2,0)=3,1,0)</formula>
    </cfRule>
    <cfRule type="expression" dxfId="754" priority="988">
      <formula>IF(VLOOKUP($F30,PROFA,2,0)=4,1,0)</formula>
    </cfRule>
    <cfRule type="expression" dxfId="753" priority="989">
      <formula>IF(VLOOKUP($F30,PROFA,2,0)=5,1,0)</formula>
    </cfRule>
    <cfRule type="expression" dxfId="752" priority="990">
      <formula>IF(VLOOKUP($F30,PROFA,2,0)=6,1,0)</formula>
    </cfRule>
    <cfRule type="expression" dxfId="751" priority="991">
      <formula>IF(VLOOKUP($F30,PROFA,2,0)=7,1,0)</formula>
    </cfRule>
    <cfRule type="expression" dxfId="750" priority="992">
      <formula>IF(VLOOKUP($F30,PROFA,2,0)=8,1,0)</formula>
    </cfRule>
    <cfRule type="expression" dxfId="749" priority="993">
      <formula>IF(VLOOKUP($F30,PROFA,2,0)=9,1,0)</formula>
    </cfRule>
  </conditionalFormatting>
  <conditionalFormatting sqref="F41">
    <cfRule type="expression" dxfId="748" priority="976">
      <formula>IF(VLOOKUP($F41,PROFA,2,0)=1,1,0)</formula>
    </cfRule>
    <cfRule type="expression" dxfId="747" priority="977">
      <formula>IF(VLOOKUP($F41,PROFA,2,0)=2,1,0)</formula>
    </cfRule>
    <cfRule type="expression" dxfId="746" priority="978">
      <formula>IF(VLOOKUP($F41,PROFA,2,0)=3,1,0)</formula>
    </cfRule>
    <cfRule type="expression" dxfId="745" priority="979">
      <formula>IF(VLOOKUP($F41,PROFA,2,0)=4,1,0)</formula>
    </cfRule>
    <cfRule type="expression" dxfId="744" priority="980">
      <formula>IF(VLOOKUP($F41,PROFA,2,0)=5,1,0)</formula>
    </cfRule>
    <cfRule type="expression" dxfId="743" priority="981">
      <formula>IF(VLOOKUP($F41,PROFA,2,0)=6,1,0)</formula>
    </cfRule>
    <cfRule type="expression" dxfId="742" priority="982">
      <formula>IF(VLOOKUP($F41,PROFA,2,0)=7,1,0)</formula>
    </cfRule>
    <cfRule type="expression" dxfId="741" priority="983">
      <formula>IF(VLOOKUP($F41,PROFA,2,0)=8,1,0)</formula>
    </cfRule>
    <cfRule type="expression" dxfId="740" priority="984">
      <formula>IF(VLOOKUP($F41,PROFA,2,0)=9,1,0)</formula>
    </cfRule>
  </conditionalFormatting>
  <conditionalFormatting sqref="F43">
    <cfRule type="expression" dxfId="739" priority="967">
      <formula>IF(VLOOKUP($F43,PROFA,2,0)=1,1,0)</formula>
    </cfRule>
    <cfRule type="expression" dxfId="738" priority="968">
      <formula>IF(VLOOKUP($F43,PROFA,2,0)=2,1,0)</formula>
    </cfRule>
    <cfRule type="expression" dxfId="737" priority="969">
      <formula>IF(VLOOKUP($F43,PROFA,2,0)=3,1,0)</formula>
    </cfRule>
    <cfRule type="expression" dxfId="736" priority="970">
      <formula>IF(VLOOKUP($F43,PROFA,2,0)=4,1,0)</formula>
    </cfRule>
    <cfRule type="expression" dxfId="735" priority="971">
      <formula>IF(VLOOKUP($F43,PROFA,2,0)=5,1,0)</formula>
    </cfRule>
    <cfRule type="expression" dxfId="734" priority="972">
      <formula>IF(VLOOKUP($F43,PROFA,2,0)=6,1,0)</formula>
    </cfRule>
    <cfRule type="expression" dxfId="733" priority="973">
      <formula>IF(VLOOKUP($F43,PROFA,2,0)=7,1,0)</formula>
    </cfRule>
    <cfRule type="expression" dxfId="732" priority="974">
      <formula>IF(VLOOKUP($F43,PROFA,2,0)=8,1,0)</formula>
    </cfRule>
    <cfRule type="expression" dxfId="731" priority="975">
      <formula>IF(VLOOKUP($F43,PROFA,2,0)=9,1,0)</formula>
    </cfRule>
  </conditionalFormatting>
  <conditionalFormatting sqref="F47">
    <cfRule type="expression" dxfId="730" priority="958">
      <formula>IF(VLOOKUP($F47,PROFA,2,0)=1,1,0)</formula>
    </cfRule>
    <cfRule type="expression" dxfId="729" priority="959">
      <formula>IF(VLOOKUP($F47,PROFA,2,0)=2,1,0)</formula>
    </cfRule>
    <cfRule type="expression" dxfId="728" priority="960">
      <formula>IF(VLOOKUP($F47,PROFA,2,0)=3,1,0)</formula>
    </cfRule>
    <cfRule type="expression" dxfId="727" priority="961">
      <formula>IF(VLOOKUP($F47,PROFA,2,0)=4,1,0)</formula>
    </cfRule>
    <cfRule type="expression" dxfId="726" priority="962">
      <formula>IF(VLOOKUP($F47,PROFA,2,0)=5,1,0)</formula>
    </cfRule>
    <cfRule type="expression" dxfId="725" priority="963">
      <formula>IF(VLOOKUP($F47,PROFA,2,0)=6,1,0)</formula>
    </cfRule>
    <cfRule type="expression" dxfId="724" priority="964">
      <formula>IF(VLOOKUP($F47,PROFA,2,0)=7,1,0)</formula>
    </cfRule>
    <cfRule type="expression" dxfId="723" priority="965">
      <formula>IF(VLOOKUP($F47,PROFA,2,0)=8,1,0)</formula>
    </cfRule>
    <cfRule type="expression" dxfId="722" priority="966">
      <formula>IF(VLOOKUP($F47,PROFA,2,0)=9,1,0)</formula>
    </cfRule>
  </conditionalFormatting>
  <conditionalFormatting sqref="F50">
    <cfRule type="expression" dxfId="721" priority="949">
      <formula>IF(VLOOKUP($F50,PROFA,2,0)=1,1,0)</formula>
    </cfRule>
    <cfRule type="expression" dxfId="720" priority="950">
      <formula>IF(VLOOKUP($F50,PROFA,2,0)=2,1,0)</formula>
    </cfRule>
    <cfRule type="expression" dxfId="719" priority="951">
      <formula>IF(VLOOKUP($F50,PROFA,2,0)=3,1,0)</formula>
    </cfRule>
    <cfRule type="expression" dxfId="718" priority="952">
      <formula>IF(VLOOKUP($F50,PROFA,2,0)=4,1,0)</formula>
    </cfRule>
    <cfRule type="expression" dxfId="717" priority="953">
      <formula>IF(VLOOKUP($F50,PROFA,2,0)=5,1,0)</formula>
    </cfRule>
    <cfRule type="expression" dxfId="716" priority="954">
      <formula>IF(VLOOKUP($F50,PROFA,2,0)=6,1,0)</formula>
    </cfRule>
    <cfRule type="expression" dxfId="715" priority="955">
      <formula>IF(VLOOKUP($F50,PROFA,2,0)=7,1,0)</formula>
    </cfRule>
    <cfRule type="expression" dxfId="714" priority="956">
      <formula>IF(VLOOKUP($F50,PROFA,2,0)=8,1,0)</formula>
    </cfRule>
    <cfRule type="expression" dxfId="713" priority="957">
      <formula>IF(VLOOKUP($F50,PROFA,2,0)=9,1,0)</formula>
    </cfRule>
  </conditionalFormatting>
  <conditionalFormatting sqref="F51">
    <cfRule type="expression" dxfId="712" priority="940">
      <formula>IF(VLOOKUP($F51,PROFA,2,0)=1,1,0)</formula>
    </cfRule>
    <cfRule type="expression" dxfId="711" priority="941">
      <formula>IF(VLOOKUP($F51,PROFA,2,0)=2,1,0)</formula>
    </cfRule>
    <cfRule type="expression" dxfId="710" priority="942">
      <formula>IF(VLOOKUP($F51,PROFA,2,0)=3,1,0)</formula>
    </cfRule>
    <cfRule type="expression" dxfId="709" priority="943">
      <formula>IF(VLOOKUP($F51,PROFA,2,0)=4,1,0)</formula>
    </cfRule>
    <cfRule type="expression" dxfId="708" priority="944">
      <formula>IF(VLOOKUP($F51,PROFA,2,0)=5,1,0)</formula>
    </cfRule>
    <cfRule type="expression" dxfId="707" priority="945">
      <formula>IF(VLOOKUP($F51,PROFA,2,0)=6,1,0)</formula>
    </cfRule>
    <cfRule type="expression" dxfId="706" priority="946">
      <formula>IF(VLOOKUP($F51,PROFA,2,0)=7,1,0)</formula>
    </cfRule>
    <cfRule type="expression" dxfId="705" priority="947">
      <formula>IF(VLOOKUP($F51,PROFA,2,0)=8,1,0)</formula>
    </cfRule>
    <cfRule type="expression" dxfId="704" priority="948">
      <formula>IF(VLOOKUP($F51,PROFA,2,0)=9,1,0)</formula>
    </cfRule>
  </conditionalFormatting>
  <conditionalFormatting sqref="F52">
    <cfRule type="expression" dxfId="703" priority="931">
      <formula>IF(VLOOKUP($F52,PROFA,2,0)=1,1,0)</formula>
    </cfRule>
    <cfRule type="expression" dxfId="702" priority="932">
      <formula>IF(VLOOKUP($F52,PROFA,2,0)=2,1,0)</formula>
    </cfRule>
    <cfRule type="expression" dxfId="701" priority="933">
      <formula>IF(VLOOKUP($F52,PROFA,2,0)=3,1,0)</formula>
    </cfRule>
    <cfRule type="expression" dxfId="700" priority="934">
      <formula>IF(VLOOKUP($F52,PROFA,2,0)=4,1,0)</formula>
    </cfRule>
    <cfRule type="expression" dxfId="699" priority="935">
      <formula>IF(VLOOKUP($F52,PROFA,2,0)=5,1,0)</formula>
    </cfRule>
    <cfRule type="expression" dxfId="698" priority="936">
      <formula>IF(VLOOKUP($F52,PROFA,2,0)=6,1,0)</formula>
    </cfRule>
    <cfRule type="expression" dxfId="697" priority="937">
      <formula>IF(VLOOKUP($F52,PROFA,2,0)=7,1,0)</formula>
    </cfRule>
    <cfRule type="expression" dxfId="696" priority="938">
      <formula>IF(VLOOKUP($F52,PROFA,2,0)=8,1,0)</formula>
    </cfRule>
    <cfRule type="expression" dxfId="695" priority="939">
      <formula>IF(VLOOKUP($F52,PROFA,2,0)=9,1,0)</formula>
    </cfRule>
  </conditionalFormatting>
  <conditionalFormatting sqref="F55">
    <cfRule type="expression" dxfId="694" priority="922">
      <formula>IF(VLOOKUP($F55,PROFA,2,0)=1,1,0)</formula>
    </cfRule>
    <cfRule type="expression" dxfId="693" priority="923">
      <formula>IF(VLOOKUP($F55,PROFA,2,0)=2,1,0)</formula>
    </cfRule>
    <cfRule type="expression" dxfId="692" priority="924">
      <formula>IF(VLOOKUP($F55,PROFA,2,0)=3,1,0)</formula>
    </cfRule>
    <cfRule type="expression" dxfId="691" priority="925">
      <formula>IF(VLOOKUP($F55,PROFA,2,0)=4,1,0)</formula>
    </cfRule>
    <cfRule type="expression" dxfId="690" priority="926">
      <formula>IF(VLOOKUP($F55,PROFA,2,0)=5,1,0)</formula>
    </cfRule>
    <cfRule type="expression" dxfId="689" priority="927">
      <formula>IF(VLOOKUP($F55,PROFA,2,0)=6,1,0)</formula>
    </cfRule>
    <cfRule type="expression" dxfId="688" priority="928">
      <formula>IF(VLOOKUP($F55,PROFA,2,0)=7,1,0)</formula>
    </cfRule>
    <cfRule type="expression" dxfId="687" priority="929">
      <formula>IF(VLOOKUP($F55,PROFA,2,0)=8,1,0)</formula>
    </cfRule>
    <cfRule type="expression" dxfId="686" priority="930">
      <formula>IF(VLOOKUP($F55,PROFA,2,0)=9,1,0)</formula>
    </cfRule>
  </conditionalFormatting>
  <conditionalFormatting sqref="F58">
    <cfRule type="expression" dxfId="685" priority="913">
      <formula>IF(VLOOKUP($F58,PROFA,2,0)=1,1,0)</formula>
    </cfRule>
    <cfRule type="expression" dxfId="684" priority="914">
      <formula>IF(VLOOKUP($F58,PROFA,2,0)=2,1,0)</formula>
    </cfRule>
    <cfRule type="expression" dxfId="683" priority="915">
      <formula>IF(VLOOKUP($F58,PROFA,2,0)=3,1,0)</formula>
    </cfRule>
    <cfRule type="expression" dxfId="682" priority="916">
      <formula>IF(VLOOKUP($F58,PROFA,2,0)=4,1,0)</formula>
    </cfRule>
    <cfRule type="expression" dxfId="681" priority="917">
      <formula>IF(VLOOKUP($F58,PROFA,2,0)=5,1,0)</formula>
    </cfRule>
    <cfRule type="expression" dxfId="680" priority="918">
      <formula>IF(VLOOKUP($F58,PROFA,2,0)=6,1,0)</formula>
    </cfRule>
    <cfRule type="expression" dxfId="679" priority="919">
      <formula>IF(VLOOKUP($F58,PROFA,2,0)=7,1,0)</formula>
    </cfRule>
    <cfRule type="expression" dxfId="678" priority="920">
      <formula>IF(VLOOKUP($F58,PROFA,2,0)=8,1,0)</formula>
    </cfRule>
    <cfRule type="expression" dxfId="677" priority="921">
      <formula>IF(VLOOKUP($F58,PROFA,2,0)=9,1,0)</formula>
    </cfRule>
  </conditionalFormatting>
  <conditionalFormatting sqref="F62">
    <cfRule type="expression" dxfId="676" priority="904">
      <formula>IF(VLOOKUP($F62,PROFA,2,0)=1,1,0)</formula>
    </cfRule>
    <cfRule type="expression" dxfId="675" priority="905">
      <formula>IF(VLOOKUP($F62,PROFA,2,0)=2,1,0)</formula>
    </cfRule>
    <cfRule type="expression" dxfId="674" priority="906">
      <formula>IF(VLOOKUP($F62,PROFA,2,0)=3,1,0)</formula>
    </cfRule>
    <cfRule type="expression" dxfId="673" priority="907">
      <formula>IF(VLOOKUP($F62,PROFA,2,0)=4,1,0)</formula>
    </cfRule>
    <cfRule type="expression" dxfId="672" priority="908">
      <formula>IF(VLOOKUP($F62,PROFA,2,0)=5,1,0)</formula>
    </cfRule>
    <cfRule type="expression" dxfId="671" priority="909">
      <formula>IF(VLOOKUP($F62,PROFA,2,0)=6,1,0)</formula>
    </cfRule>
    <cfRule type="expression" dxfId="670" priority="910">
      <formula>IF(VLOOKUP($F62,PROFA,2,0)=7,1,0)</formula>
    </cfRule>
    <cfRule type="expression" dxfId="669" priority="911">
      <formula>IF(VLOOKUP($F62,PROFA,2,0)=8,1,0)</formula>
    </cfRule>
    <cfRule type="expression" dxfId="668" priority="912">
      <formula>IF(VLOOKUP($F62,PROFA,2,0)=9,1,0)</formula>
    </cfRule>
  </conditionalFormatting>
  <conditionalFormatting sqref="F63">
    <cfRule type="expression" dxfId="667" priority="895">
      <formula>IF(VLOOKUP($F63,PROFA,2,0)=1,1,0)</formula>
    </cfRule>
    <cfRule type="expression" dxfId="666" priority="896">
      <formula>IF(VLOOKUP($F63,PROFA,2,0)=2,1,0)</formula>
    </cfRule>
    <cfRule type="expression" dxfId="665" priority="897">
      <formula>IF(VLOOKUP($F63,PROFA,2,0)=3,1,0)</formula>
    </cfRule>
    <cfRule type="expression" dxfId="664" priority="898">
      <formula>IF(VLOOKUP($F63,PROFA,2,0)=4,1,0)</formula>
    </cfRule>
    <cfRule type="expression" dxfId="663" priority="899">
      <formula>IF(VLOOKUP($F63,PROFA,2,0)=5,1,0)</formula>
    </cfRule>
    <cfRule type="expression" dxfId="662" priority="900">
      <formula>IF(VLOOKUP($F63,PROFA,2,0)=6,1,0)</formula>
    </cfRule>
    <cfRule type="expression" dxfId="661" priority="901">
      <formula>IF(VLOOKUP($F63,PROFA,2,0)=7,1,0)</formula>
    </cfRule>
    <cfRule type="expression" dxfId="660" priority="902">
      <formula>IF(VLOOKUP($F63,PROFA,2,0)=8,1,0)</formula>
    </cfRule>
    <cfRule type="expression" dxfId="659" priority="903">
      <formula>IF(VLOOKUP($F63,PROFA,2,0)=9,1,0)</formula>
    </cfRule>
  </conditionalFormatting>
  <conditionalFormatting sqref="F76">
    <cfRule type="expression" dxfId="658" priority="886">
      <formula>IF(VLOOKUP($F76,PROFA,2,0)=1,1,0)</formula>
    </cfRule>
    <cfRule type="expression" dxfId="657" priority="887">
      <formula>IF(VLOOKUP($F76,PROFA,2,0)=2,1,0)</formula>
    </cfRule>
    <cfRule type="expression" dxfId="656" priority="888">
      <formula>IF(VLOOKUP($F76,PROFA,2,0)=3,1,0)</formula>
    </cfRule>
    <cfRule type="expression" dxfId="655" priority="889">
      <formula>IF(VLOOKUP($F76,PROFA,2,0)=4,1,0)</formula>
    </cfRule>
    <cfRule type="expression" dxfId="654" priority="890">
      <formula>IF(VLOOKUP($F76,PROFA,2,0)=5,1,0)</formula>
    </cfRule>
    <cfRule type="expression" dxfId="653" priority="891">
      <formula>IF(VLOOKUP($F76,PROFA,2,0)=6,1,0)</formula>
    </cfRule>
    <cfRule type="expression" dxfId="652" priority="892">
      <formula>IF(VLOOKUP($F76,PROFA,2,0)=7,1,0)</formula>
    </cfRule>
    <cfRule type="expression" dxfId="651" priority="893">
      <formula>IF(VLOOKUP($F76,PROFA,2,0)=8,1,0)</formula>
    </cfRule>
    <cfRule type="expression" dxfId="650" priority="894">
      <formula>IF(VLOOKUP($F76,PROFA,2,0)=9,1,0)</formula>
    </cfRule>
  </conditionalFormatting>
  <conditionalFormatting sqref="F79">
    <cfRule type="expression" dxfId="649" priority="877">
      <formula>IF(VLOOKUP($F79,PROFA,2,0)=1,1,0)</formula>
    </cfRule>
    <cfRule type="expression" dxfId="648" priority="878">
      <formula>IF(VLOOKUP($F79,PROFA,2,0)=2,1,0)</formula>
    </cfRule>
    <cfRule type="expression" dxfId="647" priority="879">
      <formula>IF(VLOOKUP($F79,PROFA,2,0)=3,1,0)</formula>
    </cfRule>
    <cfRule type="expression" dxfId="646" priority="880">
      <formula>IF(VLOOKUP($F79,PROFA,2,0)=4,1,0)</formula>
    </cfRule>
    <cfRule type="expression" dxfId="645" priority="881">
      <formula>IF(VLOOKUP($F79,PROFA,2,0)=5,1,0)</formula>
    </cfRule>
    <cfRule type="expression" dxfId="644" priority="882">
      <formula>IF(VLOOKUP($F79,PROFA,2,0)=6,1,0)</formula>
    </cfRule>
    <cfRule type="expression" dxfId="643" priority="883">
      <formula>IF(VLOOKUP($F79,PROFA,2,0)=7,1,0)</formula>
    </cfRule>
    <cfRule type="expression" dxfId="642" priority="884">
      <formula>IF(VLOOKUP($F79,PROFA,2,0)=8,1,0)</formula>
    </cfRule>
    <cfRule type="expression" dxfId="641" priority="885">
      <formula>IF(VLOOKUP($F79,PROFA,2,0)=9,1,0)</formula>
    </cfRule>
  </conditionalFormatting>
  <conditionalFormatting sqref="F82">
    <cfRule type="expression" dxfId="640" priority="868">
      <formula>IF(VLOOKUP($F82,PROFA,2,0)=1,1,0)</formula>
    </cfRule>
    <cfRule type="expression" dxfId="639" priority="869">
      <formula>IF(VLOOKUP($F82,PROFA,2,0)=2,1,0)</formula>
    </cfRule>
    <cfRule type="expression" dxfId="638" priority="870">
      <formula>IF(VLOOKUP($F82,PROFA,2,0)=3,1,0)</formula>
    </cfRule>
    <cfRule type="expression" dxfId="637" priority="871">
      <formula>IF(VLOOKUP($F82,PROFA,2,0)=4,1,0)</formula>
    </cfRule>
    <cfRule type="expression" dxfId="636" priority="872">
      <formula>IF(VLOOKUP($F82,PROFA,2,0)=5,1,0)</formula>
    </cfRule>
    <cfRule type="expression" dxfId="635" priority="873">
      <formula>IF(VLOOKUP($F82,PROFA,2,0)=6,1,0)</formula>
    </cfRule>
    <cfRule type="expression" dxfId="634" priority="874">
      <formula>IF(VLOOKUP($F82,PROFA,2,0)=7,1,0)</formula>
    </cfRule>
    <cfRule type="expression" dxfId="633" priority="875">
      <formula>IF(VLOOKUP($F82,PROFA,2,0)=8,1,0)</formula>
    </cfRule>
    <cfRule type="expression" dxfId="632" priority="876">
      <formula>IF(VLOOKUP($F82,PROFA,2,0)=9,1,0)</formula>
    </cfRule>
  </conditionalFormatting>
  <conditionalFormatting sqref="F83">
    <cfRule type="expression" dxfId="631" priority="859">
      <formula>IF(VLOOKUP($F83,PROFA,2,0)=1,1,0)</formula>
    </cfRule>
    <cfRule type="expression" dxfId="630" priority="860">
      <formula>IF(VLOOKUP($F83,PROFA,2,0)=2,1,0)</formula>
    </cfRule>
    <cfRule type="expression" dxfId="629" priority="861">
      <formula>IF(VLOOKUP($F83,PROFA,2,0)=3,1,0)</formula>
    </cfRule>
    <cfRule type="expression" dxfId="628" priority="862">
      <formula>IF(VLOOKUP($F83,PROFA,2,0)=4,1,0)</formula>
    </cfRule>
    <cfRule type="expression" dxfId="627" priority="863">
      <formula>IF(VLOOKUP($F83,PROFA,2,0)=5,1,0)</formula>
    </cfRule>
    <cfRule type="expression" dxfId="626" priority="864">
      <formula>IF(VLOOKUP($F83,PROFA,2,0)=6,1,0)</formula>
    </cfRule>
    <cfRule type="expression" dxfId="625" priority="865">
      <formula>IF(VLOOKUP($F83,PROFA,2,0)=7,1,0)</formula>
    </cfRule>
    <cfRule type="expression" dxfId="624" priority="866">
      <formula>IF(VLOOKUP($F83,PROFA,2,0)=8,1,0)</formula>
    </cfRule>
    <cfRule type="expression" dxfId="623" priority="867">
      <formula>IF(VLOOKUP($F83,PROFA,2,0)=9,1,0)</formula>
    </cfRule>
  </conditionalFormatting>
  <conditionalFormatting sqref="F86">
    <cfRule type="expression" dxfId="622" priority="850">
      <formula>IF(VLOOKUP($F86,PROFA,2,0)=1,1,0)</formula>
    </cfRule>
    <cfRule type="expression" dxfId="621" priority="851">
      <formula>IF(VLOOKUP($F86,PROFA,2,0)=2,1,0)</formula>
    </cfRule>
    <cfRule type="expression" dxfId="620" priority="852">
      <formula>IF(VLOOKUP($F86,PROFA,2,0)=3,1,0)</formula>
    </cfRule>
    <cfRule type="expression" dxfId="619" priority="853">
      <formula>IF(VLOOKUP($F86,PROFA,2,0)=4,1,0)</formula>
    </cfRule>
    <cfRule type="expression" dxfId="618" priority="854">
      <formula>IF(VLOOKUP($F86,PROFA,2,0)=5,1,0)</formula>
    </cfRule>
    <cfRule type="expression" dxfId="617" priority="855">
      <formula>IF(VLOOKUP($F86,PROFA,2,0)=6,1,0)</formula>
    </cfRule>
    <cfRule type="expression" dxfId="616" priority="856">
      <formula>IF(VLOOKUP($F86,PROFA,2,0)=7,1,0)</formula>
    </cfRule>
    <cfRule type="expression" dxfId="615" priority="857">
      <formula>IF(VLOOKUP($F86,PROFA,2,0)=8,1,0)</formula>
    </cfRule>
    <cfRule type="expression" dxfId="614" priority="858">
      <formula>IF(VLOOKUP($F86,PROFA,2,0)=9,1,0)</formula>
    </cfRule>
  </conditionalFormatting>
  <conditionalFormatting sqref="F91">
    <cfRule type="expression" dxfId="613" priority="842">
      <formula>IF(VLOOKUP($F91,PROFA,2,0)=1,1,0)</formula>
    </cfRule>
    <cfRule type="expression" dxfId="612" priority="843">
      <formula>IF(VLOOKUP($F91,PROFA,2,0)=2,1,0)</formula>
    </cfRule>
    <cfRule type="expression" dxfId="611" priority="844">
      <formula>IF(VLOOKUP($F91,PROFA,2,0)=3,1,0)</formula>
    </cfRule>
    <cfRule type="expression" dxfId="610" priority="845">
      <formula>IF(VLOOKUP($F91,PROFA,2,0)=4,1,0)</formula>
    </cfRule>
    <cfRule type="expression" dxfId="609" priority="846">
      <formula>IF(VLOOKUP($F91,PROFA,2,0)=5,1,0)</formula>
    </cfRule>
    <cfRule type="expression" dxfId="608" priority="847">
      <formula>IF(VLOOKUP($F91,PROFA,2,0)=6,1,0)</formula>
    </cfRule>
    <cfRule type="expression" dxfId="607" priority="848">
      <formula>IF(VLOOKUP($F91,PROFA,2,0)=7,1,0)</formula>
    </cfRule>
    <cfRule type="expression" dxfId="606" priority="849">
      <formula>IF(VLOOKUP($F91,PROFA,2,0)=8,1,0)</formula>
    </cfRule>
  </conditionalFormatting>
  <conditionalFormatting sqref="F96">
    <cfRule type="expression" dxfId="605" priority="826">
      <formula>IF(VLOOKUP($F96,PROFA,2,0)=1,1,0)</formula>
    </cfRule>
    <cfRule type="expression" dxfId="604" priority="827">
      <formula>IF(VLOOKUP($F96,PROFA,2,0)=2,1,0)</formula>
    </cfRule>
    <cfRule type="expression" dxfId="603" priority="828">
      <formula>IF(VLOOKUP($F96,PROFA,2,0)=3,1,0)</formula>
    </cfRule>
    <cfRule type="expression" dxfId="602" priority="829">
      <formula>IF(VLOOKUP($F96,PROFA,2,0)=4,1,0)</formula>
    </cfRule>
    <cfRule type="expression" dxfId="601" priority="830">
      <formula>IF(VLOOKUP($F96,PROFA,2,0)=5,1,0)</formula>
    </cfRule>
    <cfRule type="expression" dxfId="600" priority="831">
      <formula>IF(VLOOKUP($F96,PROFA,2,0)=6,1,0)</formula>
    </cfRule>
    <cfRule type="expression" dxfId="599" priority="832">
      <formula>IF(VLOOKUP($F96,PROFA,2,0)=7,1,0)</formula>
    </cfRule>
    <cfRule type="expression" dxfId="598" priority="833">
      <formula>IF(VLOOKUP($F96,PROFA,2,0)=8,1,0)</formula>
    </cfRule>
  </conditionalFormatting>
  <conditionalFormatting sqref="F98">
    <cfRule type="expression" dxfId="597" priority="818">
      <formula>IF(VLOOKUP($F98,PROFA,2,0)=1,1,0)</formula>
    </cfRule>
    <cfRule type="expression" dxfId="596" priority="819">
      <formula>IF(VLOOKUP($F98,PROFA,2,0)=2,1,0)</formula>
    </cfRule>
    <cfRule type="expression" dxfId="595" priority="820">
      <formula>IF(VLOOKUP($F98,PROFA,2,0)=3,1,0)</formula>
    </cfRule>
    <cfRule type="expression" dxfId="594" priority="821">
      <formula>IF(VLOOKUP($F98,PROFA,2,0)=4,1,0)</formula>
    </cfRule>
    <cfRule type="expression" dxfId="593" priority="822">
      <formula>IF(VLOOKUP($F98,PROFA,2,0)=5,1,0)</formula>
    </cfRule>
    <cfRule type="expression" dxfId="592" priority="823">
      <formula>IF(VLOOKUP($F98,PROFA,2,0)=6,1,0)</formula>
    </cfRule>
    <cfRule type="expression" dxfId="591" priority="824">
      <formula>IF(VLOOKUP($F98,PROFA,2,0)=7,1,0)</formula>
    </cfRule>
    <cfRule type="expression" dxfId="590" priority="825">
      <formula>IF(VLOOKUP($F98,PROFA,2,0)=8,1,0)</formula>
    </cfRule>
  </conditionalFormatting>
  <conditionalFormatting sqref="F104">
    <cfRule type="expression" dxfId="589" priority="810">
      <formula>IF(VLOOKUP($F104,PROFA,2,0)=1,1,0)</formula>
    </cfRule>
    <cfRule type="expression" dxfId="588" priority="811">
      <formula>IF(VLOOKUP($F104,PROFA,2,0)=2,1,0)</formula>
    </cfRule>
    <cfRule type="expression" dxfId="587" priority="812">
      <formula>IF(VLOOKUP($F104,PROFA,2,0)=3,1,0)</formula>
    </cfRule>
    <cfRule type="expression" dxfId="586" priority="813">
      <formula>IF(VLOOKUP($F104,PROFA,2,0)=4,1,0)</formula>
    </cfRule>
    <cfRule type="expression" dxfId="585" priority="814">
      <formula>IF(VLOOKUP($F104,PROFA,2,0)=5,1,0)</formula>
    </cfRule>
    <cfRule type="expression" dxfId="584" priority="815">
      <formula>IF(VLOOKUP($F104,PROFA,2,0)=6,1,0)</formula>
    </cfRule>
    <cfRule type="expression" dxfId="583" priority="816">
      <formula>IF(VLOOKUP($F104,PROFA,2,0)=7,1,0)</formula>
    </cfRule>
    <cfRule type="expression" dxfId="582" priority="817">
      <formula>IF(VLOOKUP($F104,PROFA,2,0)=8,1,0)</formula>
    </cfRule>
  </conditionalFormatting>
  <conditionalFormatting sqref="F105">
    <cfRule type="expression" dxfId="581" priority="802">
      <formula>IF(VLOOKUP($F105,PROFA,2,0)=1,1,0)</formula>
    </cfRule>
    <cfRule type="expression" dxfId="580" priority="803">
      <formula>IF(VLOOKUP($F105,PROFA,2,0)=2,1,0)</formula>
    </cfRule>
    <cfRule type="expression" dxfId="579" priority="804">
      <formula>IF(VLOOKUP($F105,PROFA,2,0)=3,1,0)</formula>
    </cfRule>
    <cfRule type="expression" dxfId="578" priority="805">
      <formula>IF(VLOOKUP($F105,PROFA,2,0)=4,1,0)</formula>
    </cfRule>
    <cfRule type="expression" dxfId="577" priority="806">
      <formula>IF(VLOOKUP($F105,PROFA,2,0)=5,1,0)</formula>
    </cfRule>
    <cfRule type="expression" dxfId="576" priority="807">
      <formula>IF(VLOOKUP($F105,PROFA,2,0)=6,1,0)</formula>
    </cfRule>
    <cfRule type="expression" dxfId="575" priority="808">
      <formula>IF(VLOOKUP($F105,PROFA,2,0)=7,1,0)</formula>
    </cfRule>
    <cfRule type="expression" dxfId="574" priority="809">
      <formula>IF(VLOOKUP($F105,PROFA,2,0)=8,1,0)</formula>
    </cfRule>
  </conditionalFormatting>
  <conditionalFormatting sqref="F106">
    <cfRule type="expression" dxfId="573" priority="794">
      <formula>IF(VLOOKUP($F106,PROFA,2,0)=1,1,0)</formula>
    </cfRule>
    <cfRule type="expression" dxfId="572" priority="795">
      <formula>IF(VLOOKUP($F106,PROFA,2,0)=2,1,0)</formula>
    </cfRule>
    <cfRule type="expression" dxfId="571" priority="796">
      <formula>IF(VLOOKUP($F106,PROFA,2,0)=3,1,0)</formula>
    </cfRule>
    <cfRule type="expression" dxfId="570" priority="797">
      <formula>IF(VLOOKUP($F106,PROFA,2,0)=4,1,0)</formula>
    </cfRule>
    <cfRule type="expression" dxfId="569" priority="798">
      <formula>IF(VLOOKUP($F106,PROFA,2,0)=5,1,0)</formula>
    </cfRule>
    <cfRule type="expression" dxfId="568" priority="799">
      <formula>IF(VLOOKUP($F106,PROFA,2,0)=6,1,0)</formula>
    </cfRule>
    <cfRule type="expression" dxfId="567" priority="800">
      <formula>IF(VLOOKUP($F106,PROFA,2,0)=7,1,0)</formula>
    </cfRule>
    <cfRule type="expression" dxfId="566" priority="801">
      <formula>IF(VLOOKUP($F106,PROFA,2,0)=8,1,0)</formula>
    </cfRule>
  </conditionalFormatting>
  <conditionalFormatting sqref="F109">
    <cfRule type="expression" dxfId="565" priority="778">
      <formula>IF(VLOOKUP($F109,PROFA,2,0)=1,1,0)</formula>
    </cfRule>
    <cfRule type="expression" dxfId="564" priority="779">
      <formula>IF(VLOOKUP($F109,PROFA,2,0)=2,1,0)</formula>
    </cfRule>
    <cfRule type="expression" dxfId="563" priority="780">
      <formula>IF(VLOOKUP($F109,PROFA,2,0)=3,1,0)</formula>
    </cfRule>
    <cfRule type="expression" dxfId="562" priority="781">
      <formula>IF(VLOOKUP($F109,PROFA,2,0)=4,1,0)</formula>
    </cfRule>
    <cfRule type="expression" dxfId="561" priority="782">
      <formula>IF(VLOOKUP($F109,PROFA,2,0)=5,1,0)</formula>
    </cfRule>
    <cfRule type="expression" dxfId="560" priority="783">
      <formula>IF(VLOOKUP($F109,PROFA,2,0)=6,1,0)</formula>
    </cfRule>
    <cfRule type="expression" dxfId="559" priority="784">
      <formula>IF(VLOOKUP($F109,PROFA,2,0)=7,1,0)</formula>
    </cfRule>
    <cfRule type="expression" dxfId="558" priority="785">
      <formula>IF(VLOOKUP($F109,PROFA,2,0)=8,1,0)</formula>
    </cfRule>
  </conditionalFormatting>
  <conditionalFormatting sqref="F110">
    <cfRule type="expression" dxfId="557" priority="770">
      <formula>IF(VLOOKUP($F110,PROFA,2,0)=1,1,0)</formula>
    </cfRule>
    <cfRule type="expression" dxfId="556" priority="771">
      <formula>IF(VLOOKUP($F110,PROFA,2,0)=2,1,0)</formula>
    </cfRule>
    <cfRule type="expression" dxfId="555" priority="772">
      <formula>IF(VLOOKUP($F110,PROFA,2,0)=3,1,0)</formula>
    </cfRule>
    <cfRule type="expression" dxfId="554" priority="773">
      <formula>IF(VLOOKUP($F110,PROFA,2,0)=4,1,0)</formula>
    </cfRule>
    <cfRule type="expression" dxfId="553" priority="774">
      <formula>IF(VLOOKUP($F110,PROFA,2,0)=5,1,0)</formula>
    </cfRule>
    <cfRule type="expression" dxfId="552" priority="775">
      <formula>IF(VLOOKUP($F110,PROFA,2,0)=6,1,0)</formula>
    </cfRule>
    <cfRule type="expression" dxfId="551" priority="776">
      <formula>IF(VLOOKUP($F110,PROFA,2,0)=7,1,0)</formula>
    </cfRule>
    <cfRule type="expression" dxfId="550" priority="777">
      <formula>IF(VLOOKUP($F110,PROFA,2,0)=8,1,0)</formula>
    </cfRule>
  </conditionalFormatting>
  <conditionalFormatting sqref="F111">
    <cfRule type="expression" dxfId="549" priority="762">
      <formula>IF(VLOOKUP($F111,PROFA,2,0)=1,1,0)</formula>
    </cfRule>
    <cfRule type="expression" dxfId="548" priority="763">
      <formula>IF(VLOOKUP($F111,PROFA,2,0)=2,1,0)</formula>
    </cfRule>
    <cfRule type="expression" dxfId="547" priority="764">
      <formula>IF(VLOOKUP($F111,PROFA,2,0)=3,1,0)</formula>
    </cfRule>
    <cfRule type="expression" dxfId="546" priority="765">
      <formula>IF(VLOOKUP($F111,PROFA,2,0)=4,1,0)</formula>
    </cfRule>
    <cfRule type="expression" dxfId="545" priority="766">
      <formula>IF(VLOOKUP($F111,PROFA,2,0)=5,1,0)</formula>
    </cfRule>
    <cfRule type="expression" dxfId="544" priority="767">
      <formula>IF(VLOOKUP($F111,PROFA,2,0)=6,1,0)</formula>
    </cfRule>
    <cfRule type="expression" dxfId="543" priority="768">
      <formula>IF(VLOOKUP($F111,PROFA,2,0)=7,1,0)</formula>
    </cfRule>
    <cfRule type="expression" dxfId="542" priority="769">
      <formula>IF(VLOOKUP($F111,PROFA,2,0)=8,1,0)</formula>
    </cfRule>
  </conditionalFormatting>
  <conditionalFormatting sqref="F112">
    <cfRule type="expression" dxfId="541" priority="754">
      <formula>IF(VLOOKUP($F112,PROFA,2,0)=1,1,0)</formula>
    </cfRule>
    <cfRule type="expression" dxfId="540" priority="755">
      <formula>IF(VLOOKUP($F112,PROFA,2,0)=2,1,0)</formula>
    </cfRule>
    <cfRule type="expression" dxfId="539" priority="756">
      <formula>IF(VLOOKUP($F112,PROFA,2,0)=3,1,0)</formula>
    </cfRule>
    <cfRule type="expression" dxfId="538" priority="757">
      <formula>IF(VLOOKUP($F112,PROFA,2,0)=4,1,0)</formula>
    </cfRule>
    <cfRule type="expression" dxfId="537" priority="758">
      <formula>IF(VLOOKUP($F112,PROFA,2,0)=5,1,0)</formula>
    </cfRule>
    <cfRule type="expression" dxfId="536" priority="759">
      <formula>IF(VLOOKUP($F112,PROFA,2,0)=6,1,0)</formula>
    </cfRule>
    <cfRule type="expression" dxfId="535" priority="760">
      <formula>IF(VLOOKUP($F112,PROFA,2,0)=7,1,0)</formula>
    </cfRule>
    <cfRule type="expression" dxfId="534" priority="761">
      <formula>IF(VLOOKUP($F112,PROFA,2,0)=8,1,0)</formula>
    </cfRule>
  </conditionalFormatting>
  <conditionalFormatting sqref="F114">
    <cfRule type="expression" dxfId="533" priority="746">
      <formula>IF(VLOOKUP($F114,PROFA,2,0)=1,1,0)</formula>
    </cfRule>
    <cfRule type="expression" dxfId="532" priority="747">
      <formula>IF(VLOOKUP($F114,PROFA,2,0)=2,1,0)</formula>
    </cfRule>
    <cfRule type="expression" dxfId="531" priority="748">
      <formula>IF(VLOOKUP($F114,PROFA,2,0)=3,1,0)</formula>
    </cfRule>
    <cfRule type="expression" dxfId="530" priority="749">
      <formula>IF(VLOOKUP($F114,PROFA,2,0)=4,1,0)</formula>
    </cfRule>
    <cfRule type="expression" dxfId="529" priority="750">
      <formula>IF(VLOOKUP($F114,PROFA,2,0)=5,1,0)</formula>
    </cfRule>
    <cfRule type="expression" dxfId="528" priority="751">
      <formula>IF(VLOOKUP($F114,PROFA,2,0)=6,1,0)</formula>
    </cfRule>
    <cfRule type="expression" dxfId="527" priority="752">
      <formula>IF(VLOOKUP($F114,PROFA,2,0)=7,1,0)</formula>
    </cfRule>
    <cfRule type="expression" dxfId="526" priority="753">
      <formula>IF(VLOOKUP($F114,PROFA,2,0)=8,1,0)</formula>
    </cfRule>
  </conditionalFormatting>
  <conditionalFormatting sqref="F126">
    <cfRule type="expression" dxfId="525" priority="722">
      <formula>IF(VLOOKUP($F126,PROFA,2,0)=1,1,0)</formula>
    </cfRule>
    <cfRule type="expression" dxfId="524" priority="723">
      <formula>IF(VLOOKUP($F126,PROFA,2,0)=2,1,0)</formula>
    </cfRule>
    <cfRule type="expression" dxfId="523" priority="724">
      <formula>IF(VLOOKUP($F126,PROFA,2,0)=3,1,0)</formula>
    </cfRule>
    <cfRule type="expression" dxfId="522" priority="725">
      <formula>IF(VLOOKUP($F126,PROFA,2,0)=4,1,0)</formula>
    </cfRule>
    <cfRule type="expression" dxfId="521" priority="726">
      <formula>IF(VLOOKUP($F126,PROFA,2,0)=5,1,0)</formula>
    </cfRule>
    <cfRule type="expression" dxfId="520" priority="727">
      <formula>IF(VLOOKUP($F126,PROFA,2,0)=6,1,0)</formula>
    </cfRule>
    <cfRule type="expression" dxfId="519" priority="728">
      <formula>IF(VLOOKUP($F126,PROFA,2,0)=7,1,0)</formula>
    </cfRule>
    <cfRule type="expression" dxfId="518" priority="729">
      <formula>IF(VLOOKUP($F126,PROFA,2,0)=8,1,0)</formula>
    </cfRule>
  </conditionalFormatting>
  <conditionalFormatting sqref="F127">
    <cfRule type="expression" dxfId="517" priority="714">
      <formula>IF(VLOOKUP($F127,PROFA,2,0)=1,1,0)</formula>
    </cfRule>
    <cfRule type="expression" dxfId="516" priority="715">
      <formula>IF(VLOOKUP($F127,PROFA,2,0)=2,1,0)</formula>
    </cfRule>
    <cfRule type="expression" dxfId="515" priority="716">
      <formula>IF(VLOOKUP($F127,PROFA,2,0)=3,1,0)</formula>
    </cfRule>
    <cfRule type="expression" dxfId="514" priority="717">
      <formula>IF(VLOOKUP($F127,PROFA,2,0)=4,1,0)</formula>
    </cfRule>
    <cfRule type="expression" dxfId="513" priority="718">
      <formula>IF(VLOOKUP($F127,PROFA,2,0)=5,1,0)</formula>
    </cfRule>
    <cfRule type="expression" dxfId="512" priority="719">
      <formula>IF(VLOOKUP($F127,PROFA,2,0)=6,1,0)</formula>
    </cfRule>
    <cfRule type="expression" dxfId="511" priority="720">
      <formula>IF(VLOOKUP($F127,PROFA,2,0)=7,1,0)</formula>
    </cfRule>
    <cfRule type="expression" dxfId="510" priority="721">
      <formula>IF(VLOOKUP($F127,PROFA,2,0)=8,1,0)</formula>
    </cfRule>
  </conditionalFormatting>
  <conditionalFormatting sqref="F128">
    <cfRule type="expression" dxfId="509" priority="706">
      <formula>IF(VLOOKUP($F128,PROFA,2,0)=1,1,0)</formula>
    </cfRule>
    <cfRule type="expression" dxfId="508" priority="707">
      <formula>IF(VLOOKUP($F128,PROFA,2,0)=2,1,0)</formula>
    </cfRule>
    <cfRule type="expression" dxfId="507" priority="708">
      <formula>IF(VLOOKUP($F128,PROFA,2,0)=3,1,0)</formula>
    </cfRule>
    <cfRule type="expression" dxfId="506" priority="709">
      <formula>IF(VLOOKUP($F128,PROFA,2,0)=4,1,0)</formula>
    </cfRule>
    <cfRule type="expression" dxfId="505" priority="710">
      <formula>IF(VLOOKUP($F128,PROFA,2,0)=5,1,0)</formula>
    </cfRule>
    <cfRule type="expression" dxfId="504" priority="711">
      <formula>IF(VLOOKUP($F128,PROFA,2,0)=6,1,0)</formula>
    </cfRule>
    <cfRule type="expression" dxfId="503" priority="712">
      <formula>IF(VLOOKUP($F128,PROFA,2,0)=7,1,0)</formula>
    </cfRule>
    <cfRule type="expression" dxfId="502" priority="713">
      <formula>IF(VLOOKUP($F128,PROFA,2,0)=8,1,0)</formula>
    </cfRule>
  </conditionalFormatting>
  <conditionalFormatting sqref="F130">
    <cfRule type="expression" dxfId="501" priority="698">
      <formula>IF(VLOOKUP($F130,PROFA,2,0)=1,1,0)</formula>
    </cfRule>
    <cfRule type="expression" dxfId="500" priority="699">
      <formula>IF(VLOOKUP($F130,PROFA,2,0)=2,1,0)</formula>
    </cfRule>
    <cfRule type="expression" dxfId="499" priority="700">
      <formula>IF(VLOOKUP($F130,PROFA,2,0)=3,1,0)</formula>
    </cfRule>
    <cfRule type="expression" dxfId="498" priority="701">
      <formula>IF(VLOOKUP($F130,PROFA,2,0)=4,1,0)</formula>
    </cfRule>
    <cfRule type="expression" dxfId="497" priority="702">
      <formula>IF(VLOOKUP($F130,PROFA,2,0)=5,1,0)</formula>
    </cfRule>
    <cfRule type="expression" dxfId="496" priority="703">
      <formula>IF(VLOOKUP($F130,PROFA,2,0)=6,1,0)</formula>
    </cfRule>
    <cfRule type="expression" dxfId="495" priority="704">
      <formula>IF(VLOOKUP($F130,PROFA,2,0)=7,1,0)</formula>
    </cfRule>
    <cfRule type="expression" dxfId="494" priority="705">
      <formula>IF(VLOOKUP($F130,PROFA,2,0)=8,1,0)</formula>
    </cfRule>
  </conditionalFormatting>
  <conditionalFormatting sqref="F137">
    <cfRule type="expression" dxfId="493" priority="690">
      <formula>IF(VLOOKUP($F137,PROFA,2,0)=1,1,0)</formula>
    </cfRule>
    <cfRule type="expression" dxfId="492" priority="691">
      <formula>IF(VLOOKUP($F137,PROFA,2,0)=2,1,0)</formula>
    </cfRule>
    <cfRule type="expression" dxfId="491" priority="692">
      <formula>IF(VLOOKUP($F137,PROFA,2,0)=3,1,0)</formula>
    </cfRule>
    <cfRule type="expression" dxfId="490" priority="693">
      <formula>IF(VLOOKUP($F137,PROFA,2,0)=4,1,0)</formula>
    </cfRule>
    <cfRule type="expression" dxfId="489" priority="694">
      <formula>IF(VLOOKUP($F137,PROFA,2,0)=5,1,0)</formula>
    </cfRule>
    <cfRule type="expression" dxfId="488" priority="695">
      <formula>IF(VLOOKUP($F137,PROFA,2,0)=6,1,0)</formula>
    </cfRule>
    <cfRule type="expression" dxfId="487" priority="696">
      <formula>IF(VLOOKUP($F137,PROFA,2,0)=7,1,0)</formula>
    </cfRule>
    <cfRule type="expression" dxfId="486" priority="697">
      <formula>IF(VLOOKUP($F137,PROFA,2,0)=8,1,0)</formula>
    </cfRule>
  </conditionalFormatting>
  <conditionalFormatting sqref="F138">
    <cfRule type="expression" dxfId="485" priority="682">
      <formula>IF(VLOOKUP($F138,PROFA,2,0)=1,1,0)</formula>
    </cfRule>
    <cfRule type="expression" dxfId="484" priority="683">
      <formula>IF(VLOOKUP($F138,PROFA,2,0)=2,1,0)</formula>
    </cfRule>
    <cfRule type="expression" dxfId="483" priority="684">
      <formula>IF(VLOOKUP($F138,PROFA,2,0)=3,1,0)</formula>
    </cfRule>
    <cfRule type="expression" dxfId="482" priority="685">
      <formula>IF(VLOOKUP($F138,PROFA,2,0)=4,1,0)</formula>
    </cfRule>
    <cfRule type="expression" dxfId="481" priority="686">
      <formula>IF(VLOOKUP($F138,PROFA,2,0)=5,1,0)</formula>
    </cfRule>
    <cfRule type="expression" dxfId="480" priority="687">
      <formula>IF(VLOOKUP($F138,PROFA,2,0)=6,1,0)</formula>
    </cfRule>
    <cfRule type="expression" dxfId="479" priority="688">
      <formula>IF(VLOOKUP($F138,PROFA,2,0)=7,1,0)</formula>
    </cfRule>
    <cfRule type="expression" dxfId="478" priority="689">
      <formula>IF(VLOOKUP($F138,PROFA,2,0)=8,1,0)</formula>
    </cfRule>
  </conditionalFormatting>
  <conditionalFormatting sqref="F140">
    <cfRule type="expression" dxfId="477" priority="674">
      <formula>IF(VLOOKUP($F140,PROFA,2,0)=1,1,0)</formula>
    </cfRule>
    <cfRule type="expression" dxfId="476" priority="675">
      <formula>IF(VLOOKUP($F140,PROFA,2,0)=2,1,0)</formula>
    </cfRule>
    <cfRule type="expression" dxfId="475" priority="676">
      <formula>IF(VLOOKUP($F140,PROFA,2,0)=3,1,0)</formula>
    </cfRule>
    <cfRule type="expression" dxfId="474" priority="677">
      <formula>IF(VLOOKUP($F140,PROFA,2,0)=4,1,0)</formula>
    </cfRule>
    <cfRule type="expression" dxfId="473" priority="678">
      <formula>IF(VLOOKUP($F140,PROFA,2,0)=5,1,0)</formula>
    </cfRule>
    <cfRule type="expression" dxfId="472" priority="679">
      <formula>IF(VLOOKUP($F140,PROFA,2,0)=6,1,0)</formula>
    </cfRule>
    <cfRule type="expression" dxfId="471" priority="680">
      <formula>IF(VLOOKUP($F140,PROFA,2,0)=7,1,0)</formula>
    </cfRule>
    <cfRule type="expression" dxfId="470" priority="681">
      <formula>IF(VLOOKUP($F140,PROFA,2,0)=8,1,0)</formula>
    </cfRule>
  </conditionalFormatting>
  <conditionalFormatting sqref="F143">
    <cfRule type="expression" dxfId="469" priority="658">
      <formula>IF(VLOOKUP($F143,PROFA,2,0)=1,1,0)</formula>
    </cfRule>
    <cfRule type="expression" dxfId="468" priority="659">
      <formula>IF(VLOOKUP($F143,PROFA,2,0)=2,1,0)</formula>
    </cfRule>
    <cfRule type="expression" dxfId="467" priority="660">
      <formula>IF(VLOOKUP($F143,PROFA,2,0)=3,1,0)</formula>
    </cfRule>
    <cfRule type="expression" dxfId="466" priority="661">
      <formula>IF(VLOOKUP($F143,PROFA,2,0)=4,1,0)</formula>
    </cfRule>
    <cfRule type="expression" dxfId="465" priority="662">
      <formula>IF(VLOOKUP($F143,PROFA,2,0)=5,1,0)</formula>
    </cfRule>
    <cfRule type="expression" dxfId="464" priority="663">
      <formula>IF(VLOOKUP($F143,PROFA,2,0)=6,1,0)</formula>
    </cfRule>
    <cfRule type="expression" dxfId="463" priority="664">
      <formula>IF(VLOOKUP($F143,PROFA,2,0)=7,1,0)</formula>
    </cfRule>
    <cfRule type="expression" dxfId="462" priority="665">
      <formula>IF(VLOOKUP($F143,PROFA,2,0)=8,1,0)</formula>
    </cfRule>
  </conditionalFormatting>
  <conditionalFormatting sqref="F146">
    <cfRule type="expression" dxfId="461" priority="650">
      <formula>IF(VLOOKUP($F146,PROFA,2,0)=1,1,0)</formula>
    </cfRule>
    <cfRule type="expression" dxfId="460" priority="651">
      <formula>IF(VLOOKUP($F146,PROFA,2,0)=2,1,0)</formula>
    </cfRule>
    <cfRule type="expression" dxfId="459" priority="652">
      <formula>IF(VLOOKUP($F146,PROFA,2,0)=3,1,0)</formula>
    </cfRule>
    <cfRule type="expression" dxfId="458" priority="653">
      <formula>IF(VLOOKUP($F146,PROFA,2,0)=4,1,0)</formula>
    </cfRule>
    <cfRule type="expression" dxfId="457" priority="654">
      <formula>IF(VLOOKUP($F146,PROFA,2,0)=5,1,0)</formula>
    </cfRule>
    <cfRule type="expression" dxfId="456" priority="655">
      <formula>IF(VLOOKUP($F146,PROFA,2,0)=6,1,0)</formula>
    </cfRule>
    <cfRule type="expression" dxfId="455" priority="656">
      <formula>IF(VLOOKUP($F146,PROFA,2,0)=7,1,0)</formula>
    </cfRule>
    <cfRule type="expression" dxfId="454" priority="657">
      <formula>IF(VLOOKUP($F146,PROFA,2,0)=8,1,0)</formula>
    </cfRule>
  </conditionalFormatting>
  <conditionalFormatting sqref="F147">
    <cfRule type="expression" dxfId="453" priority="642">
      <formula>IF(VLOOKUP($F147,PROFA,2,0)=1,1,0)</formula>
    </cfRule>
    <cfRule type="expression" dxfId="452" priority="643">
      <formula>IF(VLOOKUP($F147,PROFA,2,0)=2,1,0)</formula>
    </cfRule>
    <cfRule type="expression" dxfId="451" priority="644">
      <formula>IF(VLOOKUP($F147,PROFA,2,0)=3,1,0)</formula>
    </cfRule>
    <cfRule type="expression" dxfId="450" priority="645">
      <formula>IF(VLOOKUP($F147,PROFA,2,0)=4,1,0)</formula>
    </cfRule>
    <cfRule type="expression" dxfId="449" priority="646">
      <formula>IF(VLOOKUP($F147,PROFA,2,0)=5,1,0)</formula>
    </cfRule>
    <cfRule type="expression" dxfId="448" priority="647">
      <formula>IF(VLOOKUP($F147,PROFA,2,0)=6,1,0)</formula>
    </cfRule>
    <cfRule type="expression" dxfId="447" priority="648">
      <formula>IF(VLOOKUP($F147,PROFA,2,0)=7,1,0)</formula>
    </cfRule>
    <cfRule type="expression" dxfId="446" priority="649">
      <formula>IF(VLOOKUP($F147,PROFA,2,0)=8,1,0)</formula>
    </cfRule>
  </conditionalFormatting>
  <conditionalFormatting sqref="F148">
    <cfRule type="expression" dxfId="445" priority="634">
      <formula>IF(VLOOKUP($F148,PROFA,2,0)=1,1,0)</formula>
    </cfRule>
    <cfRule type="expression" dxfId="444" priority="635">
      <formula>IF(VLOOKUP($F148,PROFA,2,0)=2,1,0)</formula>
    </cfRule>
    <cfRule type="expression" dxfId="443" priority="636">
      <formula>IF(VLOOKUP($F148,PROFA,2,0)=3,1,0)</formula>
    </cfRule>
    <cfRule type="expression" dxfId="442" priority="637">
      <formula>IF(VLOOKUP($F148,PROFA,2,0)=4,1,0)</formula>
    </cfRule>
    <cfRule type="expression" dxfId="441" priority="638">
      <formula>IF(VLOOKUP($F148,PROFA,2,0)=5,1,0)</formula>
    </cfRule>
    <cfRule type="expression" dxfId="440" priority="639">
      <formula>IF(VLOOKUP($F148,PROFA,2,0)=6,1,0)</formula>
    </cfRule>
    <cfRule type="expression" dxfId="439" priority="640">
      <formula>IF(VLOOKUP($F148,PROFA,2,0)=7,1,0)</formula>
    </cfRule>
    <cfRule type="expression" dxfId="438" priority="641">
      <formula>IF(VLOOKUP($F148,PROFA,2,0)=8,1,0)</formula>
    </cfRule>
  </conditionalFormatting>
  <conditionalFormatting sqref="F151">
    <cfRule type="expression" dxfId="437" priority="626">
      <formula>IF(VLOOKUP($F151,PROFA,2,0)=1,1,0)</formula>
    </cfRule>
    <cfRule type="expression" dxfId="436" priority="627">
      <formula>IF(VLOOKUP($F151,PROFA,2,0)=2,1,0)</formula>
    </cfRule>
    <cfRule type="expression" dxfId="435" priority="628">
      <formula>IF(VLOOKUP($F151,PROFA,2,0)=3,1,0)</formula>
    </cfRule>
    <cfRule type="expression" dxfId="434" priority="629">
      <formula>IF(VLOOKUP($F151,PROFA,2,0)=4,1,0)</formula>
    </cfRule>
    <cfRule type="expression" dxfId="433" priority="630">
      <formula>IF(VLOOKUP($F151,PROFA,2,0)=5,1,0)</formula>
    </cfRule>
    <cfRule type="expression" dxfId="432" priority="631">
      <formula>IF(VLOOKUP($F151,PROFA,2,0)=6,1,0)</formula>
    </cfRule>
    <cfRule type="expression" dxfId="431" priority="632">
      <formula>IF(VLOOKUP($F151,PROFA,2,0)=7,1,0)</formula>
    </cfRule>
    <cfRule type="expression" dxfId="430" priority="633">
      <formula>IF(VLOOKUP($F151,PROFA,2,0)=8,1,0)</formula>
    </cfRule>
  </conditionalFormatting>
  <conditionalFormatting sqref="F153">
    <cfRule type="expression" dxfId="429" priority="618">
      <formula>IF(VLOOKUP($F153,PROFA,2,0)=1,1,0)</formula>
    </cfRule>
    <cfRule type="expression" dxfId="428" priority="619">
      <formula>IF(VLOOKUP($F153,PROFA,2,0)=2,1,0)</formula>
    </cfRule>
    <cfRule type="expression" dxfId="427" priority="620">
      <formula>IF(VLOOKUP($F153,PROFA,2,0)=3,1,0)</formula>
    </cfRule>
    <cfRule type="expression" dxfId="426" priority="621">
      <formula>IF(VLOOKUP($F153,PROFA,2,0)=4,1,0)</formula>
    </cfRule>
    <cfRule type="expression" dxfId="425" priority="622">
      <formula>IF(VLOOKUP($F153,PROFA,2,0)=5,1,0)</formula>
    </cfRule>
    <cfRule type="expression" dxfId="424" priority="623">
      <formula>IF(VLOOKUP($F153,PROFA,2,0)=6,1,0)</formula>
    </cfRule>
    <cfRule type="expression" dxfId="423" priority="624">
      <formula>IF(VLOOKUP($F153,PROFA,2,0)=7,1,0)</formula>
    </cfRule>
    <cfRule type="expression" dxfId="422" priority="625">
      <formula>IF(VLOOKUP($F153,PROFA,2,0)=8,1,0)</formula>
    </cfRule>
  </conditionalFormatting>
  <conditionalFormatting sqref="F154">
    <cfRule type="expression" dxfId="421" priority="610">
      <formula>IF(VLOOKUP($F154,PROFA,2,0)=1,1,0)</formula>
    </cfRule>
    <cfRule type="expression" dxfId="420" priority="611">
      <formula>IF(VLOOKUP($F154,PROFA,2,0)=2,1,0)</formula>
    </cfRule>
    <cfRule type="expression" dxfId="419" priority="612">
      <formula>IF(VLOOKUP($F154,PROFA,2,0)=3,1,0)</formula>
    </cfRule>
    <cfRule type="expression" dxfId="418" priority="613">
      <formula>IF(VLOOKUP($F154,PROFA,2,0)=4,1,0)</formula>
    </cfRule>
    <cfRule type="expression" dxfId="417" priority="614">
      <formula>IF(VLOOKUP($F154,PROFA,2,0)=5,1,0)</formula>
    </cfRule>
    <cfRule type="expression" dxfId="416" priority="615">
      <formula>IF(VLOOKUP($F154,PROFA,2,0)=6,1,0)</formula>
    </cfRule>
    <cfRule type="expression" dxfId="415" priority="616">
      <formula>IF(VLOOKUP($F154,PROFA,2,0)=7,1,0)</formula>
    </cfRule>
    <cfRule type="expression" dxfId="414" priority="617">
      <formula>IF(VLOOKUP($F154,PROFA,2,0)=8,1,0)</formula>
    </cfRule>
  </conditionalFormatting>
  <conditionalFormatting sqref="F156">
    <cfRule type="expression" dxfId="413" priority="602">
      <formula>IF(VLOOKUP($F156,PROFA,2,0)=1,1,0)</formula>
    </cfRule>
    <cfRule type="expression" dxfId="412" priority="603">
      <formula>IF(VLOOKUP($F156,PROFA,2,0)=2,1,0)</formula>
    </cfRule>
    <cfRule type="expression" dxfId="411" priority="604">
      <formula>IF(VLOOKUP($F156,PROFA,2,0)=3,1,0)</formula>
    </cfRule>
    <cfRule type="expression" dxfId="410" priority="605">
      <formula>IF(VLOOKUP($F156,PROFA,2,0)=4,1,0)</formula>
    </cfRule>
    <cfRule type="expression" dxfId="409" priority="606">
      <formula>IF(VLOOKUP($F156,PROFA,2,0)=5,1,0)</formula>
    </cfRule>
    <cfRule type="expression" dxfId="408" priority="607">
      <formula>IF(VLOOKUP($F156,PROFA,2,0)=6,1,0)</formula>
    </cfRule>
    <cfRule type="expression" dxfId="407" priority="608">
      <formula>IF(VLOOKUP($F156,PROFA,2,0)=7,1,0)</formula>
    </cfRule>
    <cfRule type="expression" dxfId="406" priority="609">
      <formula>IF(VLOOKUP($F156,PROFA,2,0)=8,1,0)</formula>
    </cfRule>
  </conditionalFormatting>
  <conditionalFormatting sqref="F162">
    <cfRule type="expression" dxfId="405" priority="578">
      <formula>IF(VLOOKUP($F162,PROFA,2,0)=1,1,0)</formula>
    </cfRule>
    <cfRule type="expression" dxfId="404" priority="579">
      <formula>IF(VLOOKUP($F162,PROFA,2,0)=2,1,0)</formula>
    </cfRule>
    <cfRule type="expression" dxfId="403" priority="580">
      <formula>IF(VLOOKUP($F162,PROFA,2,0)=3,1,0)</formula>
    </cfRule>
    <cfRule type="expression" dxfId="402" priority="581">
      <formula>IF(VLOOKUP($F162,PROFA,2,0)=4,1,0)</formula>
    </cfRule>
    <cfRule type="expression" dxfId="401" priority="582">
      <formula>IF(VLOOKUP($F162,PROFA,2,0)=5,1,0)</formula>
    </cfRule>
    <cfRule type="expression" dxfId="400" priority="583">
      <formula>IF(VLOOKUP($F162,PROFA,2,0)=6,1,0)</formula>
    </cfRule>
    <cfRule type="expression" dxfId="399" priority="584">
      <formula>IF(VLOOKUP($F162,PROFA,2,0)=7,1,0)</formula>
    </cfRule>
    <cfRule type="expression" dxfId="398" priority="585">
      <formula>IF(VLOOKUP($F162,PROFA,2,0)=8,1,0)</formula>
    </cfRule>
  </conditionalFormatting>
  <conditionalFormatting sqref="F164">
    <cfRule type="expression" dxfId="397" priority="570">
      <formula>IF(VLOOKUP($F164,PROFA,2,0)=1,1,0)</formula>
    </cfRule>
    <cfRule type="expression" dxfId="396" priority="571">
      <formula>IF(VLOOKUP($F164,PROFA,2,0)=2,1,0)</formula>
    </cfRule>
    <cfRule type="expression" dxfId="395" priority="572">
      <formula>IF(VLOOKUP($F164,PROFA,2,0)=3,1,0)</formula>
    </cfRule>
    <cfRule type="expression" dxfId="394" priority="573">
      <formula>IF(VLOOKUP($F164,PROFA,2,0)=4,1,0)</formula>
    </cfRule>
    <cfRule type="expression" dxfId="393" priority="574">
      <formula>IF(VLOOKUP($F164,PROFA,2,0)=5,1,0)</formula>
    </cfRule>
    <cfRule type="expression" dxfId="392" priority="575">
      <formula>IF(VLOOKUP($F164,PROFA,2,0)=6,1,0)</formula>
    </cfRule>
    <cfRule type="expression" dxfId="391" priority="576">
      <formula>IF(VLOOKUP($F164,PROFA,2,0)=7,1,0)</formula>
    </cfRule>
    <cfRule type="expression" dxfId="390" priority="577">
      <formula>IF(VLOOKUP($F164,PROFA,2,0)=8,1,0)</formula>
    </cfRule>
  </conditionalFormatting>
  <conditionalFormatting sqref="F166">
    <cfRule type="expression" dxfId="389" priority="562">
      <formula>IF(VLOOKUP($F166,PROFA,2,0)=1,1,0)</formula>
    </cfRule>
    <cfRule type="expression" dxfId="388" priority="563">
      <formula>IF(VLOOKUP($F166,PROFA,2,0)=2,1,0)</formula>
    </cfRule>
    <cfRule type="expression" dxfId="387" priority="564">
      <formula>IF(VLOOKUP($F166,PROFA,2,0)=3,1,0)</formula>
    </cfRule>
    <cfRule type="expression" dxfId="386" priority="565">
      <formula>IF(VLOOKUP($F166,PROFA,2,0)=4,1,0)</formula>
    </cfRule>
    <cfRule type="expression" dxfId="385" priority="566">
      <formula>IF(VLOOKUP($F166,PROFA,2,0)=5,1,0)</formula>
    </cfRule>
    <cfRule type="expression" dxfId="384" priority="567">
      <formula>IF(VLOOKUP($F166,PROFA,2,0)=6,1,0)</formula>
    </cfRule>
    <cfRule type="expression" dxfId="383" priority="568">
      <formula>IF(VLOOKUP($F166,PROFA,2,0)=7,1,0)</formula>
    </cfRule>
    <cfRule type="expression" dxfId="382" priority="569">
      <formula>IF(VLOOKUP($F166,PROFA,2,0)=8,1,0)</formula>
    </cfRule>
  </conditionalFormatting>
  <conditionalFormatting sqref="F167">
    <cfRule type="expression" dxfId="381" priority="554">
      <formula>IF(VLOOKUP($F167,PROFA,2,0)=1,1,0)</formula>
    </cfRule>
    <cfRule type="expression" dxfId="380" priority="555">
      <formula>IF(VLOOKUP($F167,PROFA,2,0)=2,1,0)</formula>
    </cfRule>
    <cfRule type="expression" dxfId="379" priority="556">
      <formula>IF(VLOOKUP($F167,PROFA,2,0)=3,1,0)</formula>
    </cfRule>
    <cfRule type="expression" dxfId="378" priority="557">
      <formula>IF(VLOOKUP($F167,PROFA,2,0)=4,1,0)</formula>
    </cfRule>
    <cfRule type="expression" dxfId="377" priority="558">
      <formula>IF(VLOOKUP($F167,PROFA,2,0)=5,1,0)</formula>
    </cfRule>
    <cfRule type="expression" dxfId="376" priority="559">
      <formula>IF(VLOOKUP($F167,PROFA,2,0)=6,1,0)</formula>
    </cfRule>
    <cfRule type="expression" dxfId="375" priority="560">
      <formula>IF(VLOOKUP($F167,PROFA,2,0)=7,1,0)</formula>
    </cfRule>
    <cfRule type="expression" dxfId="374" priority="561">
      <formula>IF(VLOOKUP($F167,PROFA,2,0)=8,1,0)</formula>
    </cfRule>
  </conditionalFormatting>
  <conditionalFormatting sqref="F170">
    <cfRule type="expression" dxfId="373" priority="546">
      <formula>IF(VLOOKUP($F170,PROFA,2,0)=1,1,0)</formula>
    </cfRule>
    <cfRule type="expression" dxfId="372" priority="547">
      <formula>IF(VLOOKUP($F170,PROFA,2,0)=2,1,0)</formula>
    </cfRule>
    <cfRule type="expression" dxfId="371" priority="548">
      <formula>IF(VLOOKUP($F170,PROFA,2,0)=3,1,0)</formula>
    </cfRule>
    <cfRule type="expression" dxfId="370" priority="549">
      <formula>IF(VLOOKUP($F170,PROFA,2,0)=4,1,0)</formula>
    </cfRule>
    <cfRule type="expression" dxfId="369" priority="550">
      <formula>IF(VLOOKUP($F170,PROFA,2,0)=5,1,0)</formula>
    </cfRule>
    <cfRule type="expression" dxfId="368" priority="551">
      <formula>IF(VLOOKUP($F170,PROFA,2,0)=6,1,0)</formula>
    </cfRule>
    <cfRule type="expression" dxfId="367" priority="552">
      <formula>IF(VLOOKUP($F170,PROFA,2,0)=7,1,0)</formula>
    </cfRule>
    <cfRule type="expression" dxfId="366" priority="553">
      <formula>IF(VLOOKUP($F170,PROFA,2,0)=8,1,0)</formula>
    </cfRule>
  </conditionalFormatting>
  <conditionalFormatting sqref="F173">
    <cfRule type="expression" dxfId="365" priority="538">
      <formula>IF(VLOOKUP($F173,PROFA,2,0)=1,1,0)</formula>
    </cfRule>
    <cfRule type="expression" dxfId="364" priority="539">
      <formula>IF(VLOOKUP($F173,PROFA,2,0)=2,1,0)</formula>
    </cfRule>
    <cfRule type="expression" dxfId="363" priority="540">
      <formula>IF(VLOOKUP($F173,PROFA,2,0)=3,1,0)</formula>
    </cfRule>
    <cfRule type="expression" dxfId="362" priority="541">
      <formula>IF(VLOOKUP($F173,PROFA,2,0)=4,1,0)</formula>
    </cfRule>
    <cfRule type="expression" dxfId="361" priority="542">
      <formula>IF(VLOOKUP($F173,PROFA,2,0)=5,1,0)</formula>
    </cfRule>
    <cfRule type="expression" dxfId="360" priority="543">
      <formula>IF(VLOOKUP($F173,PROFA,2,0)=6,1,0)</formula>
    </cfRule>
    <cfRule type="expression" dxfId="359" priority="544">
      <formula>IF(VLOOKUP($F173,PROFA,2,0)=7,1,0)</formula>
    </cfRule>
    <cfRule type="expression" dxfId="358" priority="545">
      <formula>IF(VLOOKUP($F173,PROFA,2,0)=8,1,0)</formula>
    </cfRule>
  </conditionalFormatting>
  <conditionalFormatting sqref="F174">
    <cfRule type="expression" dxfId="357" priority="522">
      <formula>IF(VLOOKUP($F174,PROFA,2,0)=1,1,0)</formula>
    </cfRule>
    <cfRule type="expression" dxfId="356" priority="523">
      <formula>IF(VLOOKUP($F174,PROFA,2,0)=2,1,0)</formula>
    </cfRule>
    <cfRule type="expression" dxfId="355" priority="524">
      <formula>IF(VLOOKUP($F174,PROFA,2,0)=3,1,0)</formula>
    </cfRule>
    <cfRule type="expression" dxfId="354" priority="525">
      <formula>IF(VLOOKUP($F174,PROFA,2,0)=4,1,0)</formula>
    </cfRule>
    <cfRule type="expression" dxfId="353" priority="526">
      <formula>IF(VLOOKUP($F174,PROFA,2,0)=5,1,0)</formula>
    </cfRule>
    <cfRule type="expression" dxfId="352" priority="527">
      <formula>IF(VLOOKUP($F174,PROFA,2,0)=6,1,0)</formula>
    </cfRule>
    <cfRule type="expression" dxfId="351" priority="528">
      <formula>IF(VLOOKUP($F174,PROFA,2,0)=7,1,0)</formula>
    </cfRule>
    <cfRule type="expression" dxfId="350" priority="529">
      <formula>IF(VLOOKUP($F174,PROFA,2,0)=8,1,0)</formula>
    </cfRule>
  </conditionalFormatting>
  <conditionalFormatting sqref="F175">
    <cfRule type="expression" dxfId="349" priority="514">
      <formula>IF(VLOOKUP($F175,PROFA,2,0)=1,1,0)</formula>
    </cfRule>
    <cfRule type="expression" dxfId="348" priority="515">
      <formula>IF(VLOOKUP($F175,PROFA,2,0)=2,1,0)</formula>
    </cfRule>
    <cfRule type="expression" dxfId="347" priority="516">
      <formula>IF(VLOOKUP($F175,PROFA,2,0)=3,1,0)</formula>
    </cfRule>
    <cfRule type="expression" dxfId="346" priority="517">
      <formula>IF(VLOOKUP($F175,PROFA,2,0)=4,1,0)</formula>
    </cfRule>
    <cfRule type="expression" dxfId="345" priority="518">
      <formula>IF(VLOOKUP($F175,PROFA,2,0)=5,1,0)</formula>
    </cfRule>
    <cfRule type="expression" dxfId="344" priority="519">
      <formula>IF(VLOOKUP($F175,PROFA,2,0)=6,1,0)</formula>
    </cfRule>
    <cfRule type="expression" dxfId="343" priority="520">
      <formula>IF(VLOOKUP($F175,PROFA,2,0)=7,1,0)</formula>
    </cfRule>
    <cfRule type="expression" dxfId="342" priority="521">
      <formula>IF(VLOOKUP($F175,PROFA,2,0)=8,1,0)</formula>
    </cfRule>
  </conditionalFormatting>
  <conditionalFormatting sqref="F178">
    <cfRule type="expression" dxfId="341" priority="506">
      <formula>IF(VLOOKUP($F178,PROFA,2,0)=1,1,0)</formula>
    </cfRule>
    <cfRule type="expression" dxfId="340" priority="507">
      <formula>IF(VLOOKUP($F178,PROFA,2,0)=2,1,0)</formula>
    </cfRule>
    <cfRule type="expression" dxfId="339" priority="508">
      <formula>IF(VLOOKUP($F178,PROFA,2,0)=3,1,0)</formula>
    </cfRule>
    <cfRule type="expression" dxfId="338" priority="509">
      <formula>IF(VLOOKUP($F178,PROFA,2,0)=4,1,0)</formula>
    </cfRule>
    <cfRule type="expression" dxfId="337" priority="510">
      <formula>IF(VLOOKUP($F178,PROFA,2,0)=5,1,0)</formula>
    </cfRule>
    <cfRule type="expression" dxfId="336" priority="511">
      <formula>IF(VLOOKUP($F178,PROFA,2,0)=6,1,0)</formula>
    </cfRule>
    <cfRule type="expression" dxfId="335" priority="512">
      <formula>IF(VLOOKUP($F178,PROFA,2,0)=7,1,0)</formula>
    </cfRule>
    <cfRule type="expression" dxfId="334" priority="513">
      <formula>IF(VLOOKUP($F178,PROFA,2,0)=8,1,0)</formula>
    </cfRule>
  </conditionalFormatting>
  <conditionalFormatting sqref="F179">
    <cfRule type="expression" dxfId="333" priority="498">
      <formula>IF(VLOOKUP($F179,PROFA,2,0)=1,1,0)</formula>
    </cfRule>
    <cfRule type="expression" dxfId="332" priority="499">
      <formula>IF(VLOOKUP($F179,PROFA,2,0)=2,1,0)</formula>
    </cfRule>
    <cfRule type="expression" dxfId="331" priority="500">
      <formula>IF(VLOOKUP($F179,PROFA,2,0)=3,1,0)</formula>
    </cfRule>
    <cfRule type="expression" dxfId="330" priority="501">
      <formula>IF(VLOOKUP($F179,PROFA,2,0)=4,1,0)</formula>
    </cfRule>
    <cfRule type="expression" dxfId="329" priority="502">
      <formula>IF(VLOOKUP($F179,PROFA,2,0)=5,1,0)</formula>
    </cfRule>
    <cfRule type="expression" dxfId="328" priority="503">
      <formula>IF(VLOOKUP($F179,PROFA,2,0)=6,1,0)</formula>
    </cfRule>
    <cfRule type="expression" dxfId="327" priority="504">
      <formula>IF(VLOOKUP($F179,PROFA,2,0)=7,1,0)</formula>
    </cfRule>
    <cfRule type="expression" dxfId="326" priority="505">
      <formula>IF(VLOOKUP($F179,PROFA,2,0)=8,1,0)</formula>
    </cfRule>
  </conditionalFormatting>
  <conditionalFormatting sqref="F20">
    <cfRule type="expression" dxfId="325" priority="489">
      <formula>IF(VLOOKUP($F20,PROFA,2,0)=1,1,0)</formula>
    </cfRule>
    <cfRule type="expression" dxfId="324" priority="490">
      <formula>IF(VLOOKUP($F20,PROFA,2,0)=2,1,0)</formula>
    </cfRule>
    <cfRule type="expression" dxfId="323" priority="491">
      <formula>IF(VLOOKUP($F20,PROFA,2,0)=3,1,0)</formula>
    </cfRule>
    <cfRule type="expression" dxfId="322" priority="492">
      <formula>IF(VLOOKUP($F20,PROFA,2,0)=4,1,0)</formula>
    </cfRule>
    <cfRule type="expression" dxfId="321" priority="493">
      <formula>IF(VLOOKUP($F20,PROFA,2,0)=5,1,0)</formula>
    </cfRule>
    <cfRule type="expression" dxfId="320" priority="494">
      <formula>IF(VLOOKUP($F20,PROFA,2,0)=6,1,0)</formula>
    </cfRule>
    <cfRule type="expression" dxfId="319" priority="495">
      <formula>IF(VLOOKUP($F20,PROFA,2,0)=7,1,0)</formula>
    </cfRule>
    <cfRule type="expression" dxfId="318" priority="496">
      <formula>IF(VLOOKUP($F20,PROFA,2,0)=8,1,0)</formula>
    </cfRule>
    <cfRule type="expression" dxfId="317" priority="497">
      <formula>IF(VLOOKUP($F20,PROFA,2,0)=9,1,0)</formula>
    </cfRule>
  </conditionalFormatting>
  <conditionalFormatting sqref="F22">
    <cfRule type="expression" dxfId="316" priority="480">
      <formula>IF(VLOOKUP($F22,PROFA,2,0)=1,1,0)</formula>
    </cfRule>
    <cfRule type="expression" dxfId="315" priority="481">
      <formula>IF(VLOOKUP($F22,PROFA,2,0)=2,1,0)</formula>
    </cfRule>
    <cfRule type="expression" dxfId="314" priority="482">
      <formula>IF(VLOOKUP($F22,PROFA,2,0)=3,1,0)</formula>
    </cfRule>
    <cfRule type="expression" dxfId="313" priority="483">
      <formula>IF(VLOOKUP($F22,PROFA,2,0)=4,1,0)</formula>
    </cfRule>
    <cfRule type="expression" dxfId="312" priority="484">
      <formula>IF(VLOOKUP($F22,PROFA,2,0)=5,1,0)</formula>
    </cfRule>
    <cfRule type="expression" dxfId="311" priority="485">
      <formula>IF(VLOOKUP($F22,PROFA,2,0)=6,1,0)</formula>
    </cfRule>
    <cfRule type="expression" dxfId="310" priority="486">
      <formula>IF(VLOOKUP($F22,PROFA,2,0)=7,1,0)</formula>
    </cfRule>
    <cfRule type="expression" dxfId="309" priority="487">
      <formula>IF(VLOOKUP($F22,PROFA,2,0)=8,1,0)</formula>
    </cfRule>
    <cfRule type="expression" dxfId="308" priority="488">
      <formula>IF(VLOOKUP($F22,PROFA,2,0)=9,1,0)</formula>
    </cfRule>
  </conditionalFormatting>
  <conditionalFormatting sqref="F24">
    <cfRule type="expression" dxfId="307" priority="471">
      <formula>IF(VLOOKUP($F24,PROFA,2,0)=1,1,0)</formula>
    </cfRule>
    <cfRule type="expression" dxfId="306" priority="472">
      <formula>IF(VLOOKUP($F24,PROFA,2,0)=2,1,0)</formula>
    </cfRule>
    <cfRule type="expression" dxfId="305" priority="473">
      <formula>IF(VLOOKUP($F24,PROFA,2,0)=3,1,0)</formula>
    </cfRule>
    <cfRule type="expression" dxfId="304" priority="474">
      <formula>IF(VLOOKUP($F24,PROFA,2,0)=4,1,0)</formula>
    </cfRule>
    <cfRule type="expression" dxfId="303" priority="475">
      <formula>IF(VLOOKUP($F24,PROFA,2,0)=5,1,0)</formula>
    </cfRule>
    <cfRule type="expression" dxfId="302" priority="476">
      <formula>IF(VLOOKUP($F24,PROFA,2,0)=6,1,0)</formula>
    </cfRule>
    <cfRule type="expression" dxfId="301" priority="477">
      <formula>IF(VLOOKUP($F24,PROFA,2,0)=7,1,0)</formula>
    </cfRule>
    <cfRule type="expression" dxfId="300" priority="478">
      <formula>IF(VLOOKUP($F24,PROFA,2,0)=8,1,0)</formula>
    </cfRule>
    <cfRule type="expression" dxfId="299" priority="479">
      <formula>IF(VLOOKUP($F24,PROFA,2,0)=9,1,0)</formula>
    </cfRule>
  </conditionalFormatting>
  <conditionalFormatting sqref="F27">
    <cfRule type="expression" dxfId="298" priority="462">
      <formula>IF(VLOOKUP($F27,PROFA,2,0)=1,1,0)</formula>
    </cfRule>
    <cfRule type="expression" dxfId="297" priority="463">
      <formula>IF(VLOOKUP($F27,PROFA,2,0)=2,1,0)</formula>
    </cfRule>
    <cfRule type="expression" dxfId="296" priority="464">
      <formula>IF(VLOOKUP($F27,PROFA,2,0)=3,1,0)</formula>
    </cfRule>
    <cfRule type="expression" dxfId="295" priority="465">
      <formula>IF(VLOOKUP($F27,PROFA,2,0)=4,1,0)</formula>
    </cfRule>
    <cfRule type="expression" dxfId="294" priority="466">
      <formula>IF(VLOOKUP($F27,PROFA,2,0)=5,1,0)</formula>
    </cfRule>
    <cfRule type="expression" dxfId="293" priority="467">
      <formula>IF(VLOOKUP($F27,PROFA,2,0)=6,1,0)</formula>
    </cfRule>
    <cfRule type="expression" dxfId="292" priority="468">
      <formula>IF(VLOOKUP($F27,PROFA,2,0)=7,1,0)</formula>
    </cfRule>
    <cfRule type="expression" dxfId="291" priority="469">
      <formula>IF(VLOOKUP($F27,PROFA,2,0)=8,1,0)</formula>
    </cfRule>
    <cfRule type="expression" dxfId="290" priority="470">
      <formula>IF(VLOOKUP($F27,PROFA,2,0)=9,1,0)</formula>
    </cfRule>
  </conditionalFormatting>
  <conditionalFormatting sqref="F34">
    <cfRule type="expression" dxfId="289" priority="453">
      <formula>IF(VLOOKUP($F34,PROFA,2,0)=1,1,0)</formula>
    </cfRule>
    <cfRule type="expression" dxfId="288" priority="454">
      <formula>IF(VLOOKUP($F34,PROFA,2,0)=2,1,0)</formula>
    </cfRule>
    <cfRule type="expression" dxfId="287" priority="455">
      <formula>IF(VLOOKUP($F34,PROFA,2,0)=3,1,0)</formula>
    </cfRule>
    <cfRule type="expression" dxfId="286" priority="456">
      <formula>IF(VLOOKUP($F34,PROFA,2,0)=4,1,0)</formula>
    </cfRule>
    <cfRule type="expression" dxfId="285" priority="457">
      <formula>IF(VLOOKUP($F34,PROFA,2,0)=5,1,0)</formula>
    </cfRule>
    <cfRule type="expression" dxfId="284" priority="458">
      <formula>IF(VLOOKUP($F34,PROFA,2,0)=6,1,0)</formula>
    </cfRule>
    <cfRule type="expression" dxfId="283" priority="459">
      <formula>IF(VLOOKUP($F34,PROFA,2,0)=7,1,0)</formula>
    </cfRule>
    <cfRule type="expression" dxfId="282" priority="460">
      <formula>IF(VLOOKUP($F34,PROFA,2,0)=8,1,0)</formula>
    </cfRule>
    <cfRule type="expression" dxfId="281" priority="461">
      <formula>IF(VLOOKUP($F34,PROFA,2,0)=9,1,0)</formula>
    </cfRule>
  </conditionalFormatting>
  <conditionalFormatting sqref="F42">
    <cfRule type="expression" dxfId="280" priority="444">
      <formula>IF(VLOOKUP($F42,PROFA,2,0)=1,1,0)</formula>
    </cfRule>
    <cfRule type="expression" dxfId="279" priority="445">
      <formula>IF(VLOOKUP($F42,PROFA,2,0)=2,1,0)</formula>
    </cfRule>
    <cfRule type="expression" dxfId="278" priority="446">
      <formula>IF(VLOOKUP($F42,PROFA,2,0)=3,1,0)</formula>
    </cfRule>
    <cfRule type="expression" dxfId="277" priority="447">
      <formula>IF(VLOOKUP($F42,PROFA,2,0)=4,1,0)</formula>
    </cfRule>
    <cfRule type="expression" dxfId="276" priority="448">
      <formula>IF(VLOOKUP($F42,PROFA,2,0)=5,1,0)</formula>
    </cfRule>
    <cfRule type="expression" dxfId="275" priority="449">
      <formula>IF(VLOOKUP($F42,PROFA,2,0)=6,1,0)</formula>
    </cfRule>
    <cfRule type="expression" dxfId="274" priority="450">
      <formula>IF(VLOOKUP($F42,PROFA,2,0)=7,1,0)</formula>
    </cfRule>
    <cfRule type="expression" dxfId="273" priority="451">
      <formula>IF(VLOOKUP($F42,PROFA,2,0)=8,1,0)</formula>
    </cfRule>
    <cfRule type="expression" dxfId="272" priority="452">
      <formula>IF(VLOOKUP($F42,PROFA,2,0)=9,1,0)</formula>
    </cfRule>
  </conditionalFormatting>
  <conditionalFormatting sqref="F48">
    <cfRule type="expression" dxfId="271" priority="435">
      <formula>IF(VLOOKUP($F48,PROFA,2,0)=1,1,0)</formula>
    </cfRule>
    <cfRule type="expression" dxfId="270" priority="436">
      <formula>IF(VLOOKUP($F48,PROFA,2,0)=2,1,0)</formula>
    </cfRule>
    <cfRule type="expression" dxfId="269" priority="437">
      <formula>IF(VLOOKUP($F48,PROFA,2,0)=3,1,0)</formula>
    </cfRule>
    <cfRule type="expression" dxfId="268" priority="438">
      <formula>IF(VLOOKUP($F48,PROFA,2,0)=4,1,0)</formula>
    </cfRule>
    <cfRule type="expression" dxfId="267" priority="439">
      <formula>IF(VLOOKUP($F48,PROFA,2,0)=5,1,0)</formula>
    </cfRule>
    <cfRule type="expression" dxfId="266" priority="440">
      <formula>IF(VLOOKUP($F48,PROFA,2,0)=6,1,0)</formula>
    </cfRule>
    <cfRule type="expression" dxfId="265" priority="441">
      <formula>IF(VLOOKUP($F48,PROFA,2,0)=7,1,0)</formula>
    </cfRule>
    <cfRule type="expression" dxfId="264" priority="442">
      <formula>IF(VLOOKUP($F48,PROFA,2,0)=8,1,0)</formula>
    </cfRule>
    <cfRule type="expression" dxfId="263" priority="443">
      <formula>IF(VLOOKUP($F48,PROFA,2,0)=9,1,0)</formula>
    </cfRule>
  </conditionalFormatting>
  <conditionalFormatting sqref="F64">
    <cfRule type="expression" dxfId="262" priority="426">
      <formula>IF(VLOOKUP($F64,PROFA,2,0)=1,1,0)</formula>
    </cfRule>
    <cfRule type="expression" dxfId="261" priority="427">
      <formula>IF(VLOOKUP($F64,PROFA,2,0)=2,1,0)</formula>
    </cfRule>
    <cfRule type="expression" dxfId="260" priority="428">
      <formula>IF(VLOOKUP($F64,PROFA,2,0)=3,1,0)</formula>
    </cfRule>
    <cfRule type="expression" dxfId="259" priority="429">
      <formula>IF(VLOOKUP($F64,PROFA,2,0)=4,1,0)</formula>
    </cfRule>
    <cfRule type="expression" dxfId="258" priority="430">
      <formula>IF(VLOOKUP($F64,PROFA,2,0)=5,1,0)</formula>
    </cfRule>
    <cfRule type="expression" dxfId="257" priority="431">
      <formula>IF(VLOOKUP($F64,PROFA,2,0)=6,1,0)</formula>
    </cfRule>
    <cfRule type="expression" dxfId="256" priority="432">
      <formula>IF(VLOOKUP($F64,PROFA,2,0)=7,1,0)</formula>
    </cfRule>
    <cfRule type="expression" dxfId="255" priority="433">
      <formula>IF(VLOOKUP($F64,PROFA,2,0)=8,1,0)</formula>
    </cfRule>
    <cfRule type="expression" dxfId="254" priority="434">
      <formula>IF(VLOOKUP($F64,PROFA,2,0)=9,1,0)</formula>
    </cfRule>
  </conditionalFormatting>
  <conditionalFormatting sqref="F71:F72">
    <cfRule type="expression" dxfId="253" priority="417">
      <formula>IF(VLOOKUP($F71,PROFA,2,0)=1,1,0)</formula>
    </cfRule>
    <cfRule type="expression" dxfId="252" priority="418">
      <formula>IF(VLOOKUP($F71,PROFA,2,0)=2,1,0)</formula>
    </cfRule>
    <cfRule type="expression" dxfId="251" priority="419">
      <formula>IF(VLOOKUP($F71,PROFA,2,0)=3,1,0)</formula>
    </cfRule>
    <cfRule type="expression" dxfId="250" priority="420">
      <formula>IF(VLOOKUP($F71,PROFA,2,0)=4,1,0)</formula>
    </cfRule>
    <cfRule type="expression" dxfId="249" priority="421">
      <formula>IF(VLOOKUP($F71,PROFA,2,0)=5,1,0)</formula>
    </cfRule>
    <cfRule type="expression" dxfId="248" priority="422">
      <formula>IF(VLOOKUP($F71,PROFA,2,0)=6,1,0)</formula>
    </cfRule>
    <cfRule type="expression" dxfId="247" priority="423">
      <formula>IF(VLOOKUP($F71,PROFA,2,0)=7,1,0)</formula>
    </cfRule>
    <cfRule type="expression" dxfId="246" priority="424">
      <formula>IF(VLOOKUP($F71,PROFA,2,0)=8,1,0)</formula>
    </cfRule>
    <cfRule type="expression" dxfId="245" priority="425">
      <formula>IF(VLOOKUP($F71,PROFA,2,0)=9,1,0)</formula>
    </cfRule>
  </conditionalFormatting>
  <conditionalFormatting sqref="F78">
    <cfRule type="expression" dxfId="244" priority="408">
      <formula>IF(VLOOKUP($F78,PROFA,2,0)=1,1,0)</formula>
    </cfRule>
    <cfRule type="expression" dxfId="243" priority="409">
      <formula>IF(VLOOKUP($F78,PROFA,2,0)=2,1,0)</formula>
    </cfRule>
    <cfRule type="expression" dxfId="242" priority="410">
      <formula>IF(VLOOKUP($F78,PROFA,2,0)=3,1,0)</formula>
    </cfRule>
    <cfRule type="expression" dxfId="241" priority="411">
      <formula>IF(VLOOKUP($F78,PROFA,2,0)=4,1,0)</formula>
    </cfRule>
    <cfRule type="expression" dxfId="240" priority="412">
      <formula>IF(VLOOKUP($F78,PROFA,2,0)=5,1,0)</formula>
    </cfRule>
    <cfRule type="expression" dxfId="239" priority="413">
      <formula>IF(VLOOKUP($F78,PROFA,2,0)=6,1,0)</formula>
    </cfRule>
    <cfRule type="expression" dxfId="238" priority="414">
      <formula>IF(VLOOKUP($F78,PROFA,2,0)=7,1,0)</formula>
    </cfRule>
    <cfRule type="expression" dxfId="237" priority="415">
      <formula>IF(VLOOKUP($F78,PROFA,2,0)=8,1,0)</formula>
    </cfRule>
    <cfRule type="expression" dxfId="236" priority="416">
      <formula>IF(VLOOKUP($F78,PROFA,2,0)=9,1,0)</formula>
    </cfRule>
  </conditionalFormatting>
  <conditionalFormatting sqref="F84">
    <cfRule type="expression" dxfId="235" priority="399">
      <formula>IF(VLOOKUP($F84,PROFA,2,0)=1,1,0)</formula>
    </cfRule>
    <cfRule type="expression" dxfId="234" priority="400">
      <formula>IF(VLOOKUP($F84,PROFA,2,0)=2,1,0)</formula>
    </cfRule>
    <cfRule type="expression" dxfId="233" priority="401">
      <formula>IF(VLOOKUP($F84,PROFA,2,0)=3,1,0)</formula>
    </cfRule>
    <cfRule type="expression" dxfId="232" priority="402">
      <formula>IF(VLOOKUP($F84,PROFA,2,0)=4,1,0)</formula>
    </cfRule>
    <cfRule type="expression" dxfId="231" priority="403">
      <formula>IF(VLOOKUP($F84,PROFA,2,0)=5,1,0)</formula>
    </cfRule>
    <cfRule type="expression" dxfId="230" priority="404">
      <formula>IF(VLOOKUP($F84,PROFA,2,0)=6,1,0)</formula>
    </cfRule>
    <cfRule type="expression" dxfId="229" priority="405">
      <formula>IF(VLOOKUP($F84,PROFA,2,0)=7,1,0)</formula>
    </cfRule>
    <cfRule type="expression" dxfId="228" priority="406">
      <formula>IF(VLOOKUP($F84,PROFA,2,0)=8,1,0)</formula>
    </cfRule>
    <cfRule type="expression" dxfId="227" priority="407">
      <formula>IF(VLOOKUP($F84,PROFA,2,0)=9,1,0)</formula>
    </cfRule>
  </conditionalFormatting>
  <conditionalFormatting sqref="F94">
    <cfRule type="expression" dxfId="226" priority="390">
      <formula>IF(VLOOKUP($F94,PROFA,2,0)=1,1,0)</formula>
    </cfRule>
    <cfRule type="expression" dxfId="225" priority="391">
      <formula>IF(VLOOKUP($F94,PROFA,2,0)=2,1,0)</formula>
    </cfRule>
    <cfRule type="expression" dxfId="224" priority="392">
      <formula>IF(VLOOKUP($F94,PROFA,2,0)=3,1,0)</formula>
    </cfRule>
    <cfRule type="expression" dxfId="223" priority="393">
      <formula>IF(VLOOKUP($F94,PROFA,2,0)=4,1,0)</formula>
    </cfRule>
    <cfRule type="expression" dxfId="222" priority="394">
      <formula>IF(VLOOKUP($F94,PROFA,2,0)=5,1,0)</formula>
    </cfRule>
    <cfRule type="expression" dxfId="221" priority="395">
      <formula>IF(VLOOKUP($F94,PROFA,2,0)=6,1,0)</formula>
    </cfRule>
    <cfRule type="expression" dxfId="220" priority="396">
      <formula>IF(VLOOKUP($F94,PROFA,2,0)=7,1,0)</formula>
    </cfRule>
    <cfRule type="expression" dxfId="219" priority="397">
      <formula>IF(VLOOKUP($F94,PROFA,2,0)=8,1,0)</formula>
    </cfRule>
    <cfRule type="expression" dxfId="218" priority="398">
      <formula>IF(VLOOKUP($F94,PROFA,2,0)=9,1,0)</formula>
    </cfRule>
  </conditionalFormatting>
  <conditionalFormatting sqref="F102">
    <cfRule type="expression" dxfId="217" priority="381">
      <formula>IF(VLOOKUP($F102,PROFA,2,0)=1,1,0)</formula>
    </cfRule>
    <cfRule type="expression" dxfId="216" priority="382">
      <formula>IF(VLOOKUP($F102,PROFA,2,0)=2,1,0)</formula>
    </cfRule>
    <cfRule type="expression" dxfId="215" priority="383">
      <formula>IF(VLOOKUP($F102,PROFA,2,0)=3,1,0)</formula>
    </cfRule>
    <cfRule type="expression" dxfId="214" priority="384">
      <formula>IF(VLOOKUP($F102,PROFA,2,0)=4,1,0)</formula>
    </cfRule>
    <cfRule type="expression" dxfId="213" priority="385">
      <formula>IF(VLOOKUP($F102,PROFA,2,0)=5,1,0)</formula>
    </cfRule>
    <cfRule type="expression" dxfId="212" priority="386">
      <formula>IF(VLOOKUP($F102,PROFA,2,0)=6,1,0)</formula>
    </cfRule>
    <cfRule type="expression" dxfId="211" priority="387">
      <formula>IF(VLOOKUP($F102,PROFA,2,0)=7,1,0)</formula>
    </cfRule>
    <cfRule type="expression" dxfId="210" priority="388">
      <formula>IF(VLOOKUP($F102,PROFA,2,0)=8,1,0)</formula>
    </cfRule>
    <cfRule type="expression" dxfId="209" priority="389">
      <formula>IF(VLOOKUP($F102,PROFA,2,0)=9,1,0)</formula>
    </cfRule>
  </conditionalFormatting>
  <conditionalFormatting sqref="F103">
    <cfRule type="expression" dxfId="208" priority="372">
      <formula>IF(VLOOKUP($F103,PROFA,2,0)=1,1,0)</formula>
    </cfRule>
    <cfRule type="expression" dxfId="207" priority="373">
      <formula>IF(VLOOKUP($F103,PROFA,2,0)=2,1,0)</formula>
    </cfRule>
    <cfRule type="expression" dxfId="206" priority="374">
      <formula>IF(VLOOKUP($F103,PROFA,2,0)=3,1,0)</formula>
    </cfRule>
    <cfRule type="expression" dxfId="205" priority="375">
      <formula>IF(VLOOKUP($F103,PROFA,2,0)=4,1,0)</formula>
    </cfRule>
    <cfRule type="expression" dxfId="204" priority="376">
      <formula>IF(VLOOKUP($F103,PROFA,2,0)=5,1,0)</formula>
    </cfRule>
    <cfRule type="expression" dxfId="203" priority="377">
      <formula>IF(VLOOKUP($F103,PROFA,2,0)=6,1,0)</formula>
    </cfRule>
    <cfRule type="expression" dxfId="202" priority="378">
      <formula>IF(VLOOKUP($F103,PROFA,2,0)=7,1,0)</formula>
    </cfRule>
    <cfRule type="expression" dxfId="201" priority="379">
      <formula>IF(VLOOKUP($F103,PROFA,2,0)=8,1,0)</formula>
    </cfRule>
    <cfRule type="expression" dxfId="200" priority="380">
      <formula>IF(VLOOKUP($F103,PROFA,2,0)=9,1,0)</formula>
    </cfRule>
  </conditionalFormatting>
  <conditionalFormatting sqref="F118">
    <cfRule type="expression" dxfId="199" priority="363">
      <formula>IF(VLOOKUP($F118,PROFA,2,0)=1,1,0)</formula>
    </cfRule>
    <cfRule type="expression" dxfId="198" priority="364">
      <formula>IF(VLOOKUP($F118,PROFA,2,0)=2,1,0)</formula>
    </cfRule>
    <cfRule type="expression" dxfId="197" priority="365">
      <formula>IF(VLOOKUP($F118,PROFA,2,0)=3,1,0)</formula>
    </cfRule>
    <cfRule type="expression" dxfId="196" priority="366">
      <formula>IF(VLOOKUP($F118,PROFA,2,0)=4,1,0)</formula>
    </cfRule>
    <cfRule type="expression" dxfId="195" priority="367">
      <formula>IF(VLOOKUP($F118,PROFA,2,0)=5,1,0)</formula>
    </cfRule>
    <cfRule type="expression" dxfId="194" priority="368">
      <formula>IF(VLOOKUP($F118,PROFA,2,0)=6,1,0)</formula>
    </cfRule>
    <cfRule type="expression" dxfId="193" priority="369">
      <formula>IF(VLOOKUP($F118,PROFA,2,0)=7,1,0)</formula>
    </cfRule>
    <cfRule type="expression" dxfId="192" priority="370">
      <formula>IF(VLOOKUP($F118,PROFA,2,0)=8,1,0)</formula>
    </cfRule>
    <cfRule type="expression" dxfId="191" priority="371">
      <formula>IF(VLOOKUP($F118,PROFA,2,0)=9,1,0)</formula>
    </cfRule>
  </conditionalFormatting>
  <conditionalFormatting sqref="F119">
    <cfRule type="expression" dxfId="190" priority="354">
      <formula>IF(VLOOKUP($F119,PROFA,2,0)=1,1,0)</formula>
    </cfRule>
    <cfRule type="expression" dxfId="189" priority="355">
      <formula>IF(VLOOKUP($F119,PROFA,2,0)=2,1,0)</formula>
    </cfRule>
    <cfRule type="expression" dxfId="188" priority="356">
      <formula>IF(VLOOKUP($F119,PROFA,2,0)=3,1,0)</formula>
    </cfRule>
    <cfRule type="expression" dxfId="187" priority="357">
      <formula>IF(VLOOKUP($F119,PROFA,2,0)=4,1,0)</formula>
    </cfRule>
    <cfRule type="expression" dxfId="186" priority="358">
      <formula>IF(VLOOKUP($F119,PROFA,2,0)=5,1,0)</formula>
    </cfRule>
    <cfRule type="expression" dxfId="185" priority="359">
      <formula>IF(VLOOKUP($F119,PROFA,2,0)=6,1,0)</formula>
    </cfRule>
    <cfRule type="expression" dxfId="184" priority="360">
      <formula>IF(VLOOKUP($F119,PROFA,2,0)=7,1,0)</formula>
    </cfRule>
    <cfRule type="expression" dxfId="183" priority="361">
      <formula>IF(VLOOKUP($F119,PROFA,2,0)=8,1,0)</formula>
    </cfRule>
    <cfRule type="expression" dxfId="182" priority="362">
      <formula>IF(VLOOKUP($F119,PROFA,2,0)=9,1,0)</formula>
    </cfRule>
  </conditionalFormatting>
  <conditionalFormatting sqref="F120:F124">
    <cfRule type="expression" dxfId="181" priority="345">
      <formula>IF(VLOOKUP($F120,PROFA,2,0)=1,1,0)</formula>
    </cfRule>
    <cfRule type="expression" dxfId="180" priority="346">
      <formula>IF(VLOOKUP($F120,PROFA,2,0)=2,1,0)</formula>
    </cfRule>
    <cfRule type="expression" dxfId="179" priority="347">
      <formula>IF(VLOOKUP($F120,PROFA,2,0)=3,1,0)</formula>
    </cfRule>
    <cfRule type="expression" dxfId="178" priority="348">
      <formula>IF(VLOOKUP($F120,PROFA,2,0)=4,1,0)</formula>
    </cfRule>
    <cfRule type="expression" dxfId="177" priority="349">
      <formula>IF(VLOOKUP($F120,PROFA,2,0)=5,1,0)</formula>
    </cfRule>
    <cfRule type="expression" dxfId="176" priority="350">
      <formula>IF(VLOOKUP($F120,PROFA,2,0)=6,1,0)</formula>
    </cfRule>
    <cfRule type="expression" dxfId="175" priority="351">
      <formula>IF(VLOOKUP($F120,PROFA,2,0)=7,1,0)</formula>
    </cfRule>
    <cfRule type="expression" dxfId="174" priority="352">
      <formula>IF(VLOOKUP($F120,PROFA,2,0)=8,1,0)</formula>
    </cfRule>
    <cfRule type="expression" dxfId="173" priority="353">
      <formula>IF(VLOOKUP($F120,PROFA,2,0)=9,1,0)</formula>
    </cfRule>
  </conditionalFormatting>
  <conditionalFormatting sqref="F144">
    <cfRule type="expression" dxfId="172" priority="318">
      <formula>IF(VLOOKUP($F144,PROFA,2,0)=1,1,0)</formula>
    </cfRule>
    <cfRule type="expression" dxfId="171" priority="319">
      <formula>IF(VLOOKUP($F144,PROFA,2,0)=2,1,0)</formula>
    </cfRule>
    <cfRule type="expression" dxfId="170" priority="320">
      <formula>IF(VLOOKUP($F144,PROFA,2,0)=3,1,0)</formula>
    </cfRule>
    <cfRule type="expression" dxfId="169" priority="321">
      <formula>IF(VLOOKUP($F144,PROFA,2,0)=4,1,0)</formula>
    </cfRule>
    <cfRule type="expression" dxfId="168" priority="322">
      <formula>IF(VLOOKUP($F144,PROFA,2,0)=5,1,0)</formula>
    </cfRule>
    <cfRule type="expression" dxfId="167" priority="323">
      <formula>IF(VLOOKUP($F144,PROFA,2,0)=6,1,0)</formula>
    </cfRule>
    <cfRule type="expression" dxfId="166" priority="324">
      <formula>IF(VLOOKUP($F144,PROFA,2,0)=7,1,0)</formula>
    </cfRule>
    <cfRule type="expression" dxfId="165" priority="325">
      <formula>IF(VLOOKUP($F144,PROFA,2,0)=8,1,0)</formula>
    </cfRule>
    <cfRule type="expression" dxfId="164" priority="326">
      <formula>IF(VLOOKUP($F144,PROFA,2,0)=9,1,0)</formula>
    </cfRule>
  </conditionalFormatting>
  <conditionalFormatting sqref="F145">
    <cfRule type="expression" dxfId="163" priority="309">
      <formula>IF(VLOOKUP($F145,PROFA,2,0)=1,1,0)</formula>
    </cfRule>
    <cfRule type="expression" dxfId="162" priority="310">
      <formula>IF(VLOOKUP($F145,PROFA,2,0)=2,1,0)</formula>
    </cfRule>
    <cfRule type="expression" dxfId="161" priority="311">
      <formula>IF(VLOOKUP($F145,PROFA,2,0)=3,1,0)</formula>
    </cfRule>
    <cfRule type="expression" dxfId="160" priority="312">
      <formula>IF(VLOOKUP($F145,PROFA,2,0)=4,1,0)</formula>
    </cfRule>
    <cfRule type="expression" dxfId="159" priority="313">
      <formula>IF(VLOOKUP($F145,PROFA,2,0)=5,1,0)</formula>
    </cfRule>
    <cfRule type="expression" dxfId="158" priority="314">
      <formula>IF(VLOOKUP($F145,PROFA,2,0)=6,1,0)</formula>
    </cfRule>
    <cfRule type="expression" dxfId="157" priority="315">
      <formula>IF(VLOOKUP($F145,PROFA,2,0)=7,1,0)</formula>
    </cfRule>
    <cfRule type="expression" dxfId="156" priority="316">
      <formula>IF(VLOOKUP($F145,PROFA,2,0)=8,1,0)</formula>
    </cfRule>
    <cfRule type="expression" dxfId="155" priority="317">
      <formula>IF(VLOOKUP($F145,PROFA,2,0)=9,1,0)</formula>
    </cfRule>
  </conditionalFormatting>
  <conditionalFormatting sqref="F152">
    <cfRule type="expression" dxfId="154" priority="300">
      <formula>IF(VLOOKUP($F152,PROFA,2,0)=1,1,0)</formula>
    </cfRule>
    <cfRule type="expression" dxfId="153" priority="301">
      <formula>IF(VLOOKUP($F152,PROFA,2,0)=2,1,0)</formula>
    </cfRule>
    <cfRule type="expression" dxfId="152" priority="302">
      <formula>IF(VLOOKUP($F152,PROFA,2,0)=3,1,0)</formula>
    </cfRule>
    <cfRule type="expression" dxfId="151" priority="303">
      <formula>IF(VLOOKUP($F152,PROFA,2,0)=4,1,0)</formula>
    </cfRule>
    <cfRule type="expression" dxfId="150" priority="304">
      <formula>IF(VLOOKUP($F152,PROFA,2,0)=5,1,0)</formula>
    </cfRule>
    <cfRule type="expression" dxfId="149" priority="305">
      <formula>IF(VLOOKUP($F152,PROFA,2,0)=6,1,0)</formula>
    </cfRule>
    <cfRule type="expression" dxfId="148" priority="306">
      <formula>IF(VLOOKUP($F152,PROFA,2,0)=7,1,0)</formula>
    </cfRule>
    <cfRule type="expression" dxfId="147" priority="307">
      <formula>IF(VLOOKUP($F152,PROFA,2,0)=8,1,0)</formula>
    </cfRule>
    <cfRule type="expression" dxfId="146" priority="308">
      <formula>IF(VLOOKUP($F152,PROFA,2,0)=9,1,0)</formula>
    </cfRule>
  </conditionalFormatting>
  <conditionalFormatting sqref="F171">
    <cfRule type="expression" dxfId="145" priority="291">
      <formula>IF(VLOOKUP($F171,PROFA,2,0)=1,1,0)</formula>
    </cfRule>
    <cfRule type="expression" dxfId="144" priority="292">
      <formula>IF(VLOOKUP($F171,PROFA,2,0)=2,1,0)</formula>
    </cfRule>
    <cfRule type="expression" dxfId="143" priority="293">
      <formula>IF(VLOOKUP($F171,PROFA,2,0)=3,1,0)</formula>
    </cfRule>
    <cfRule type="expression" dxfId="142" priority="294">
      <formula>IF(VLOOKUP($F171,PROFA,2,0)=4,1,0)</formula>
    </cfRule>
    <cfRule type="expression" dxfId="141" priority="295">
      <formula>IF(VLOOKUP($F171,PROFA,2,0)=5,1,0)</formula>
    </cfRule>
    <cfRule type="expression" dxfId="140" priority="296">
      <formula>IF(VLOOKUP($F171,PROFA,2,0)=6,1,0)</formula>
    </cfRule>
    <cfRule type="expression" dxfId="139" priority="297">
      <formula>IF(VLOOKUP($F171,PROFA,2,0)=7,1,0)</formula>
    </cfRule>
    <cfRule type="expression" dxfId="138" priority="298">
      <formula>IF(VLOOKUP($F171,PROFA,2,0)=8,1,0)</formula>
    </cfRule>
    <cfRule type="expression" dxfId="137" priority="299">
      <formula>IF(VLOOKUP($F171,PROFA,2,0)=9,1,0)</formula>
    </cfRule>
  </conditionalFormatting>
  <conditionalFormatting sqref="F172">
    <cfRule type="expression" dxfId="136" priority="282">
      <formula>IF(VLOOKUP($F172,PROFA,2,0)=1,1,0)</formula>
    </cfRule>
    <cfRule type="expression" dxfId="135" priority="283">
      <formula>IF(VLOOKUP($F172,PROFA,2,0)=2,1,0)</formula>
    </cfRule>
    <cfRule type="expression" dxfId="134" priority="284">
      <formula>IF(VLOOKUP($F172,PROFA,2,0)=3,1,0)</formula>
    </cfRule>
    <cfRule type="expression" dxfId="133" priority="285">
      <formula>IF(VLOOKUP($F172,PROFA,2,0)=4,1,0)</formula>
    </cfRule>
    <cfRule type="expression" dxfId="132" priority="286">
      <formula>IF(VLOOKUP($F172,PROFA,2,0)=5,1,0)</formula>
    </cfRule>
    <cfRule type="expression" dxfId="131" priority="287">
      <formula>IF(VLOOKUP($F172,PROFA,2,0)=6,1,0)</formula>
    </cfRule>
    <cfRule type="expression" dxfId="130" priority="288">
      <formula>IF(VLOOKUP($F172,PROFA,2,0)=7,1,0)</formula>
    </cfRule>
    <cfRule type="expression" dxfId="129" priority="289">
      <formula>IF(VLOOKUP($F172,PROFA,2,0)=8,1,0)</formula>
    </cfRule>
    <cfRule type="expression" dxfId="128" priority="290">
      <formula>IF(VLOOKUP($F172,PROFA,2,0)=9,1,0)</formula>
    </cfRule>
  </conditionalFormatting>
  <conditionalFormatting sqref="F181">
    <cfRule type="expression" dxfId="127" priority="264">
      <formula>IF(VLOOKUP($F181,PROFA,2,0)=1,1,0)</formula>
    </cfRule>
    <cfRule type="expression" dxfId="126" priority="265">
      <formula>IF(VLOOKUP($F181,PROFA,2,0)=2,1,0)</formula>
    </cfRule>
    <cfRule type="expression" dxfId="125" priority="266">
      <formula>IF(VLOOKUP($F181,PROFA,2,0)=3,1,0)</formula>
    </cfRule>
    <cfRule type="expression" dxfId="124" priority="267">
      <formula>IF(VLOOKUP($F181,PROFA,2,0)=4,1,0)</formula>
    </cfRule>
    <cfRule type="expression" dxfId="123" priority="268">
      <formula>IF(VLOOKUP($F181,PROFA,2,0)=5,1,0)</formula>
    </cfRule>
    <cfRule type="expression" dxfId="122" priority="269">
      <formula>IF(VLOOKUP($F181,PROFA,2,0)=6,1,0)</formula>
    </cfRule>
    <cfRule type="expression" dxfId="121" priority="270">
      <formula>IF(VLOOKUP($F181,PROFA,2,0)=7,1,0)</formula>
    </cfRule>
    <cfRule type="expression" dxfId="120" priority="271">
      <formula>IF(VLOOKUP($F181,PROFA,2,0)=8,1,0)</formula>
    </cfRule>
    <cfRule type="expression" dxfId="119" priority="272">
      <formula>IF(VLOOKUP($F181,PROFA,2,0)=9,1,0)</formula>
    </cfRule>
  </conditionalFormatting>
  <conditionalFormatting sqref="F182">
    <cfRule type="expression" dxfId="118" priority="255">
      <formula>IF(VLOOKUP($F182,PROFA,2,0)=1,1,0)</formula>
    </cfRule>
    <cfRule type="expression" dxfId="117" priority="256">
      <formula>IF(VLOOKUP($F182,PROFA,2,0)=2,1,0)</formula>
    </cfRule>
    <cfRule type="expression" dxfId="116" priority="257">
      <formula>IF(VLOOKUP($F182,PROFA,2,0)=3,1,0)</formula>
    </cfRule>
    <cfRule type="expression" dxfId="115" priority="258">
      <formula>IF(VLOOKUP($F182,PROFA,2,0)=4,1,0)</formula>
    </cfRule>
    <cfRule type="expression" dxfId="114" priority="259">
      <formula>IF(VLOOKUP($F182,PROFA,2,0)=5,1,0)</formula>
    </cfRule>
    <cfRule type="expression" dxfId="113" priority="260">
      <formula>IF(VLOOKUP($F182,PROFA,2,0)=6,1,0)</formula>
    </cfRule>
    <cfRule type="expression" dxfId="112" priority="261">
      <formula>IF(VLOOKUP($F182,PROFA,2,0)=7,1,0)</formula>
    </cfRule>
    <cfRule type="expression" dxfId="111" priority="262">
      <formula>IF(VLOOKUP($F182,PROFA,2,0)=8,1,0)</formula>
    </cfRule>
    <cfRule type="expression" dxfId="110" priority="263">
      <formula>IF(VLOOKUP($F182,PROFA,2,0)=9,1,0)</formula>
    </cfRule>
  </conditionalFormatting>
  <conditionalFormatting sqref="F207">
    <cfRule type="expression" dxfId="109" priority="102">
      <formula>IF(VLOOKUP($F207,PROFA,2,0)=1,1,0)</formula>
    </cfRule>
    <cfRule type="expression" dxfId="108" priority="103">
      <formula>IF(VLOOKUP($F207,PROFA,2,0)=2,1,0)</formula>
    </cfRule>
    <cfRule type="expression" dxfId="107" priority="104">
      <formula>IF(VLOOKUP($F207,PROFA,2,0)=3,1,0)</formula>
    </cfRule>
    <cfRule type="expression" dxfId="106" priority="105">
      <formula>IF(VLOOKUP($F207,PROFA,2,0)=4,1,0)</formula>
    </cfRule>
    <cfRule type="expression" dxfId="105" priority="106">
      <formula>IF(VLOOKUP($F207,PROFA,2,0)=5,1,0)</formula>
    </cfRule>
    <cfRule type="expression" dxfId="104" priority="107">
      <formula>IF(VLOOKUP($F207,PROFA,2,0)=6,1,0)</formula>
    </cfRule>
    <cfRule type="expression" dxfId="103" priority="108">
      <formula>IF(VLOOKUP($F207,PROFA,2,0)=7,1,0)</formula>
    </cfRule>
    <cfRule type="expression" dxfId="102" priority="109">
      <formula>IF(VLOOKUP($F207,PROFA,2,0)=8,1,0)</formula>
    </cfRule>
    <cfRule type="expression" dxfId="101" priority="110">
      <formula>IF(VLOOKUP($F207,PROFA,2,0)=9,1,0)</formula>
    </cfRule>
  </conditionalFormatting>
  <conditionalFormatting sqref="F160">
    <cfRule type="expression" dxfId="100" priority="94">
      <formula>IF(VLOOKUP($F160,PROFA,2,0)=1,1,0)</formula>
    </cfRule>
    <cfRule type="expression" dxfId="99" priority="95">
      <formula>IF(VLOOKUP($F160,PROFA,2,0)=2,1,0)</formula>
    </cfRule>
    <cfRule type="expression" dxfId="98" priority="96">
      <formula>IF(VLOOKUP($F160,PROFA,2,0)=3,1,0)</formula>
    </cfRule>
    <cfRule type="expression" dxfId="97" priority="97">
      <formula>IF(VLOOKUP($F160,PROFA,2,0)=4,1,0)</formula>
    </cfRule>
    <cfRule type="expression" dxfId="96" priority="98">
      <formula>IF(VLOOKUP($F160,PROFA,2,0)=5,1,0)</formula>
    </cfRule>
    <cfRule type="expression" dxfId="95" priority="99">
      <formula>IF(VLOOKUP($F160,PROFA,2,0)=6,1,0)</formula>
    </cfRule>
    <cfRule type="expression" dxfId="94" priority="100">
      <formula>IF(VLOOKUP($F160,PROFA,2,0)=7,1,0)</formula>
    </cfRule>
    <cfRule type="expression" dxfId="93" priority="101">
      <formula>IF(VLOOKUP($F160,PROFA,2,0)=8,1,0)</formula>
    </cfRule>
  </conditionalFormatting>
  <conditionalFormatting sqref="F199">
    <cfRule type="expression" dxfId="92" priority="86">
      <formula>IF(VLOOKUP($F199,PROFA,2,0)=1,1,0)</formula>
    </cfRule>
    <cfRule type="expression" dxfId="91" priority="87">
      <formula>IF(VLOOKUP($F199,PROFA,2,0)=2,1,0)</formula>
    </cfRule>
    <cfRule type="expression" dxfId="90" priority="88">
      <formula>IF(VLOOKUP($F199,PROFA,2,0)=3,1,0)</formula>
    </cfRule>
    <cfRule type="expression" dxfId="89" priority="89">
      <formula>IF(VLOOKUP($F199,PROFA,2,0)=4,1,0)</formula>
    </cfRule>
    <cfRule type="expression" dxfId="88" priority="90">
      <formula>IF(VLOOKUP($F199,PROFA,2,0)=5,1,0)</formula>
    </cfRule>
    <cfRule type="expression" dxfId="87" priority="91">
      <formula>IF(VLOOKUP($F199,PROFA,2,0)=6,1,0)</formula>
    </cfRule>
    <cfRule type="expression" dxfId="86" priority="92">
      <formula>IF(VLOOKUP($F199,PROFA,2,0)=7,1,0)</formula>
    </cfRule>
    <cfRule type="expression" dxfId="85" priority="93">
      <formula>IF(VLOOKUP($F199,PROFA,2,0)=8,1,0)</formula>
    </cfRule>
  </conditionalFormatting>
  <conditionalFormatting sqref="J220:U221">
    <cfRule type="expression" dxfId="84" priority="78" stopIfTrue="1">
      <formula>IF(AND(J$16&gt;=$H220,J$15&lt;=$I220,VLOOKUP($F220,PROFA,2,0)=1),1,0)</formula>
    </cfRule>
    <cfRule type="expression" dxfId="83" priority="79" stopIfTrue="1">
      <formula>IF(AND(J$16&gt;=$H220,J$15&lt;=$I220,VLOOKUP($F220,PROFA,2,0)=2),1,0)</formula>
    </cfRule>
    <cfRule type="expression" dxfId="82" priority="80" stopIfTrue="1">
      <formula>IF(AND(J$16&gt;=$H220,J$15&lt;=$I220,VLOOKUP($F220,PROFA,2,0)=3),1,0)</formula>
    </cfRule>
    <cfRule type="expression" dxfId="81" priority="81" stopIfTrue="1">
      <formula>IF(AND(J$16&gt;=$H220,J$15&lt;=$I220,VLOOKUP($F220,PROFA,2,0)=4),1,0)</formula>
    </cfRule>
    <cfRule type="expression" dxfId="80" priority="82" stopIfTrue="1">
      <formula>IF(AND(J$16&gt;=$H220,J$15&lt;=$I220,VLOOKUP($F220,PROFA,2,0)=5),1,0)</formula>
    </cfRule>
    <cfRule type="expression" dxfId="79" priority="83" stopIfTrue="1">
      <formula>IF(AND(J$16&gt;=$H220,J$15&lt;=$I220,VLOOKUP($F220,PROFA,2,0)=6),1,0)</formula>
    </cfRule>
    <cfRule type="expression" dxfId="78" priority="84" stopIfTrue="1">
      <formula>IF(AND(J$16&gt;=$H220,J$15&lt;=$I220,VLOOKUP($F220,PROFA,2,0)=7),1,0)</formula>
    </cfRule>
    <cfRule type="expression" dxfId="77" priority="85" stopIfTrue="1">
      <formula>IF(AND(J$16&gt;=$H220,J$15&lt;=$I220,VLOOKUP($F220,PROFA,2,0)=8),1,0)</formula>
    </cfRule>
  </conditionalFormatting>
  <conditionalFormatting sqref="F220:F221">
    <cfRule type="expression" dxfId="76" priority="69">
      <formula>IF(VLOOKUP($F220,PROFA,2,0)=1,1,0)</formula>
    </cfRule>
    <cfRule type="expression" dxfId="75" priority="70">
      <formula>IF(VLOOKUP($F220,PROFA,2,0)=2,1,0)</formula>
    </cfRule>
    <cfRule type="expression" dxfId="74" priority="71">
      <formula>IF(VLOOKUP($F220,PROFA,2,0)=3,1,0)</formula>
    </cfRule>
    <cfRule type="expression" dxfId="73" priority="72">
      <formula>IF(VLOOKUP($F220,PROFA,2,0)=4,1,0)</formula>
    </cfRule>
    <cfRule type="expression" dxfId="72" priority="73">
      <formula>IF(VLOOKUP($F220,PROFA,2,0)=5,1,0)</formula>
    </cfRule>
    <cfRule type="expression" dxfId="71" priority="74">
      <formula>IF(VLOOKUP($F220,PROFA,2,0)=6,1,0)</formula>
    </cfRule>
    <cfRule type="expression" dxfId="70" priority="75">
      <formula>IF(VLOOKUP($F220,PROFA,2,0)=7,1,0)</formula>
    </cfRule>
    <cfRule type="expression" dxfId="69" priority="76">
      <formula>IF(VLOOKUP($F220,PROFA,2,0)=8,1,0)</formula>
    </cfRule>
    <cfRule type="expression" dxfId="68" priority="77">
      <formula>IF(VLOOKUP($F220,PROFA,2,0)=9,1,0)</formula>
    </cfRule>
  </conditionalFormatting>
  <conditionalFormatting sqref="J223:U223">
    <cfRule type="expression" dxfId="67" priority="61" stopIfTrue="1">
      <formula>IF(AND(J$16&gt;=$H223,J$15&lt;=$I223,VLOOKUP($F223,PROFA,2,0)=1),1,0)</formula>
    </cfRule>
    <cfRule type="expression" dxfId="66" priority="62" stopIfTrue="1">
      <formula>IF(AND(J$16&gt;=$H223,J$15&lt;=$I223,VLOOKUP($F223,PROFA,2,0)=2),1,0)</formula>
    </cfRule>
    <cfRule type="expression" dxfId="65" priority="63" stopIfTrue="1">
      <formula>IF(AND(J$16&gt;=$H223,J$15&lt;=$I223,VLOOKUP($F223,PROFA,2,0)=3),1,0)</formula>
    </cfRule>
    <cfRule type="expression" dxfId="64" priority="64" stopIfTrue="1">
      <formula>IF(AND(J$16&gt;=$H223,J$15&lt;=$I223,VLOOKUP($F223,PROFA,2,0)=4),1,0)</formula>
    </cfRule>
    <cfRule type="expression" dxfId="63" priority="65" stopIfTrue="1">
      <formula>IF(AND(J$16&gt;=$H223,J$15&lt;=$I223,VLOOKUP($F223,PROFA,2,0)=5),1,0)</formula>
    </cfRule>
    <cfRule type="expression" dxfId="62" priority="66" stopIfTrue="1">
      <formula>IF(AND(J$16&gt;=$H223,J$15&lt;=$I223,VLOOKUP($F223,PROFA,2,0)=6),1,0)</formula>
    </cfRule>
    <cfRule type="expression" dxfId="61" priority="67" stopIfTrue="1">
      <formula>IF(AND(J$16&gt;=$H223,J$15&lt;=$I223,VLOOKUP($F223,PROFA,2,0)=7),1,0)</formula>
    </cfRule>
    <cfRule type="expression" dxfId="60" priority="68" stopIfTrue="1">
      <formula>IF(AND(J$16&gt;=$H223,J$15&lt;=$I223,VLOOKUP($F223,PROFA,2,0)=8),1,0)</formula>
    </cfRule>
  </conditionalFormatting>
  <conditionalFormatting sqref="F223">
    <cfRule type="expression" dxfId="59" priority="52">
      <formula>IF(VLOOKUP($F223,PROFA,2,0)=1,1,0)</formula>
    </cfRule>
    <cfRule type="expression" dxfId="58" priority="53">
      <formula>IF(VLOOKUP($F223,PROFA,2,0)=2,1,0)</formula>
    </cfRule>
    <cfRule type="expression" dxfId="57" priority="54">
      <formula>IF(VLOOKUP($F223,PROFA,2,0)=3,1,0)</formula>
    </cfRule>
    <cfRule type="expression" dxfId="56" priority="55">
      <formula>IF(VLOOKUP($F223,PROFA,2,0)=4,1,0)</formula>
    </cfRule>
    <cfRule type="expression" dxfId="55" priority="56">
      <formula>IF(VLOOKUP($F223,PROFA,2,0)=5,1,0)</formula>
    </cfRule>
    <cfRule type="expression" dxfId="54" priority="57">
      <formula>IF(VLOOKUP($F223,PROFA,2,0)=6,1,0)</formula>
    </cfRule>
    <cfRule type="expression" dxfId="53" priority="58">
      <formula>IF(VLOOKUP($F223,PROFA,2,0)=7,1,0)</formula>
    </cfRule>
    <cfRule type="expression" dxfId="52" priority="59">
      <formula>IF(VLOOKUP($F223,PROFA,2,0)=8,1,0)</formula>
    </cfRule>
    <cfRule type="expression" dxfId="51" priority="60">
      <formula>IF(VLOOKUP($F223,PROFA,2,0)=9,1,0)</formula>
    </cfRule>
  </conditionalFormatting>
  <conditionalFormatting sqref="J224:U224">
    <cfRule type="expression" dxfId="50" priority="44" stopIfTrue="1">
      <formula>IF(AND(J$16&gt;=$H224,J$15&lt;=$I224,VLOOKUP($F224,PROFA,2,0)=1),1,0)</formula>
    </cfRule>
    <cfRule type="expression" dxfId="49" priority="45" stopIfTrue="1">
      <formula>IF(AND(J$16&gt;=$H224,J$15&lt;=$I224,VLOOKUP($F224,PROFA,2,0)=2),1,0)</formula>
    </cfRule>
    <cfRule type="expression" dxfId="48" priority="46" stopIfTrue="1">
      <formula>IF(AND(J$16&gt;=$H224,J$15&lt;=$I224,VLOOKUP($F224,PROFA,2,0)=3),1,0)</formula>
    </cfRule>
    <cfRule type="expression" dxfId="47" priority="47" stopIfTrue="1">
      <formula>IF(AND(J$16&gt;=$H224,J$15&lt;=$I224,VLOOKUP($F224,PROFA,2,0)=4),1,0)</formula>
    </cfRule>
    <cfRule type="expression" dxfId="46" priority="48" stopIfTrue="1">
      <formula>IF(AND(J$16&gt;=$H224,J$15&lt;=$I224,VLOOKUP($F224,PROFA,2,0)=5),1,0)</formula>
    </cfRule>
    <cfRule type="expression" dxfId="45" priority="49" stopIfTrue="1">
      <formula>IF(AND(J$16&gt;=$H224,J$15&lt;=$I224,VLOOKUP($F224,PROFA,2,0)=6),1,0)</formula>
    </cfRule>
    <cfRule type="expression" dxfId="44" priority="50" stopIfTrue="1">
      <formula>IF(AND(J$16&gt;=$H224,J$15&lt;=$I224,VLOOKUP($F224,PROFA,2,0)=7),1,0)</formula>
    </cfRule>
    <cfRule type="expression" dxfId="43" priority="51" stopIfTrue="1">
      <formula>IF(AND(J$16&gt;=$H224,J$15&lt;=$I224,VLOOKUP($F224,PROFA,2,0)=8),1,0)</formula>
    </cfRule>
  </conditionalFormatting>
  <conditionalFormatting sqref="F224">
    <cfRule type="expression" dxfId="42" priority="35">
      <formula>IF(VLOOKUP($F224,PROFA,2,0)=1,1,0)</formula>
    </cfRule>
    <cfRule type="expression" dxfId="41" priority="36">
      <formula>IF(VLOOKUP($F224,PROFA,2,0)=2,1,0)</formula>
    </cfRule>
    <cfRule type="expression" dxfId="40" priority="37">
      <formula>IF(VLOOKUP($F224,PROFA,2,0)=3,1,0)</formula>
    </cfRule>
    <cfRule type="expression" dxfId="39" priority="38">
      <formula>IF(VLOOKUP($F224,PROFA,2,0)=4,1,0)</formula>
    </cfRule>
    <cfRule type="expression" dxfId="38" priority="39">
      <formula>IF(VLOOKUP($F224,PROFA,2,0)=5,1,0)</formula>
    </cfRule>
    <cfRule type="expression" dxfId="37" priority="40">
      <formula>IF(VLOOKUP($F224,PROFA,2,0)=6,1,0)</formula>
    </cfRule>
    <cfRule type="expression" dxfId="36" priority="41">
      <formula>IF(VLOOKUP($F224,PROFA,2,0)=7,1,0)</formula>
    </cfRule>
    <cfRule type="expression" dxfId="35" priority="42">
      <formula>IF(VLOOKUP($F224,PROFA,2,0)=8,1,0)</formula>
    </cfRule>
    <cfRule type="expression" dxfId="34" priority="43">
      <formula>IF(VLOOKUP($F224,PROFA,2,0)=9,1,0)</formula>
    </cfRule>
  </conditionalFormatting>
  <conditionalFormatting sqref="F226">
    <cfRule type="expression" dxfId="33" priority="26">
      <formula>IF(VLOOKUP($F226,PROFA,2,0)=1,1,0)</formula>
    </cfRule>
    <cfRule type="expression" dxfId="32" priority="27">
      <formula>IF(VLOOKUP($F226,PROFA,2,0)=2,1,0)</formula>
    </cfRule>
    <cfRule type="expression" dxfId="31" priority="28">
      <formula>IF(VLOOKUP($F226,PROFA,2,0)=3,1,0)</formula>
    </cfRule>
    <cfRule type="expression" dxfId="30" priority="29">
      <formula>IF(VLOOKUP($F226,PROFA,2,0)=4,1,0)</formula>
    </cfRule>
    <cfRule type="expression" dxfId="29" priority="30">
      <formula>IF(VLOOKUP($F226,PROFA,2,0)=5,1,0)</formula>
    </cfRule>
    <cfRule type="expression" dxfId="28" priority="31">
      <formula>IF(VLOOKUP($F226,PROFA,2,0)=6,1,0)</formula>
    </cfRule>
    <cfRule type="expression" dxfId="27" priority="32">
      <formula>IF(VLOOKUP($F226,PROFA,2,0)=7,1,0)</formula>
    </cfRule>
    <cfRule type="expression" dxfId="26" priority="33">
      <formula>IF(VLOOKUP($F226,PROFA,2,0)=8,1,0)</formula>
    </cfRule>
    <cfRule type="expression" dxfId="25" priority="34">
      <formula>IF(VLOOKUP($F226,PROFA,2,0)=9,1,0)</formula>
    </cfRule>
  </conditionalFormatting>
  <conditionalFormatting sqref="J225:U225">
    <cfRule type="expression" dxfId="24" priority="18" stopIfTrue="1">
      <formula>IF(AND(J$16&gt;=$H225,J$15&lt;=$I225,VLOOKUP($F225,PROFA,2,0)=1),1,0)</formula>
    </cfRule>
    <cfRule type="expression" dxfId="23" priority="19" stopIfTrue="1">
      <formula>IF(AND(J$16&gt;=$H225,J$15&lt;=$I225,VLOOKUP($F225,PROFA,2,0)=2),1,0)</formula>
    </cfRule>
    <cfRule type="expression" dxfId="22" priority="20" stopIfTrue="1">
      <formula>IF(AND(J$16&gt;=$H225,J$15&lt;=$I225,VLOOKUP($F225,PROFA,2,0)=3),1,0)</formula>
    </cfRule>
    <cfRule type="expression" dxfId="21" priority="21" stopIfTrue="1">
      <formula>IF(AND(J$16&gt;=$H225,J$15&lt;=$I225,VLOOKUP($F225,PROFA,2,0)=4),1,0)</formula>
    </cfRule>
    <cfRule type="expression" dxfId="20" priority="22" stopIfTrue="1">
      <formula>IF(AND(J$16&gt;=$H225,J$15&lt;=$I225,VLOOKUP($F225,PROFA,2,0)=5),1,0)</formula>
    </cfRule>
    <cfRule type="expression" dxfId="19" priority="23" stopIfTrue="1">
      <formula>IF(AND(J$16&gt;=$H225,J$15&lt;=$I225,VLOOKUP($F225,PROFA,2,0)=6),1,0)</formula>
    </cfRule>
    <cfRule type="expression" dxfId="18" priority="24" stopIfTrue="1">
      <formula>IF(AND(J$16&gt;=$H225,J$15&lt;=$I225,VLOOKUP($F225,PROFA,2,0)=7),1,0)</formula>
    </cfRule>
    <cfRule type="expression" dxfId="17" priority="25" stopIfTrue="1">
      <formula>IF(AND(J$16&gt;=$H225,J$15&lt;=$I225,VLOOKUP($F225,PROFA,2,0)=8),1,0)</formula>
    </cfRule>
  </conditionalFormatting>
  <conditionalFormatting sqref="F225">
    <cfRule type="expression" dxfId="16" priority="9">
      <formula>IF(VLOOKUP($F225,PROFA,2,0)=1,1,0)</formula>
    </cfRule>
    <cfRule type="expression" dxfId="15" priority="10">
      <formula>IF(VLOOKUP($F225,PROFA,2,0)=2,1,0)</formula>
    </cfRule>
    <cfRule type="expression" dxfId="14" priority="11">
      <formula>IF(VLOOKUP($F225,PROFA,2,0)=3,1,0)</formula>
    </cfRule>
    <cfRule type="expression" dxfId="13" priority="12">
      <formula>IF(VLOOKUP($F225,PROFA,2,0)=4,1,0)</formula>
    </cfRule>
    <cfRule type="expression" dxfId="12" priority="13">
      <formula>IF(VLOOKUP($F225,PROFA,2,0)=5,1,0)</formula>
    </cfRule>
    <cfRule type="expression" dxfId="11" priority="14">
      <formula>IF(VLOOKUP($F225,PROFA,2,0)=6,1,0)</formula>
    </cfRule>
    <cfRule type="expression" dxfId="10" priority="15">
      <formula>IF(VLOOKUP($F225,PROFA,2,0)=7,1,0)</formula>
    </cfRule>
    <cfRule type="expression" dxfId="9" priority="16">
      <formula>IF(VLOOKUP($F225,PROFA,2,0)=8,1,0)</formula>
    </cfRule>
    <cfRule type="expression" dxfId="8" priority="17">
      <formula>IF(VLOOKUP($F225,PROFA,2,0)=9,1,0)</formula>
    </cfRule>
  </conditionalFormatting>
  <conditionalFormatting sqref="F125">
    <cfRule type="expression" dxfId="7" priority="1">
      <formula>IF(VLOOKUP($F125,PROFA,2,0)=1,1,0)</formula>
    </cfRule>
    <cfRule type="expression" dxfId="6" priority="2">
      <formula>IF(VLOOKUP($F125,PROFA,2,0)=2,1,0)</formula>
    </cfRule>
    <cfRule type="expression" dxfId="5" priority="3">
      <formula>IF(VLOOKUP($F125,PROFA,2,0)=3,1,0)</formula>
    </cfRule>
    <cfRule type="expression" dxfId="4" priority="4">
      <formula>IF(VLOOKUP($F125,PROFA,2,0)=4,1,0)</formula>
    </cfRule>
    <cfRule type="expression" dxfId="3" priority="5">
      <formula>IF(VLOOKUP($F125,PROFA,2,0)=5,1,0)</formula>
    </cfRule>
    <cfRule type="expression" dxfId="2" priority="6">
      <formula>IF(VLOOKUP($F125,PROFA,2,0)=6,1,0)</formula>
    </cfRule>
    <cfRule type="expression" dxfId="1" priority="7">
      <formula>IF(VLOOKUP($F125,PROFA,2,0)=7,1,0)</formula>
    </cfRule>
    <cfRule type="expression" dxfId="0" priority="8">
      <formula>IF(VLOOKUP($F125,PROFA,2,0)=8,1,0)</formula>
    </cfRule>
  </conditionalFormatting>
  <dataValidations count="12">
    <dataValidation type="list" allowBlank="1" showInputMessage="1" showErrorMessage="1" sqref="AA81:AA84 AA19:AA62 AA86:AA226 AA64:AA77">
      <formula1>INDIRECT(VLOOKUP($A19,ACTA,2,0))</formula1>
    </dataValidation>
    <dataValidation type="date" allowBlank="1" showInputMessage="1" showErrorMessage="1" sqref="X1047359:X1048576 H19:I21 X66:X72 X74:X91 X93:X139 X32:X48 X54:X55 X19:X27 X29 X143:X226 X50:X52">
      <formula1>43101</formula1>
      <formula2>44926</formula2>
    </dataValidation>
    <dataValidation type="list" allowBlank="1" showInputMessage="1" showErrorMessage="1" sqref="AA85 AA80">
      <formula1>INDIRECT(VLOOKUP($A77,ACTA,2,0))</formula1>
    </dataValidation>
    <dataValidation type="list" allowBlank="1" showInputMessage="1" showErrorMessage="1" sqref="C55 C40:C41 C19:C38 C44:C52 C57:C226">
      <formula1>PROCESO</formula1>
    </dataValidation>
    <dataValidation type="date" allowBlank="1" showInputMessage="1" showErrorMessage="1" sqref="H164:I170 H211:I211 H181 H206:I207 X73 I150:I161 X53 X49 X56:X65 X28 AF18 X30:X31 H22:I54 H55:H161 I56:I148">
      <formula1>43101</formula1>
      <formula2>46022</formula2>
    </dataValidation>
    <dataValidation type="list" allowBlank="1" showInputMessage="1" showErrorMessage="1" sqref="AA63 AA78">
      <formula1>INDIRECT(VLOOKUP($A61,ACTA,2,0))</formula1>
    </dataValidation>
    <dataValidation type="list" allowBlank="1" showInputMessage="1" showErrorMessage="1" sqref="AA79">
      <formula1>INDIRECT(VLOOKUP(#REF!,ACTA,2,0))</formula1>
    </dataValidation>
    <dataValidation type="list" allowBlank="1" showInputMessage="1" showErrorMessage="1" sqref="A19:A226">
      <formula1>ACT</formula1>
    </dataValidation>
    <dataValidation type="list" allowBlank="1" showInputMessage="1" showErrorMessage="1" sqref="D19:D226">
      <formula1>"Misional,Apoyo,Estratégico,Seguimiento y Evaluación,Todos los Procesos"</formula1>
    </dataValidation>
    <dataValidation type="list" allowBlank="1" showInputMessage="1" showErrorMessage="1" sqref="E19:E226">
      <formula1>LIDER</formula1>
    </dataValidation>
    <dataValidation type="list" allowBlank="1" showInputMessage="1" showErrorMessage="1" sqref="F19:F226">
      <formula1>PROF</formula1>
    </dataValidation>
    <dataValidation type="decimal" allowBlank="1" showInputMessage="1" showErrorMessage="1" sqref="AB73 AB65 W19:W226">
      <formula1>0</formula1>
      <formula2>1</formula2>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7" zoomScale="80" zoomScaleNormal="80" workbookViewId="0">
      <selection activeCell="M3" sqref="M3:M5"/>
    </sheetView>
  </sheetViews>
  <sheetFormatPr baseColWidth="10" defaultRowHeight="14.4" x14ac:dyDescent="0.3"/>
  <cols>
    <col min="1" max="7" width="11.44140625" customWidth="1"/>
  </cols>
  <sheetData>
    <row r="1" spans="1:13" x14ac:dyDescent="0.3">
      <c r="A1" t="s">
        <v>388</v>
      </c>
      <c r="E1" t="s">
        <v>389</v>
      </c>
      <c r="J1" t="s">
        <v>483</v>
      </c>
    </row>
    <row r="2" spans="1:13" x14ac:dyDescent="0.3">
      <c r="B2" t="s">
        <v>252</v>
      </c>
      <c r="C2" t="s">
        <v>270</v>
      </c>
      <c r="F2" t="s">
        <v>252</v>
      </c>
      <c r="G2" t="s">
        <v>270</v>
      </c>
      <c r="H2" t="s">
        <v>390</v>
      </c>
      <c r="K2" t="s">
        <v>252</v>
      </c>
      <c r="L2" t="s">
        <v>270</v>
      </c>
      <c r="M2" t="s">
        <v>390</v>
      </c>
    </row>
    <row r="3" spans="1:13" x14ac:dyDescent="0.3">
      <c r="A3" t="s">
        <v>265</v>
      </c>
      <c r="B3" s="183">
        <v>0.15</v>
      </c>
      <c r="C3" s="87">
        <v>0.15</v>
      </c>
      <c r="E3" t="s">
        <v>265</v>
      </c>
      <c r="F3" s="183">
        <v>0.13400000000000001</v>
      </c>
      <c r="G3" s="87">
        <f>+F3</f>
        <v>0.13400000000000001</v>
      </c>
      <c r="H3" s="183">
        <v>0.13400000000000001</v>
      </c>
      <c r="J3" t="s">
        <v>265</v>
      </c>
      <c r="K3" s="183">
        <v>0.13400000000000001</v>
      </c>
      <c r="L3" s="87">
        <f>+K3</f>
        <v>0.13400000000000001</v>
      </c>
      <c r="M3" s="183">
        <v>0.13400000000000001</v>
      </c>
    </row>
    <row r="4" spans="1:13" x14ac:dyDescent="0.3">
      <c r="A4" s="98" t="s">
        <v>266</v>
      </c>
      <c r="B4" s="183">
        <v>0.1</v>
      </c>
      <c r="C4" s="87">
        <f>+C3+B4</f>
        <v>0.25</v>
      </c>
      <c r="E4" s="98" t="s">
        <v>266</v>
      </c>
      <c r="F4" s="183">
        <v>0.13800000000000001</v>
      </c>
      <c r="G4" s="87">
        <f>+G3+F4</f>
        <v>0.27200000000000002</v>
      </c>
      <c r="J4" s="98" t="s">
        <v>266</v>
      </c>
      <c r="K4" s="183">
        <v>7.3999999999999996E-2</v>
      </c>
      <c r="L4" s="87">
        <f>+L3+K4</f>
        <v>0.20800000000000002</v>
      </c>
      <c r="M4" s="183">
        <v>7.3999999999999996E-2</v>
      </c>
    </row>
    <row r="5" spans="1:13" x14ac:dyDescent="0.3">
      <c r="A5" t="s">
        <v>267</v>
      </c>
      <c r="B5" s="183">
        <v>0.04</v>
      </c>
      <c r="C5" s="87">
        <f t="shared" ref="C5:C14" si="0">+C4+B5</f>
        <v>0.28999999999999998</v>
      </c>
      <c r="E5" t="s">
        <v>267</v>
      </c>
      <c r="F5" s="183">
        <v>5.0999999999999997E-2</v>
      </c>
      <c r="G5" s="87">
        <f t="shared" ref="G5:G14" si="1">+G4+F5</f>
        <v>0.32300000000000001</v>
      </c>
      <c r="J5" t="s">
        <v>267</v>
      </c>
      <c r="K5" s="183">
        <v>9.9750000000000005E-2</v>
      </c>
      <c r="L5" s="87">
        <f t="shared" ref="L5:L14" si="2">+L4+K5</f>
        <v>0.30775000000000002</v>
      </c>
    </row>
    <row r="6" spans="1:13" x14ac:dyDescent="0.3">
      <c r="A6" s="98" t="s">
        <v>268</v>
      </c>
      <c r="B6" s="183">
        <v>0.1</v>
      </c>
      <c r="C6" s="87">
        <f t="shared" si="0"/>
        <v>0.39</v>
      </c>
      <c r="E6" s="98" t="s">
        <v>268</v>
      </c>
      <c r="F6" s="183">
        <v>7.6499999999999999E-2</v>
      </c>
      <c r="G6" s="87">
        <f t="shared" si="1"/>
        <v>0.39950000000000002</v>
      </c>
      <c r="J6" s="98" t="s">
        <v>268</v>
      </c>
      <c r="K6" s="183">
        <v>8.8749999999999996E-2</v>
      </c>
      <c r="L6" s="87">
        <f t="shared" si="2"/>
        <v>0.39650000000000002</v>
      </c>
    </row>
    <row r="7" spans="1:13" x14ac:dyDescent="0.3">
      <c r="A7" t="s">
        <v>269</v>
      </c>
      <c r="B7" s="183">
        <v>0.09</v>
      </c>
      <c r="C7" s="87">
        <f t="shared" si="0"/>
        <v>0.48</v>
      </c>
      <c r="E7" t="s">
        <v>269</v>
      </c>
      <c r="F7" s="183">
        <v>6.0999999999999999E-2</v>
      </c>
      <c r="G7" s="87">
        <f t="shared" si="1"/>
        <v>0.46050000000000002</v>
      </c>
      <c r="J7" t="s">
        <v>269</v>
      </c>
      <c r="K7" s="183">
        <v>6.0999999999999999E-2</v>
      </c>
      <c r="L7" s="87">
        <f t="shared" si="2"/>
        <v>0.45750000000000002</v>
      </c>
    </row>
    <row r="8" spans="1:13" x14ac:dyDescent="0.3">
      <c r="A8" s="98" t="s">
        <v>251</v>
      </c>
      <c r="B8" s="183">
        <v>0.05</v>
      </c>
      <c r="C8" s="87">
        <f t="shared" si="0"/>
        <v>0.53</v>
      </c>
      <c r="E8" s="98" t="s">
        <v>251</v>
      </c>
      <c r="F8" s="183">
        <v>4.9000000000000002E-2</v>
      </c>
      <c r="G8" s="87">
        <f t="shared" si="1"/>
        <v>0.50950000000000006</v>
      </c>
      <c r="J8" s="98" t="s">
        <v>251</v>
      </c>
      <c r="K8" s="183">
        <v>5.2749999999999998E-2</v>
      </c>
      <c r="L8" s="87">
        <f t="shared" si="2"/>
        <v>0.51024999999999998</v>
      </c>
    </row>
    <row r="9" spans="1:13" x14ac:dyDescent="0.3">
      <c r="A9" t="s">
        <v>245</v>
      </c>
      <c r="B9" s="183">
        <v>0.1</v>
      </c>
      <c r="C9" s="87">
        <f t="shared" si="0"/>
        <v>0.63</v>
      </c>
      <c r="E9" t="s">
        <v>245</v>
      </c>
      <c r="F9" s="183">
        <v>0.107</v>
      </c>
      <c r="G9" s="87">
        <f t="shared" si="1"/>
        <v>0.61650000000000005</v>
      </c>
      <c r="J9" t="s">
        <v>245</v>
      </c>
      <c r="K9" s="183">
        <v>0.125</v>
      </c>
      <c r="L9" s="87">
        <f t="shared" si="2"/>
        <v>0.63524999999999998</v>
      </c>
    </row>
    <row r="10" spans="1:13" x14ac:dyDescent="0.3">
      <c r="A10" t="s">
        <v>246</v>
      </c>
      <c r="B10" s="183">
        <v>0.08</v>
      </c>
      <c r="C10" s="87">
        <f t="shared" si="0"/>
        <v>0.71</v>
      </c>
      <c r="E10" t="s">
        <v>246</v>
      </c>
      <c r="F10" s="183">
        <v>0.05</v>
      </c>
      <c r="G10" s="87">
        <f t="shared" si="1"/>
        <v>0.66650000000000009</v>
      </c>
      <c r="J10" t="s">
        <v>246</v>
      </c>
      <c r="K10" s="183">
        <v>5.3499999999999999E-2</v>
      </c>
      <c r="L10" s="87">
        <f t="shared" si="2"/>
        <v>0.68874999999999997</v>
      </c>
    </row>
    <row r="11" spans="1:13" x14ac:dyDescent="0.3">
      <c r="A11" t="s">
        <v>247</v>
      </c>
      <c r="B11" s="183">
        <v>0.08</v>
      </c>
      <c r="C11" s="87">
        <f t="shared" si="0"/>
        <v>0.78999999999999992</v>
      </c>
      <c r="E11" t="s">
        <v>247</v>
      </c>
      <c r="F11" s="183">
        <v>0.09</v>
      </c>
      <c r="G11" s="87">
        <f t="shared" si="1"/>
        <v>0.75650000000000006</v>
      </c>
      <c r="J11" t="s">
        <v>247</v>
      </c>
      <c r="K11" s="183">
        <v>8.7499999999999994E-2</v>
      </c>
      <c r="L11" s="87">
        <f t="shared" si="2"/>
        <v>0.77625</v>
      </c>
    </row>
    <row r="12" spans="1:13" x14ac:dyDescent="0.3">
      <c r="A12" t="s">
        <v>248</v>
      </c>
      <c r="B12" s="183">
        <v>0.1</v>
      </c>
      <c r="C12" s="87">
        <f t="shared" si="0"/>
        <v>0.8899999999999999</v>
      </c>
      <c r="E12" t="s">
        <v>248</v>
      </c>
      <c r="F12" s="183">
        <v>7.1499999999999994E-2</v>
      </c>
      <c r="G12" s="87">
        <f t="shared" si="1"/>
        <v>0.82800000000000007</v>
      </c>
      <c r="J12" t="s">
        <v>248</v>
      </c>
      <c r="K12" s="183">
        <v>5.6500000000000002E-2</v>
      </c>
      <c r="L12" s="87">
        <f t="shared" si="2"/>
        <v>0.83274999999999999</v>
      </c>
    </row>
    <row r="13" spans="1:13" x14ac:dyDescent="0.3">
      <c r="A13" t="s">
        <v>249</v>
      </c>
      <c r="B13" s="183">
        <v>7.0000000000000007E-2</v>
      </c>
      <c r="C13" s="87">
        <f t="shared" si="0"/>
        <v>0.96</v>
      </c>
      <c r="E13" t="s">
        <v>249</v>
      </c>
      <c r="F13" s="183">
        <v>3.9E-2</v>
      </c>
      <c r="G13" s="87">
        <f t="shared" si="1"/>
        <v>0.8670000000000001</v>
      </c>
      <c r="J13" t="s">
        <v>249</v>
      </c>
      <c r="K13" s="183">
        <v>4.5249999999999999E-2</v>
      </c>
      <c r="L13" s="87">
        <f t="shared" si="2"/>
        <v>0.878</v>
      </c>
    </row>
    <row r="14" spans="1:13" x14ac:dyDescent="0.3">
      <c r="A14" t="s">
        <v>250</v>
      </c>
      <c r="B14" s="183">
        <v>0.04</v>
      </c>
      <c r="C14" s="87">
        <f t="shared" si="0"/>
        <v>1</v>
      </c>
      <c r="E14" t="s">
        <v>250</v>
      </c>
      <c r="F14" s="183">
        <v>0.13300000000000001</v>
      </c>
      <c r="G14" s="87">
        <f t="shared" si="1"/>
        <v>1</v>
      </c>
      <c r="J14" t="s">
        <v>250</v>
      </c>
      <c r="K14" s="183">
        <v>0.122</v>
      </c>
      <c r="L14" s="87">
        <f t="shared" si="2"/>
        <v>1</v>
      </c>
    </row>
    <row r="16" spans="1:13" x14ac:dyDescent="0.3">
      <c r="A16" t="s">
        <v>253</v>
      </c>
      <c r="B16" t="s">
        <v>360</v>
      </c>
    </row>
    <row r="17" spans="1:17" x14ac:dyDescent="0.3">
      <c r="B17" t="s">
        <v>359</v>
      </c>
    </row>
    <row r="19" spans="1:17" x14ac:dyDescent="0.3">
      <c r="A19" t="s">
        <v>391</v>
      </c>
    </row>
    <row r="20" spans="1:17" x14ac:dyDescent="0.3">
      <c r="A20" t="s">
        <v>376</v>
      </c>
    </row>
    <row r="21" spans="1:17" x14ac:dyDescent="0.3">
      <c r="A21" t="s">
        <v>392</v>
      </c>
    </row>
    <row r="22" spans="1:17" x14ac:dyDescent="0.3">
      <c r="H22" t="s">
        <v>484</v>
      </c>
    </row>
    <row r="23" spans="1:17" x14ac:dyDescent="0.3">
      <c r="C23" t="s">
        <v>252</v>
      </c>
      <c r="D23" t="s">
        <v>270</v>
      </c>
      <c r="E23" t="s">
        <v>390</v>
      </c>
      <c r="H23" t="s">
        <v>252</v>
      </c>
      <c r="I23" t="s">
        <v>270</v>
      </c>
      <c r="J23" t="s">
        <v>390</v>
      </c>
    </row>
    <row r="24" spans="1:17" x14ac:dyDescent="0.3">
      <c r="A24" t="s">
        <v>265</v>
      </c>
      <c r="B24">
        <v>12</v>
      </c>
      <c r="C24" s="183">
        <f>+B24/$B$36</f>
        <v>0.15</v>
      </c>
      <c r="D24" s="87">
        <f>+C24</f>
        <v>0.15</v>
      </c>
      <c r="E24" s="148">
        <f>12/12</f>
        <v>1</v>
      </c>
      <c r="F24" t="s">
        <v>265</v>
      </c>
      <c r="G24">
        <v>12</v>
      </c>
      <c r="H24" s="183">
        <f t="shared" ref="H24:H35" si="3">+G24/$G$36</f>
        <v>0.15189873417721519</v>
      </c>
      <c r="I24" s="87">
        <f>+H24</f>
        <v>0.15189873417721519</v>
      </c>
      <c r="J24" s="148">
        <f>12/12</f>
        <v>1</v>
      </c>
    </row>
    <row r="25" spans="1:17" x14ac:dyDescent="0.3">
      <c r="A25" s="98" t="s">
        <v>266</v>
      </c>
      <c r="B25">
        <v>19</v>
      </c>
      <c r="C25" s="183">
        <f t="shared" ref="C25:C36" si="4">+B25/$B$36</f>
        <v>0.23749999999999999</v>
      </c>
      <c r="D25" s="87">
        <f>+D24+C25</f>
        <v>0.38749999999999996</v>
      </c>
      <c r="F25" s="98" t="s">
        <v>266</v>
      </c>
      <c r="G25">
        <v>15</v>
      </c>
      <c r="H25" s="183">
        <f t="shared" si="3"/>
        <v>0.189873417721519</v>
      </c>
      <c r="I25" s="87">
        <f>+I24+H25</f>
        <v>0.34177215189873422</v>
      </c>
      <c r="J25" s="148">
        <f>15/15</f>
        <v>1</v>
      </c>
    </row>
    <row r="26" spans="1:17" x14ac:dyDescent="0.3">
      <c r="A26" t="s">
        <v>267</v>
      </c>
      <c r="B26">
        <v>4</v>
      </c>
      <c r="C26" s="183">
        <f t="shared" si="4"/>
        <v>0.05</v>
      </c>
      <c r="D26" s="87">
        <f t="shared" ref="D26:D35" si="5">+D25+C26</f>
        <v>0.43749999999999994</v>
      </c>
      <c r="E26" s="155"/>
      <c r="F26" t="s">
        <v>267</v>
      </c>
      <c r="G26">
        <v>7</v>
      </c>
      <c r="H26" s="183">
        <f t="shared" si="3"/>
        <v>8.8607594936708861E-2</v>
      </c>
      <c r="I26" s="87">
        <f t="shared" ref="I26:I35" si="6">+I25+H26</f>
        <v>0.43037974683544311</v>
      </c>
      <c r="J26" s="148"/>
      <c r="K26" s="155"/>
      <c r="L26" s="155"/>
      <c r="M26" s="155"/>
      <c r="N26" s="155"/>
      <c r="O26" s="155"/>
      <c r="P26" s="155"/>
      <c r="Q26" s="155"/>
    </row>
    <row r="27" spans="1:17" x14ac:dyDescent="0.3">
      <c r="A27" s="98" t="s">
        <v>268</v>
      </c>
      <c r="B27">
        <v>6</v>
      </c>
      <c r="C27" s="183">
        <f t="shared" si="4"/>
        <v>7.4999999999999997E-2</v>
      </c>
      <c r="D27" s="87">
        <f t="shared" si="5"/>
        <v>0.51249999999999996</v>
      </c>
      <c r="F27" s="98" t="s">
        <v>268</v>
      </c>
      <c r="G27">
        <v>6</v>
      </c>
      <c r="H27" s="183">
        <f t="shared" si="3"/>
        <v>7.5949367088607597E-2</v>
      </c>
      <c r="I27" s="87">
        <f t="shared" si="6"/>
        <v>0.50632911392405067</v>
      </c>
      <c r="J27" s="148"/>
    </row>
    <row r="28" spans="1:17" x14ac:dyDescent="0.3">
      <c r="A28" t="s">
        <v>269</v>
      </c>
      <c r="B28">
        <v>6</v>
      </c>
      <c r="C28" s="183">
        <f t="shared" si="4"/>
        <v>7.4999999999999997E-2</v>
      </c>
      <c r="D28" s="87">
        <f t="shared" si="5"/>
        <v>0.58749999999999991</v>
      </c>
      <c r="F28" t="s">
        <v>269</v>
      </c>
      <c r="G28">
        <v>6</v>
      </c>
      <c r="H28" s="183">
        <f t="shared" si="3"/>
        <v>7.5949367088607597E-2</v>
      </c>
      <c r="I28" s="87">
        <f t="shared" si="6"/>
        <v>0.58227848101265822</v>
      </c>
      <c r="J28" s="148"/>
    </row>
    <row r="29" spans="1:17" x14ac:dyDescent="0.3">
      <c r="A29" s="98" t="s">
        <v>251</v>
      </c>
      <c r="B29">
        <v>3</v>
      </c>
      <c r="C29" s="183">
        <f t="shared" si="4"/>
        <v>3.7499999999999999E-2</v>
      </c>
      <c r="D29" s="87">
        <f t="shared" si="5"/>
        <v>0.62499999999999989</v>
      </c>
      <c r="F29" s="98" t="s">
        <v>251</v>
      </c>
      <c r="G29">
        <v>3</v>
      </c>
      <c r="H29" s="183">
        <f t="shared" si="3"/>
        <v>3.7974683544303799E-2</v>
      </c>
      <c r="I29" s="87">
        <f t="shared" si="6"/>
        <v>0.620253164556962</v>
      </c>
      <c r="J29" s="148"/>
    </row>
    <row r="30" spans="1:17" x14ac:dyDescent="0.3">
      <c r="A30" t="s">
        <v>245</v>
      </c>
      <c r="B30">
        <v>8</v>
      </c>
      <c r="C30" s="183">
        <f t="shared" si="4"/>
        <v>0.1</v>
      </c>
      <c r="D30" s="87">
        <f t="shared" si="5"/>
        <v>0.72499999999999987</v>
      </c>
      <c r="F30" t="s">
        <v>245</v>
      </c>
      <c r="G30">
        <v>8</v>
      </c>
      <c r="H30" s="183">
        <f t="shared" si="3"/>
        <v>0.10126582278481013</v>
      </c>
      <c r="I30" s="87">
        <f t="shared" si="6"/>
        <v>0.72151898734177211</v>
      </c>
      <c r="J30" s="148"/>
    </row>
    <row r="31" spans="1:17" x14ac:dyDescent="0.3">
      <c r="A31" t="s">
        <v>246</v>
      </c>
      <c r="B31">
        <v>3</v>
      </c>
      <c r="C31" s="183">
        <f t="shared" si="4"/>
        <v>3.7499999999999999E-2</v>
      </c>
      <c r="D31" s="87">
        <f t="shared" si="5"/>
        <v>0.76249999999999984</v>
      </c>
      <c r="F31" t="s">
        <v>246</v>
      </c>
      <c r="G31">
        <v>3</v>
      </c>
      <c r="H31" s="183">
        <f t="shared" si="3"/>
        <v>3.7974683544303799E-2</v>
      </c>
      <c r="I31" s="87">
        <f t="shared" si="6"/>
        <v>0.75949367088607589</v>
      </c>
      <c r="J31" s="148"/>
    </row>
    <row r="32" spans="1:17" x14ac:dyDescent="0.3">
      <c r="A32" t="s">
        <v>247</v>
      </c>
      <c r="B32">
        <v>5</v>
      </c>
      <c r="C32" s="183">
        <f t="shared" si="4"/>
        <v>6.25E-2</v>
      </c>
      <c r="D32" s="87">
        <f t="shared" si="5"/>
        <v>0.82499999999999984</v>
      </c>
      <c r="F32" t="s">
        <v>247</v>
      </c>
      <c r="G32">
        <v>5</v>
      </c>
      <c r="H32" s="183">
        <f t="shared" si="3"/>
        <v>6.3291139240506333E-2</v>
      </c>
      <c r="I32" s="87">
        <f t="shared" si="6"/>
        <v>0.82278481012658222</v>
      </c>
      <c r="J32" s="148"/>
    </row>
    <row r="33" spans="1:10" x14ac:dyDescent="0.3">
      <c r="A33" t="s">
        <v>248</v>
      </c>
      <c r="B33">
        <v>5</v>
      </c>
      <c r="C33" s="183">
        <f t="shared" si="4"/>
        <v>6.25E-2</v>
      </c>
      <c r="D33" s="87">
        <f t="shared" si="5"/>
        <v>0.88749999999999984</v>
      </c>
      <c r="F33" t="s">
        <v>248</v>
      </c>
      <c r="G33">
        <v>5</v>
      </c>
      <c r="H33" s="183">
        <f t="shared" si="3"/>
        <v>6.3291139240506333E-2</v>
      </c>
      <c r="I33" s="87">
        <f t="shared" si="6"/>
        <v>0.88607594936708856</v>
      </c>
      <c r="J33" s="148"/>
    </row>
    <row r="34" spans="1:10" x14ac:dyDescent="0.3">
      <c r="A34" t="s">
        <v>249</v>
      </c>
      <c r="B34">
        <v>4</v>
      </c>
      <c r="C34" s="183">
        <f t="shared" si="4"/>
        <v>0.05</v>
      </c>
      <c r="D34" s="87">
        <f t="shared" si="5"/>
        <v>0.93749999999999989</v>
      </c>
      <c r="F34" t="s">
        <v>249</v>
      </c>
      <c r="G34">
        <v>4</v>
      </c>
      <c r="H34" s="183">
        <f t="shared" si="3"/>
        <v>5.0632911392405063E-2</v>
      </c>
      <c r="I34" s="87">
        <f t="shared" si="6"/>
        <v>0.93670886075949367</v>
      </c>
      <c r="J34" s="148"/>
    </row>
    <row r="35" spans="1:10" x14ac:dyDescent="0.3">
      <c r="A35" t="s">
        <v>250</v>
      </c>
      <c r="B35">
        <v>5</v>
      </c>
      <c r="C35" s="183">
        <f t="shared" si="4"/>
        <v>6.25E-2</v>
      </c>
      <c r="D35" s="87">
        <f t="shared" si="5"/>
        <v>0.99999999999999989</v>
      </c>
      <c r="F35" t="s">
        <v>250</v>
      </c>
      <c r="G35">
        <v>5</v>
      </c>
      <c r="H35" s="183">
        <f t="shared" si="3"/>
        <v>6.3291139240506333E-2</v>
      </c>
      <c r="I35" s="87">
        <f t="shared" si="6"/>
        <v>1</v>
      </c>
      <c r="J35" s="148"/>
    </row>
    <row r="36" spans="1:10" x14ac:dyDescent="0.3">
      <c r="B36">
        <f>SUM(B24:B35)</f>
        <v>80</v>
      </c>
      <c r="C36" s="183">
        <f t="shared" si="4"/>
        <v>1</v>
      </c>
      <c r="G36">
        <f>SUM(G24:G35)</f>
        <v>79</v>
      </c>
      <c r="H36" s="183">
        <f t="shared" ref="H36" si="7">+G36/$G$36</f>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opLeftCell="A4" zoomScale="140" zoomScaleNormal="140" workbookViewId="0">
      <selection activeCell="B36" sqref="A36:XFD36"/>
    </sheetView>
  </sheetViews>
  <sheetFormatPr baseColWidth="10" defaultRowHeight="15" customHeight="1" x14ac:dyDescent="0.3"/>
  <cols>
    <col min="1" max="1" width="47.44140625" bestFit="1" customWidth="1"/>
    <col min="2" max="3" width="9.33203125" customWidth="1"/>
    <col min="4" max="15" width="4.44140625" customWidth="1"/>
  </cols>
  <sheetData>
    <row r="1" spans="1:15" ht="33.75" customHeight="1" x14ac:dyDescent="0.3">
      <c r="A1" s="220" t="s">
        <v>443</v>
      </c>
      <c r="B1" s="225" t="s">
        <v>444</v>
      </c>
      <c r="C1" s="225" t="s">
        <v>445</v>
      </c>
      <c r="D1" s="225" t="s">
        <v>501</v>
      </c>
      <c r="E1" s="225" t="s">
        <v>446</v>
      </c>
      <c r="F1" s="225" t="s">
        <v>447</v>
      </c>
      <c r="G1" s="225" t="s">
        <v>448</v>
      </c>
      <c r="H1" s="225" t="s">
        <v>449</v>
      </c>
      <c r="I1" s="225" t="s">
        <v>450</v>
      </c>
      <c r="J1" s="225" t="s">
        <v>451</v>
      </c>
      <c r="K1" s="225" t="s">
        <v>452</v>
      </c>
      <c r="L1" s="225" t="s">
        <v>453</v>
      </c>
      <c r="M1" s="225" t="s">
        <v>454</v>
      </c>
      <c r="N1" s="225" t="s">
        <v>455</v>
      </c>
      <c r="O1" s="232" t="s">
        <v>456</v>
      </c>
    </row>
    <row r="2" spans="1:15" ht="7.5" customHeight="1" x14ac:dyDescent="0.3">
      <c r="A2" s="302" t="s">
        <v>500</v>
      </c>
      <c r="B2" s="305" t="s">
        <v>502</v>
      </c>
      <c r="C2" s="305" t="s">
        <v>503</v>
      </c>
      <c r="D2" s="226"/>
      <c r="E2" s="226"/>
      <c r="F2" s="226"/>
      <c r="G2" s="226"/>
      <c r="H2" s="226"/>
      <c r="I2" s="226"/>
      <c r="J2" s="226"/>
      <c r="K2" s="226"/>
      <c r="L2" s="226"/>
      <c r="M2" s="226"/>
      <c r="N2" s="226"/>
      <c r="O2" s="228"/>
    </row>
    <row r="3" spans="1:15" ht="11.25" customHeight="1" x14ac:dyDescent="0.3">
      <c r="A3" s="303"/>
      <c r="B3" s="306"/>
      <c r="C3" s="306"/>
      <c r="D3" s="202"/>
      <c r="E3" s="202"/>
      <c r="F3" s="202"/>
      <c r="G3" s="200"/>
      <c r="H3" s="200"/>
      <c r="I3" s="200"/>
      <c r="J3" s="202"/>
      <c r="K3" s="200"/>
      <c r="L3" s="200"/>
      <c r="M3" s="200"/>
      <c r="N3" s="200"/>
      <c r="O3" s="229"/>
    </row>
    <row r="4" spans="1:15" ht="7.5" customHeight="1" x14ac:dyDescent="0.3">
      <c r="A4" s="304"/>
      <c r="B4" s="307"/>
      <c r="C4" s="307"/>
      <c r="D4" s="227"/>
      <c r="E4" s="227"/>
      <c r="F4" s="227"/>
      <c r="G4" s="227"/>
      <c r="H4" s="227"/>
      <c r="I4" s="227"/>
      <c r="J4" s="227"/>
      <c r="K4" s="227"/>
      <c r="L4" s="227"/>
      <c r="M4" s="227"/>
      <c r="N4" s="227"/>
      <c r="O4" s="230"/>
    </row>
    <row r="5" spans="1:15" ht="7.5" customHeight="1" x14ac:dyDescent="0.3">
      <c r="A5" s="302" t="s">
        <v>81</v>
      </c>
      <c r="B5" s="221"/>
      <c r="C5" s="221"/>
      <c r="D5" s="226"/>
      <c r="E5" s="226"/>
      <c r="F5" s="226"/>
      <c r="G5" s="226"/>
      <c r="H5" s="226"/>
      <c r="I5" s="226"/>
      <c r="J5" s="226"/>
      <c r="K5" s="226"/>
      <c r="L5" s="226"/>
      <c r="M5" s="226"/>
      <c r="N5" s="226"/>
      <c r="O5" s="228"/>
    </row>
    <row r="6" spans="1:15" ht="11.25" customHeight="1" x14ac:dyDescent="0.3">
      <c r="A6" s="303"/>
      <c r="B6" s="201">
        <v>44270</v>
      </c>
      <c r="C6" s="201">
        <v>44377</v>
      </c>
      <c r="D6" s="200"/>
      <c r="E6" s="200"/>
      <c r="F6" s="203"/>
      <c r="G6" s="203"/>
      <c r="H6" s="203"/>
      <c r="I6" s="203"/>
      <c r="J6" s="200"/>
      <c r="K6" s="200"/>
      <c r="L6" s="200"/>
      <c r="M6" s="200"/>
      <c r="N6" s="200"/>
      <c r="O6" s="229"/>
    </row>
    <row r="7" spans="1:15" ht="7.5" customHeight="1" x14ac:dyDescent="0.3">
      <c r="A7" s="304"/>
      <c r="B7" s="222"/>
      <c r="C7" s="222"/>
      <c r="D7" s="227"/>
      <c r="E7" s="227"/>
      <c r="F7" s="227"/>
      <c r="G7" s="227"/>
      <c r="H7" s="227"/>
      <c r="I7" s="227"/>
      <c r="J7" s="227"/>
      <c r="K7" s="227"/>
      <c r="L7" s="227"/>
      <c r="M7" s="227"/>
      <c r="N7" s="227"/>
      <c r="O7" s="230"/>
    </row>
    <row r="8" spans="1:15" ht="7.5" customHeight="1" x14ac:dyDescent="0.3">
      <c r="A8" s="302" t="s">
        <v>457</v>
      </c>
      <c r="B8" s="223"/>
      <c r="C8" s="223"/>
      <c r="D8" s="226"/>
      <c r="E8" s="226"/>
      <c r="F8" s="226"/>
      <c r="G8" s="226"/>
      <c r="H8" s="226"/>
      <c r="I8" s="226"/>
      <c r="J8" s="226"/>
      <c r="K8" s="226"/>
      <c r="L8" s="226"/>
      <c r="M8" s="226"/>
      <c r="N8" s="226"/>
      <c r="O8" s="228"/>
    </row>
    <row r="9" spans="1:15" ht="11.25" customHeight="1" x14ac:dyDescent="0.3">
      <c r="A9" s="303"/>
      <c r="B9" s="201">
        <v>44281</v>
      </c>
      <c r="C9" s="201">
        <v>44319</v>
      </c>
      <c r="D9" s="200"/>
      <c r="E9" s="200"/>
      <c r="F9" s="233"/>
      <c r="G9" s="233"/>
      <c r="H9" s="233"/>
      <c r="I9" s="204"/>
      <c r="J9" s="204"/>
      <c r="K9" s="204"/>
      <c r="L9" s="204"/>
      <c r="M9" s="204"/>
      <c r="N9" s="204"/>
      <c r="O9" s="231"/>
    </row>
    <row r="10" spans="1:15" ht="7.5" customHeight="1" x14ac:dyDescent="0.3">
      <c r="A10" s="304"/>
      <c r="B10" s="222"/>
      <c r="C10" s="222"/>
      <c r="D10" s="227"/>
      <c r="E10" s="227"/>
      <c r="F10" s="227"/>
      <c r="G10" s="227"/>
      <c r="H10" s="227"/>
      <c r="I10" s="227"/>
      <c r="J10" s="227"/>
      <c r="K10" s="227"/>
      <c r="L10" s="227"/>
      <c r="M10" s="227"/>
      <c r="N10" s="227"/>
      <c r="O10" s="230"/>
    </row>
    <row r="11" spans="1:15" ht="7.5" customHeight="1" x14ac:dyDescent="0.3">
      <c r="A11" s="302" t="s">
        <v>458</v>
      </c>
      <c r="B11" s="223"/>
      <c r="C11" s="223"/>
      <c r="D11" s="226"/>
      <c r="E11" s="226"/>
      <c r="F11" s="226"/>
      <c r="G11" s="226"/>
      <c r="H11" s="226"/>
      <c r="I11" s="226"/>
      <c r="J11" s="226"/>
      <c r="K11" s="226"/>
      <c r="L11" s="226"/>
      <c r="M11" s="226"/>
      <c r="N11" s="226"/>
      <c r="O11" s="228"/>
    </row>
    <row r="12" spans="1:15" ht="11.25" customHeight="1" x14ac:dyDescent="0.3">
      <c r="A12" s="303"/>
      <c r="B12" s="201">
        <v>44274</v>
      </c>
      <c r="C12" s="201">
        <v>44302</v>
      </c>
      <c r="D12" s="200"/>
      <c r="E12" s="200"/>
      <c r="F12" s="205"/>
      <c r="G12" s="205"/>
      <c r="H12" s="200"/>
      <c r="I12" s="200"/>
      <c r="J12" s="200"/>
      <c r="K12" s="200"/>
      <c r="L12" s="200"/>
      <c r="M12" s="200"/>
      <c r="N12" s="200"/>
      <c r="O12" s="229"/>
    </row>
    <row r="13" spans="1:15" ht="7.5" customHeight="1" x14ac:dyDescent="0.3">
      <c r="A13" s="304"/>
      <c r="B13" s="222"/>
      <c r="C13" s="222"/>
      <c r="D13" s="227"/>
      <c r="E13" s="227"/>
      <c r="F13" s="227"/>
      <c r="G13" s="227"/>
      <c r="H13" s="227"/>
      <c r="I13" s="227"/>
      <c r="J13" s="227"/>
      <c r="K13" s="227"/>
      <c r="L13" s="227"/>
      <c r="M13" s="227"/>
      <c r="N13" s="227"/>
      <c r="O13" s="230"/>
    </row>
    <row r="14" spans="1:15" ht="7.5" customHeight="1" x14ac:dyDescent="0.3">
      <c r="A14" s="302" t="s">
        <v>82</v>
      </c>
      <c r="B14" s="305" t="s">
        <v>509</v>
      </c>
      <c r="C14" s="305" t="s">
        <v>510</v>
      </c>
      <c r="D14" s="226"/>
      <c r="E14" s="226"/>
      <c r="F14" s="226"/>
      <c r="G14" s="226"/>
      <c r="H14" s="226"/>
      <c r="I14" s="226"/>
      <c r="J14" s="226"/>
      <c r="K14" s="226"/>
      <c r="L14" s="226"/>
      <c r="M14" s="226"/>
      <c r="N14" s="226"/>
      <c r="O14" s="228"/>
    </row>
    <row r="15" spans="1:15" ht="11.25" customHeight="1" x14ac:dyDescent="0.3">
      <c r="A15" s="303"/>
      <c r="B15" s="306"/>
      <c r="C15" s="306"/>
      <c r="D15" s="200"/>
      <c r="E15" s="200"/>
      <c r="F15" s="234"/>
      <c r="G15" s="234"/>
      <c r="H15" s="234"/>
      <c r="I15" s="234"/>
      <c r="J15" s="200"/>
      <c r="K15" s="200"/>
      <c r="L15" s="200"/>
      <c r="M15" s="200"/>
      <c r="N15" s="200"/>
      <c r="O15" s="229"/>
    </row>
    <row r="16" spans="1:15" ht="7.5" customHeight="1" x14ac:dyDescent="0.3">
      <c r="A16" s="304"/>
      <c r="B16" s="307"/>
      <c r="C16" s="307"/>
      <c r="D16" s="227"/>
      <c r="E16" s="227"/>
      <c r="F16" s="227"/>
      <c r="G16" s="227"/>
      <c r="H16" s="227"/>
      <c r="I16" s="227"/>
      <c r="J16" s="227"/>
      <c r="K16" s="227"/>
      <c r="L16" s="227"/>
      <c r="M16" s="227"/>
      <c r="N16" s="227"/>
      <c r="O16" s="230"/>
    </row>
    <row r="17" spans="1:15" ht="7.5" customHeight="1" x14ac:dyDescent="0.3">
      <c r="A17" s="302" t="s">
        <v>459</v>
      </c>
      <c r="B17" s="223"/>
      <c r="C17" s="223"/>
      <c r="D17" s="226"/>
      <c r="E17" s="226"/>
      <c r="F17" s="226"/>
      <c r="G17" s="226"/>
      <c r="H17" s="226"/>
      <c r="I17" s="226"/>
      <c r="J17" s="226"/>
      <c r="K17" s="226"/>
      <c r="L17" s="226"/>
      <c r="M17" s="226"/>
      <c r="N17" s="226"/>
      <c r="O17" s="228"/>
    </row>
    <row r="18" spans="1:15" ht="11.25" customHeight="1" x14ac:dyDescent="0.3">
      <c r="A18" s="303"/>
      <c r="B18" s="201">
        <v>44286</v>
      </c>
      <c r="C18" s="201">
        <v>44406</v>
      </c>
      <c r="D18" s="200"/>
      <c r="E18" s="200"/>
      <c r="F18" s="206"/>
      <c r="G18" s="206"/>
      <c r="H18" s="206"/>
      <c r="I18" s="206"/>
      <c r="J18" s="206"/>
      <c r="K18" s="200"/>
      <c r="L18" s="200"/>
      <c r="M18" s="200"/>
      <c r="N18" s="200"/>
      <c r="O18" s="229"/>
    </row>
    <row r="19" spans="1:15" ht="7.5" customHeight="1" x14ac:dyDescent="0.3">
      <c r="A19" s="304"/>
      <c r="B19" s="222"/>
      <c r="C19" s="222"/>
      <c r="D19" s="227"/>
      <c r="E19" s="227"/>
      <c r="F19" s="227"/>
      <c r="G19" s="227"/>
      <c r="H19" s="227"/>
      <c r="I19" s="227"/>
      <c r="J19" s="227"/>
      <c r="K19" s="227"/>
      <c r="L19" s="227"/>
      <c r="M19" s="227"/>
      <c r="N19" s="227"/>
      <c r="O19" s="230"/>
    </row>
    <row r="20" spans="1:15" ht="7.5" customHeight="1" x14ac:dyDescent="0.3">
      <c r="A20" s="302" t="s">
        <v>83</v>
      </c>
      <c r="B20" s="305" t="s">
        <v>507</v>
      </c>
      <c r="C20" s="305" t="s">
        <v>508</v>
      </c>
      <c r="D20" s="226"/>
      <c r="E20" s="226"/>
      <c r="F20" s="226"/>
      <c r="G20" s="226"/>
      <c r="H20" s="226"/>
      <c r="I20" s="226"/>
      <c r="J20" s="226"/>
      <c r="K20" s="226"/>
      <c r="L20" s="226"/>
      <c r="M20" s="226"/>
      <c r="N20" s="226"/>
      <c r="O20" s="228"/>
    </row>
    <row r="21" spans="1:15" ht="11.25" customHeight="1" x14ac:dyDescent="0.3">
      <c r="A21" s="303"/>
      <c r="B21" s="306"/>
      <c r="C21" s="306"/>
      <c r="D21" s="200"/>
      <c r="E21" s="200"/>
      <c r="F21" s="200"/>
      <c r="G21" s="207"/>
      <c r="H21" s="200"/>
      <c r="I21" s="207"/>
      <c r="J21" s="207"/>
      <c r="K21" s="207"/>
      <c r="L21" s="207"/>
      <c r="M21" s="200"/>
      <c r="N21" s="200"/>
      <c r="O21" s="229"/>
    </row>
    <row r="22" spans="1:15" ht="7.5" customHeight="1" x14ac:dyDescent="0.3">
      <c r="A22" s="304"/>
      <c r="B22" s="307"/>
      <c r="C22" s="307"/>
      <c r="D22" s="227"/>
      <c r="E22" s="227"/>
      <c r="F22" s="227"/>
      <c r="G22" s="227"/>
      <c r="H22" s="227"/>
      <c r="I22" s="227"/>
      <c r="J22" s="227"/>
      <c r="K22" s="227"/>
      <c r="L22" s="227"/>
      <c r="M22" s="227"/>
      <c r="N22" s="227"/>
      <c r="O22" s="230"/>
    </row>
    <row r="23" spans="1:15" ht="7.5" customHeight="1" x14ac:dyDescent="0.3">
      <c r="A23" s="302" t="s">
        <v>80</v>
      </c>
      <c r="B23" s="305" t="s">
        <v>511</v>
      </c>
      <c r="C23" s="305" t="s">
        <v>512</v>
      </c>
      <c r="D23" s="226"/>
      <c r="E23" s="226"/>
      <c r="F23" s="226"/>
      <c r="G23" s="226"/>
      <c r="H23" s="226"/>
      <c r="I23" s="226"/>
      <c r="J23" s="226"/>
      <c r="K23" s="226"/>
      <c r="L23" s="226"/>
      <c r="M23" s="226"/>
      <c r="N23" s="226"/>
      <c r="O23" s="228"/>
    </row>
    <row r="24" spans="1:15" ht="11.25" customHeight="1" x14ac:dyDescent="0.3">
      <c r="A24" s="303"/>
      <c r="B24" s="306"/>
      <c r="C24" s="306"/>
      <c r="D24" s="200"/>
      <c r="E24" s="200"/>
      <c r="F24" s="200"/>
      <c r="G24" s="208"/>
      <c r="H24" s="200"/>
      <c r="I24" s="200"/>
      <c r="J24" s="208"/>
      <c r="K24" s="208"/>
      <c r="L24" s="208"/>
      <c r="M24" s="208"/>
      <c r="N24" s="208"/>
      <c r="O24" s="229"/>
    </row>
    <row r="25" spans="1:15" ht="7.5" customHeight="1" x14ac:dyDescent="0.3">
      <c r="A25" s="304"/>
      <c r="B25" s="307"/>
      <c r="C25" s="307"/>
      <c r="D25" s="227"/>
      <c r="E25" s="227"/>
      <c r="F25" s="227"/>
      <c r="G25" s="227"/>
      <c r="H25" s="227"/>
      <c r="I25" s="227"/>
      <c r="J25" s="227"/>
      <c r="K25" s="227"/>
      <c r="L25" s="227"/>
      <c r="M25" s="227"/>
      <c r="N25" s="227"/>
      <c r="O25" s="230"/>
    </row>
    <row r="26" spans="1:15" ht="7.5" customHeight="1" x14ac:dyDescent="0.3">
      <c r="A26" s="302" t="s">
        <v>504</v>
      </c>
      <c r="B26" s="305" t="s">
        <v>505</v>
      </c>
      <c r="C26" s="305" t="s">
        <v>506</v>
      </c>
      <c r="D26" s="226"/>
      <c r="E26" s="226"/>
      <c r="F26" s="226"/>
      <c r="G26" s="226"/>
      <c r="H26" s="226"/>
      <c r="I26" s="226"/>
      <c r="J26" s="226"/>
      <c r="K26" s="226"/>
      <c r="L26" s="226"/>
      <c r="M26" s="226"/>
      <c r="N26" s="226"/>
      <c r="O26" s="228"/>
    </row>
    <row r="27" spans="1:15" ht="11.25" customHeight="1" x14ac:dyDescent="0.3">
      <c r="A27" s="303"/>
      <c r="B27" s="306"/>
      <c r="C27" s="306"/>
      <c r="D27" s="200"/>
      <c r="E27" s="200"/>
      <c r="F27" s="200"/>
      <c r="G27" s="200"/>
      <c r="H27" s="235"/>
      <c r="I27" s="235"/>
      <c r="J27" s="200"/>
      <c r="K27" s="200"/>
      <c r="L27" s="200"/>
      <c r="M27" s="235"/>
      <c r="N27" s="235"/>
      <c r="O27" s="229"/>
    </row>
    <row r="28" spans="1:15" ht="7.5" customHeight="1" x14ac:dyDescent="0.3">
      <c r="A28" s="304"/>
      <c r="B28" s="307"/>
      <c r="C28" s="307"/>
      <c r="D28" s="227"/>
      <c r="E28" s="227"/>
      <c r="F28" s="227"/>
      <c r="G28" s="227"/>
      <c r="H28" s="227"/>
      <c r="I28" s="227"/>
      <c r="J28" s="227"/>
      <c r="K28" s="227"/>
      <c r="L28" s="227"/>
      <c r="M28" s="227"/>
      <c r="N28" s="227"/>
      <c r="O28" s="230"/>
    </row>
    <row r="29" spans="1:15" ht="7.5" customHeight="1" x14ac:dyDescent="0.3">
      <c r="A29" s="302" t="s">
        <v>460</v>
      </c>
      <c r="B29" s="223"/>
      <c r="C29" s="223"/>
      <c r="D29" s="226"/>
      <c r="E29" s="226"/>
      <c r="F29" s="226"/>
      <c r="G29" s="226"/>
      <c r="H29" s="226"/>
      <c r="I29" s="226"/>
      <c r="J29" s="226"/>
      <c r="K29" s="226"/>
      <c r="L29" s="226"/>
      <c r="M29" s="226"/>
      <c r="N29" s="226"/>
      <c r="O29" s="228"/>
    </row>
    <row r="30" spans="1:15" ht="11.25" customHeight="1" x14ac:dyDescent="0.3">
      <c r="A30" s="303"/>
      <c r="B30" s="201">
        <v>44407</v>
      </c>
      <c r="C30" s="201">
        <v>44495</v>
      </c>
      <c r="D30" s="200"/>
      <c r="E30" s="200"/>
      <c r="F30" s="200"/>
      <c r="G30" s="200"/>
      <c r="H30" s="200"/>
      <c r="I30" s="200"/>
      <c r="J30" s="209"/>
      <c r="K30" s="209"/>
      <c r="L30" s="209"/>
      <c r="M30" s="209"/>
      <c r="N30" s="200"/>
      <c r="O30" s="229"/>
    </row>
    <row r="31" spans="1:15" ht="7.5" customHeight="1" x14ac:dyDescent="0.3">
      <c r="A31" s="304"/>
      <c r="B31" s="222"/>
      <c r="C31" s="222"/>
      <c r="D31" s="227"/>
      <c r="E31" s="227"/>
      <c r="F31" s="227"/>
      <c r="G31" s="227"/>
      <c r="H31" s="227"/>
      <c r="I31" s="227"/>
      <c r="J31" s="227"/>
      <c r="K31" s="227"/>
      <c r="L31" s="227"/>
      <c r="M31" s="227"/>
      <c r="N31" s="227"/>
      <c r="O31" s="230"/>
    </row>
    <row r="32" spans="1:15" ht="7.5" customHeight="1" x14ac:dyDescent="0.3">
      <c r="A32" s="302" t="s">
        <v>461</v>
      </c>
      <c r="B32" s="223"/>
      <c r="C32" s="223"/>
      <c r="D32" s="226"/>
      <c r="E32" s="226"/>
      <c r="F32" s="226"/>
      <c r="G32" s="226"/>
      <c r="H32" s="226"/>
      <c r="I32" s="226"/>
      <c r="J32" s="226"/>
      <c r="K32" s="226"/>
      <c r="L32" s="226"/>
      <c r="M32" s="226"/>
      <c r="N32" s="226"/>
      <c r="O32" s="228"/>
    </row>
    <row r="33" spans="1:15" ht="11.25" customHeight="1" x14ac:dyDescent="0.3">
      <c r="A33" s="303"/>
      <c r="B33" s="201">
        <v>44454</v>
      </c>
      <c r="C33" s="201">
        <v>44484</v>
      </c>
      <c r="D33" s="200"/>
      <c r="E33" s="200"/>
      <c r="F33" s="200"/>
      <c r="G33" s="200"/>
      <c r="H33" s="200"/>
      <c r="I33" s="200"/>
      <c r="J33" s="200"/>
      <c r="K33" s="200"/>
      <c r="L33" s="236"/>
      <c r="M33" s="236"/>
      <c r="N33" s="200"/>
      <c r="O33" s="229"/>
    </row>
    <row r="34" spans="1:15" ht="7.5" customHeight="1" x14ac:dyDescent="0.3">
      <c r="A34" s="304"/>
      <c r="B34" s="222"/>
      <c r="C34" s="222"/>
      <c r="D34" s="227"/>
      <c r="E34" s="227"/>
      <c r="F34" s="227"/>
      <c r="G34" s="227"/>
      <c r="H34" s="227"/>
      <c r="I34" s="227"/>
      <c r="J34" s="227"/>
      <c r="K34" s="227"/>
      <c r="L34" s="227"/>
      <c r="M34" s="227"/>
      <c r="N34" s="227"/>
      <c r="O34" s="230"/>
    </row>
    <row r="35" spans="1:15" ht="7.5" customHeight="1" x14ac:dyDescent="0.3">
      <c r="A35" s="302" t="s">
        <v>462</v>
      </c>
      <c r="B35" s="223"/>
      <c r="C35" s="223"/>
      <c r="D35" s="226"/>
      <c r="E35" s="226"/>
      <c r="F35" s="226"/>
      <c r="G35" s="226"/>
      <c r="H35" s="226"/>
      <c r="I35" s="226"/>
      <c r="J35" s="226"/>
      <c r="K35" s="226"/>
      <c r="L35" s="226"/>
      <c r="M35" s="226"/>
      <c r="N35" s="226"/>
      <c r="O35" s="228"/>
    </row>
    <row r="36" spans="1:15" ht="11.25" customHeight="1" x14ac:dyDescent="0.3">
      <c r="A36" s="303"/>
      <c r="B36" s="201">
        <v>44496</v>
      </c>
      <c r="C36" s="201">
        <v>44561</v>
      </c>
      <c r="D36" s="200"/>
      <c r="E36" s="200"/>
      <c r="F36" s="200"/>
      <c r="G36" s="200"/>
      <c r="H36" s="200"/>
      <c r="I36" s="200"/>
      <c r="J36" s="200"/>
      <c r="K36" s="200"/>
      <c r="L36" s="200"/>
      <c r="M36" s="202"/>
      <c r="N36" s="202"/>
      <c r="O36" s="237"/>
    </row>
    <row r="37" spans="1:15" ht="7.5" customHeight="1" x14ac:dyDescent="0.3">
      <c r="A37" s="304"/>
      <c r="B37" s="224"/>
      <c r="C37" s="224"/>
      <c r="D37" s="227"/>
      <c r="E37" s="227"/>
      <c r="F37" s="227"/>
      <c r="G37" s="227"/>
      <c r="H37" s="227"/>
      <c r="I37" s="227"/>
      <c r="J37" s="227"/>
      <c r="K37" s="227"/>
      <c r="L37" s="227"/>
      <c r="M37" s="227"/>
      <c r="N37" s="227"/>
      <c r="O37" s="230"/>
    </row>
  </sheetData>
  <mergeCells count="22">
    <mergeCell ref="A29:A31"/>
    <mergeCell ref="A32:A34"/>
    <mergeCell ref="A35:A37"/>
    <mergeCell ref="A5:A7"/>
    <mergeCell ref="A8:A10"/>
    <mergeCell ref="A11:A13"/>
    <mergeCell ref="A20:A22"/>
    <mergeCell ref="A14:A16"/>
    <mergeCell ref="A17:A19"/>
    <mergeCell ref="A2:A4"/>
    <mergeCell ref="B2:B4"/>
    <mergeCell ref="C2:C4"/>
    <mergeCell ref="A26:A28"/>
    <mergeCell ref="B26:B28"/>
    <mergeCell ref="C26:C28"/>
    <mergeCell ref="A23:A25"/>
    <mergeCell ref="B20:B22"/>
    <mergeCell ref="C20:C22"/>
    <mergeCell ref="B14:B16"/>
    <mergeCell ref="C14:C16"/>
    <mergeCell ref="B23:B25"/>
    <mergeCell ref="C23:C25"/>
  </mergeCells>
  <dataValidations count="2">
    <dataValidation type="date" allowBlank="1" showInputMessage="1" showErrorMessage="1" sqref="D2 B6:C13 E6 B17:C19 D6:D27 B29:D36">
      <formula1>43101</formula1>
      <formula2>44926</formula2>
    </dataValidation>
    <dataValidation type="date" allowBlank="1" showInputMessage="1" showErrorMessage="1" sqref="D2 E6 B17:C19 B6:D13 D15:D20 D23:D27 B29:D36">
      <formula1>43101</formula1>
      <formula2>46022</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topLeftCell="A127" zoomScaleNormal="100" workbookViewId="0">
      <selection activeCell="B27" sqref="B27"/>
    </sheetView>
  </sheetViews>
  <sheetFormatPr baseColWidth="10" defaultRowHeight="14.4" x14ac:dyDescent="0.3"/>
  <cols>
    <col min="1" max="1" width="56" customWidth="1"/>
    <col min="2" max="3" width="34.33203125" customWidth="1"/>
  </cols>
  <sheetData>
    <row r="3" spans="1:5" x14ac:dyDescent="0.3">
      <c r="A3" s="26" t="s">
        <v>53</v>
      </c>
      <c r="B3" s="26" t="s">
        <v>6</v>
      </c>
      <c r="C3" s="26" t="s">
        <v>191</v>
      </c>
      <c r="D3" s="25"/>
      <c r="E3" s="25"/>
    </row>
    <row r="4" spans="1:5" x14ac:dyDescent="0.3">
      <c r="A4" s="131" t="s">
        <v>50</v>
      </c>
      <c r="B4" s="131" t="s">
        <v>61</v>
      </c>
      <c r="C4" s="131" t="s">
        <v>158</v>
      </c>
      <c r="D4" s="131"/>
      <c r="E4" s="132">
        <v>0.16</v>
      </c>
    </row>
    <row r="5" spans="1:5" x14ac:dyDescent="0.3">
      <c r="A5" s="28" t="s">
        <v>52</v>
      </c>
      <c r="B5" s="28" t="s">
        <v>62</v>
      </c>
      <c r="C5" s="28" t="s">
        <v>155</v>
      </c>
      <c r="D5" s="28"/>
      <c r="E5" s="29">
        <v>0.12</v>
      </c>
    </row>
    <row r="6" spans="1:5" x14ac:dyDescent="0.3">
      <c r="A6" s="28" t="s">
        <v>45</v>
      </c>
      <c r="B6" s="28" t="s">
        <v>63</v>
      </c>
      <c r="C6" s="28" t="s">
        <v>155</v>
      </c>
      <c r="D6" s="28"/>
      <c r="E6" s="29">
        <v>0.12</v>
      </c>
    </row>
    <row r="7" spans="1:5" x14ac:dyDescent="0.3">
      <c r="A7" s="30" t="s">
        <v>51</v>
      </c>
      <c r="B7" s="30" t="s">
        <v>64</v>
      </c>
      <c r="C7" s="30" t="s">
        <v>156</v>
      </c>
      <c r="D7" s="30"/>
      <c r="E7" s="31">
        <v>0.12</v>
      </c>
    </row>
    <row r="8" spans="1:5" x14ac:dyDescent="0.3">
      <c r="A8" s="131" t="s">
        <v>44</v>
      </c>
      <c r="B8" s="131" t="s">
        <v>65</v>
      </c>
      <c r="C8" s="131" t="s">
        <v>158</v>
      </c>
      <c r="D8" s="131"/>
      <c r="E8" s="132">
        <v>0.12</v>
      </c>
    </row>
    <row r="9" spans="1:5" x14ac:dyDescent="0.3">
      <c r="A9" s="133" t="s">
        <v>43</v>
      </c>
      <c r="B9" s="133" t="s">
        <v>66</v>
      </c>
      <c r="C9" s="133" t="s">
        <v>154</v>
      </c>
      <c r="D9" s="133"/>
      <c r="E9" s="134">
        <v>0.12</v>
      </c>
    </row>
    <row r="10" spans="1:5" x14ac:dyDescent="0.3">
      <c r="A10" s="32" t="s">
        <v>46</v>
      </c>
      <c r="B10" s="32" t="s">
        <v>67</v>
      </c>
      <c r="C10" s="32" t="s">
        <v>157</v>
      </c>
      <c r="D10" s="32"/>
      <c r="E10" s="33">
        <v>0.12</v>
      </c>
    </row>
    <row r="11" spans="1:5" x14ac:dyDescent="0.3">
      <c r="A11" s="131" t="s">
        <v>47</v>
      </c>
      <c r="B11" s="131" t="s">
        <v>68</v>
      </c>
      <c r="C11" s="131" t="s">
        <v>158</v>
      </c>
      <c r="D11" s="131"/>
      <c r="E11" s="132">
        <v>0.12</v>
      </c>
    </row>
    <row r="12" spans="1:5" x14ac:dyDescent="0.3">
      <c r="A12" s="25"/>
      <c r="B12" s="25"/>
      <c r="C12" s="25"/>
      <c r="D12" s="25"/>
      <c r="E12" s="27">
        <f>SUM(E4:E11)</f>
        <v>1</v>
      </c>
    </row>
    <row r="14" spans="1:5" x14ac:dyDescent="0.3">
      <c r="A14" s="5" t="s">
        <v>54</v>
      </c>
    </row>
    <row r="15" spans="1:5" ht="28.8" x14ac:dyDescent="0.3">
      <c r="A15" s="6" t="s">
        <v>165</v>
      </c>
    </row>
    <row r="16" spans="1:5" x14ac:dyDescent="0.3">
      <c r="A16" s="6"/>
    </row>
    <row r="18" spans="1:3" x14ac:dyDescent="0.3">
      <c r="A18" s="5" t="s">
        <v>48</v>
      </c>
      <c r="B18" t="s">
        <v>116</v>
      </c>
      <c r="C18" t="s">
        <v>117</v>
      </c>
    </row>
    <row r="19" spans="1:3" x14ac:dyDescent="0.3">
      <c r="A19" s="141" t="s">
        <v>260</v>
      </c>
      <c r="B19" s="141">
        <v>1</v>
      </c>
      <c r="C19" s="141" t="s">
        <v>261</v>
      </c>
    </row>
    <row r="20" spans="1:3" x14ac:dyDescent="0.3">
      <c r="A20" s="141" t="s">
        <v>203</v>
      </c>
      <c r="B20" s="141">
        <v>2</v>
      </c>
      <c r="C20" s="141" t="s">
        <v>162</v>
      </c>
    </row>
    <row r="21" spans="1:3" x14ac:dyDescent="0.3">
      <c r="A21" s="141" t="s">
        <v>263</v>
      </c>
      <c r="B21" s="141">
        <v>3</v>
      </c>
      <c r="C21" s="141" t="s">
        <v>262</v>
      </c>
    </row>
    <row r="22" spans="1:3" x14ac:dyDescent="0.3">
      <c r="A22" s="141" t="s">
        <v>160</v>
      </c>
      <c r="B22" s="141">
        <v>4</v>
      </c>
      <c r="C22" s="141" t="s">
        <v>163</v>
      </c>
    </row>
    <row r="23" spans="1:3" x14ac:dyDescent="0.3">
      <c r="A23" s="141" t="s">
        <v>206</v>
      </c>
      <c r="B23" s="141">
        <v>5</v>
      </c>
      <c r="C23" s="141" t="s">
        <v>164</v>
      </c>
    </row>
    <row r="24" spans="1:3" x14ac:dyDescent="0.3">
      <c r="A24" s="141" t="s">
        <v>159</v>
      </c>
      <c r="B24" s="141">
        <v>6</v>
      </c>
      <c r="C24" s="141" t="s">
        <v>264</v>
      </c>
    </row>
    <row r="25" spans="1:3" x14ac:dyDescent="0.3">
      <c r="A25" s="141" t="s">
        <v>239</v>
      </c>
      <c r="B25" s="141">
        <v>7</v>
      </c>
      <c r="C25" s="141" t="s">
        <v>161</v>
      </c>
    </row>
    <row r="26" spans="1:3" x14ac:dyDescent="0.3">
      <c r="A26" s="141" t="s">
        <v>240</v>
      </c>
      <c r="B26" s="141">
        <v>8</v>
      </c>
      <c r="C26" s="141" t="s">
        <v>236</v>
      </c>
    </row>
    <row r="27" spans="1:3" x14ac:dyDescent="0.3">
      <c r="A27" s="141" t="s">
        <v>42</v>
      </c>
      <c r="B27" s="141">
        <v>9</v>
      </c>
      <c r="C27" s="141" t="s">
        <v>204</v>
      </c>
    </row>
    <row r="29" spans="1:3" x14ac:dyDescent="0.3">
      <c r="A29" s="69" t="s">
        <v>146</v>
      </c>
      <c r="B29" s="69"/>
      <c r="C29" s="69"/>
    </row>
    <row r="30" spans="1:3" x14ac:dyDescent="0.3">
      <c r="A30" s="69" t="s">
        <v>69</v>
      </c>
      <c r="B30" s="69" t="s">
        <v>49</v>
      </c>
      <c r="C30" s="69"/>
    </row>
    <row r="33" spans="1:3" x14ac:dyDescent="0.3">
      <c r="A33" s="5" t="s">
        <v>50</v>
      </c>
      <c r="B33" s="5" t="str">
        <f>VLOOKUP(A33,ACTA,2,0)</f>
        <v>CRITERIO1</v>
      </c>
    </row>
    <row r="34" spans="1:3" x14ac:dyDescent="0.3">
      <c r="A34" t="s">
        <v>103</v>
      </c>
      <c r="B34" s="7">
        <f>C34</f>
        <v>0.06</v>
      </c>
      <c r="C34" s="7">
        <v>0.06</v>
      </c>
    </row>
    <row r="35" spans="1:3" x14ac:dyDescent="0.3">
      <c r="A35" t="s">
        <v>102</v>
      </c>
      <c r="B35" s="7">
        <f>B34+C35</f>
        <v>0.1</v>
      </c>
      <c r="C35" s="7">
        <v>0.04</v>
      </c>
    </row>
    <row r="36" spans="1:3" x14ac:dyDescent="0.3">
      <c r="A36" t="s">
        <v>101</v>
      </c>
      <c r="B36" s="7">
        <f t="shared" ref="B36:B47" si="0">B35+C36</f>
        <v>0.11</v>
      </c>
      <c r="C36" s="7">
        <v>0.01</v>
      </c>
    </row>
    <row r="37" spans="1:3" x14ac:dyDescent="0.3">
      <c r="A37" t="s">
        <v>109</v>
      </c>
      <c r="B37" s="7">
        <f t="shared" si="0"/>
        <v>0.12</v>
      </c>
      <c r="C37" s="7">
        <v>0.01</v>
      </c>
    </row>
    <row r="38" spans="1:3" x14ac:dyDescent="0.3">
      <c r="A38" t="s">
        <v>104</v>
      </c>
      <c r="B38" s="7">
        <f t="shared" si="0"/>
        <v>0.37</v>
      </c>
      <c r="C38" s="7">
        <v>0.25</v>
      </c>
    </row>
    <row r="39" spans="1:3" x14ac:dyDescent="0.3">
      <c r="A39" t="s">
        <v>105</v>
      </c>
      <c r="B39" s="7">
        <f t="shared" si="0"/>
        <v>0.62</v>
      </c>
      <c r="C39" s="7">
        <v>0.25</v>
      </c>
    </row>
    <row r="40" spans="1:3" x14ac:dyDescent="0.3">
      <c r="A40" t="s">
        <v>110</v>
      </c>
      <c r="B40" s="7">
        <f t="shared" si="0"/>
        <v>0.72</v>
      </c>
      <c r="C40" s="7">
        <v>0.1</v>
      </c>
    </row>
    <row r="41" spans="1:3" x14ac:dyDescent="0.3">
      <c r="A41" t="s">
        <v>107</v>
      </c>
      <c r="B41" s="7">
        <f t="shared" si="0"/>
        <v>0.77</v>
      </c>
      <c r="C41" s="7">
        <v>0.05</v>
      </c>
    </row>
    <row r="42" spans="1:3" x14ac:dyDescent="0.3">
      <c r="A42" t="s">
        <v>106</v>
      </c>
      <c r="B42" s="7">
        <f t="shared" si="0"/>
        <v>0.78</v>
      </c>
      <c r="C42" s="7">
        <v>0.01</v>
      </c>
    </row>
    <row r="43" spans="1:3" x14ac:dyDescent="0.3">
      <c r="A43" t="s">
        <v>108</v>
      </c>
      <c r="B43" s="7">
        <f t="shared" si="0"/>
        <v>0.83000000000000007</v>
      </c>
      <c r="C43" s="7">
        <v>0.05</v>
      </c>
    </row>
    <row r="44" spans="1:3" x14ac:dyDescent="0.3">
      <c r="A44" t="s">
        <v>111</v>
      </c>
      <c r="B44" s="7">
        <f t="shared" si="0"/>
        <v>0.88000000000000012</v>
      </c>
      <c r="C44" s="7">
        <v>0.05</v>
      </c>
    </row>
    <row r="45" spans="1:3" x14ac:dyDescent="0.3">
      <c r="A45" t="s">
        <v>112</v>
      </c>
      <c r="B45" s="7">
        <f t="shared" si="0"/>
        <v>0.94000000000000017</v>
      </c>
      <c r="C45" s="7">
        <v>0.06</v>
      </c>
    </row>
    <row r="46" spans="1:3" x14ac:dyDescent="0.3">
      <c r="A46" t="s">
        <v>113</v>
      </c>
      <c r="B46" s="7">
        <f t="shared" si="0"/>
        <v>0.95000000000000018</v>
      </c>
      <c r="C46" s="7">
        <v>0.01</v>
      </c>
    </row>
    <row r="47" spans="1:3" x14ac:dyDescent="0.3">
      <c r="A47" t="s">
        <v>177</v>
      </c>
      <c r="B47" s="7">
        <f t="shared" si="0"/>
        <v>1.0000000000000002</v>
      </c>
      <c r="C47" s="7">
        <v>0.05</v>
      </c>
    </row>
    <row r="48" spans="1:3" x14ac:dyDescent="0.3">
      <c r="C48" s="7">
        <f>SUM(C34:C47)</f>
        <v>1.0000000000000002</v>
      </c>
    </row>
    <row r="50" spans="1:3" x14ac:dyDescent="0.3">
      <c r="A50" s="5" t="s">
        <v>52</v>
      </c>
      <c r="B50" s="5" t="str">
        <f>VLOOKUP(A50,ACTA,2,0)</f>
        <v>CRITERIO2</v>
      </c>
    </row>
    <row r="51" spans="1:3" x14ac:dyDescent="0.3">
      <c r="A51" t="s">
        <v>167</v>
      </c>
      <c r="B51" s="7">
        <f>C51</f>
        <v>0.05</v>
      </c>
      <c r="C51" s="7">
        <v>0.05</v>
      </c>
    </row>
    <row r="52" spans="1:3" x14ac:dyDescent="0.3">
      <c r="A52" t="s">
        <v>166</v>
      </c>
      <c r="B52" s="7">
        <f>B51+C52</f>
        <v>0.55000000000000004</v>
      </c>
      <c r="C52" s="7">
        <v>0.5</v>
      </c>
    </row>
    <row r="53" spans="1:3" x14ac:dyDescent="0.3">
      <c r="A53" t="s">
        <v>168</v>
      </c>
      <c r="B53" s="7">
        <f>B52+C53</f>
        <v>0.95000000000000007</v>
      </c>
      <c r="C53" s="7">
        <v>0.4</v>
      </c>
    </row>
    <row r="54" spans="1:3" x14ac:dyDescent="0.3">
      <c r="A54" t="s">
        <v>169</v>
      </c>
      <c r="B54" s="7">
        <f>B53+C54</f>
        <v>1</v>
      </c>
      <c r="C54" s="7">
        <v>0.05</v>
      </c>
    </row>
    <row r="55" spans="1:3" x14ac:dyDescent="0.3">
      <c r="B55" s="7"/>
      <c r="C55" s="7">
        <f>SUM(C51:C54)</f>
        <v>1</v>
      </c>
    </row>
    <row r="56" spans="1:3" x14ac:dyDescent="0.3">
      <c r="B56" s="7"/>
    </row>
    <row r="59" spans="1:3" x14ac:dyDescent="0.3">
      <c r="A59" s="5" t="s">
        <v>45</v>
      </c>
      <c r="B59" s="5" t="str">
        <f>VLOOKUP(A59,ACTA,2,0)</f>
        <v>CRITERIO3</v>
      </c>
    </row>
    <row r="60" spans="1:3" x14ac:dyDescent="0.3">
      <c r="A60" t="s">
        <v>59</v>
      </c>
      <c r="B60" s="7">
        <f>C60</f>
        <v>0.1</v>
      </c>
      <c r="C60" s="7">
        <v>0.1</v>
      </c>
    </row>
    <row r="61" spans="1:3" x14ac:dyDescent="0.3">
      <c r="A61" t="s">
        <v>60</v>
      </c>
      <c r="B61" s="7">
        <f>B60+C61</f>
        <v>0.79999999999999993</v>
      </c>
      <c r="C61" s="7">
        <v>0.7</v>
      </c>
    </row>
    <row r="62" spans="1:3" x14ac:dyDescent="0.3">
      <c r="A62" t="s">
        <v>57</v>
      </c>
      <c r="B62" s="7">
        <f>B61+C62</f>
        <v>1</v>
      </c>
      <c r="C62" s="7">
        <v>0.2</v>
      </c>
    </row>
    <row r="63" spans="1:3" x14ac:dyDescent="0.3">
      <c r="B63" s="7"/>
      <c r="C63" s="7">
        <f>SUM(C60:C62)</f>
        <v>1</v>
      </c>
    </row>
    <row r="64" spans="1:3" x14ac:dyDescent="0.3">
      <c r="B64" s="7"/>
    </row>
    <row r="67" spans="1:3" x14ac:dyDescent="0.3">
      <c r="A67" s="5" t="s">
        <v>51</v>
      </c>
      <c r="B67" s="5" t="str">
        <f>VLOOKUP(A67,ACTA,2,0)</f>
        <v>CRITERIO4</v>
      </c>
    </row>
    <row r="68" spans="1:3" x14ac:dyDescent="0.3">
      <c r="A68" t="s">
        <v>170</v>
      </c>
      <c r="B68" s="7">
        <f>C68</f>
        <v>0.15</v>
      </c>
      <c r="C68" s="7">
        <v>0.15</v>
      </c>
    </row>
    <row r="69" spans="1:3" x14ac:dyDescent="0.3">
      <c r="A69" t="s">
        <v>171</v>
      </c>
      <c r="B69" s="7">
        <f>B68+C69</f>
        <v>0.3</v>
      </c>
      <c r="C69" s="7">
        <v>0.15</v>
      </c>
    </row>
    <row r="70" spans="1:3" x14ac:dyDescent="0.3">
      <c r="A70" t="s">
        <v>101</v>
      </c>
      <c r="B70" s="7">
        <f t="shared" ref="B70:B76" si="1">B69+C70</f>
        <v>0.31</v>
      </c>
      <c r="C70" s="7">
        <v>0.01</v>
      </c>
    </row>
    <row r="71" spans="1:3" x14ac:dyDescent="0.3">
      <c r="A71" t="s">
        <v>172</v>
      </c>
      <c r="B71" s="7">
        <f t="shared" si="1"/>
        <v>0.49</v>
      </c>
      <c r="C71" s="7">
        <v>0.18</v>
      </c>
    </row>
    <row r="72" spans="1:3" x14ac:dyDescent="0.3">
      <c r="A72" t="s">
        <v>105</v>
      </c>
      <c r="B72" s="7">
        <f t="shared" si="1"/>
        <v>0.66999999999999993</v>
      </c>
      <c r="C72" s="7">
        <v>0.18</v>
      </c>
    </row>
    <row r="73" spans="1:3" x14ac:dyDescent="0.3">
      <c r="A73" t="s">
        <v>173</v>
      </c>
      <c r="B73" s="7">
        <f t="shared" si="1"/>
        <v>0.84999999999999987</v>
      </c>
      <c r="C73" s="7">
        <v>0.18</v>
      </c>
    </row>
    <row r="74" spans="1:3" x14ac:dyDescent="0.3">
      <c r="A74" t="s">
        <v>174</v>
      </c>
      <c r="B74" s="7">
        <f t="shared" si="1"/>
        <v>0.93999999999999984</v>
      </c>
      <c r="C74" s="7">
        <v>0.09</v>
      </c>
    </row>
    <row r="75" spans="1:3" x14ac:dyDescent="0.3">
      <c r="A75" t="s">
        <v>175</v>
      </c>
      <c r="B75" s="7">
        <f t="shared" si="1"/>
        <v>0.94999999999999984</v>
      </c>
      <c r="C75" s="7">
        <v>0.01</v>
      </c>
    </row>
    <row r="76" spans="1:3" x14ac:dyDescent="0.3">
      <c r="A76" t="s">
        <v>176</v>
      </c>
      <c r="B76" s="7">
        <f t="shared" si="1"/>
        <v>0.99999999999999989</v>
      </c>
      <c r="C76" s="7">
        <v>0.05</v>
      </c>
    </row>
    <row r="77" spans="1:3" x14ac:dyDescent="0.3">
      <c r="B77" s="7"/>
      <c r="C77" s="7">
        <f>SUM(C68:C76)</f>
        <v>0.99999999999999989</v>
      </c>
    </row>
    <row r="78" spans="1:3" x14ac:dyDescent="0.3">
      <c r="B78" s="7"/>
    </row>
    <row r="81" spans="1:3" x14ac:dyDescent="0.3">
      <c r="A81" s="5" t="s">
        <v>44</v>
      </c>
      <c r="B81" s="5" t="str">
        <f>VLOOKUP(A81,ACTA,2,0)</f>
        <v>CRITERIO5</v>
      </c>
    </row>
    <row r="82" spans="1:3" x14ac:dyDescent="0.3">
      <c r="A82" t="s">
        <v>170</v>
      </c>
      <c r="B82" s="7">
        <f>C82</f>
        <v>0.15</v>
      </c>
      <c r="C82" s="7">
        <v>0.15</v>
      </c>
    </row>
    <row r="83" spans="1:3" x14ac:dyDescent="0.3">
      <c r="A83" t="s">
        <v>178</v>
      </c>
      <c r="B83" s="7">
        <f>B82+C83</f>
        <v>0.3</v>
      </c>
      <c r="C83" s="7">
        <v>0.15</v>
      </c>
    </row>
    <row r="84" spans="1:3" x14ac:dyDescent="0.3">
      <c r="A84" t="s">
        <v>101</v>
      </c>
      <c r="B84" s="7">
        <f t="shared" ref="B84:B90" si="2">B83+C84</f>
        <v>0.31</v>
      </c>
      <c r="C84" s="7">
        <v>0.01</v>
      </c>
    </row>
    <row r="85" spans="1:3" x14ac:dyDescent="0.3">
      <c r="A85" t="s">
        <v>172</v>
      </c>
      <c r="B85" s="7">
        <f t="shared" si="2"/>
        <v>0.49</v>
      </c>
      <c r="C85" s="7">
        <v>0.18</v>
      </c>
    </row>
    <row r="86" spans="1:3" x14ac:dyDescent="0.3">
      <c r="A86" t="s">
        <v>105</v>
      </c>
      <c r="B86" s="7">
        <f t="shared" si="2"/>
        <v>0.66999999999999993</v>
      </c>
      <c r="C86" s="7">
        <v>0.18</v>
      </c>
    </row>
    <row r="87" spans="1:3" x14ac:dyDescent="0.3">
      <c r="A87" t="s">
        <v>173</v>
      </c>
      <c r="B87" s="7">
        <f t="shared" si="2"/>
        <v>0.84999999999999987</v>
      </c>
      <c r="C87" s="7">
        <v>0.18</v>
      </c>
    </row>
    <row r="88" spans="1:3" x14ac:dyDescent="0.3">
      <c r="A88" t="s">
        <v>174</v>
      </c>
      <c r="B88" s="7">
        <f t="shared" si="2"/>
        <v>0.93999999999999984</v>
      </c>
      <c r="C88" s="7">
        <v>0.09</v>
      </c>
    </row>
    <row r="89" spans="1:3" x14ac:dyDescent="0.3">
      <c r="A89" t="s">
        <v>175</v>
      </c>
      <c r="B89" s="7">
        <f t="shared" si="2"/>
        <v>0.94999999999999984</v>
      </c>
      <c r="C89" s="7">
        <v>0.01</v>
      </c>
    </row>
    <row r="90" spans="1:3" x14ac:dyDescent="0.3">
      <c r="A90" t="s">
        <v>176</v>
      </c>
      <c r="B90" s="7">
        <f t="shared" si="2"/>
        <v>0.99999999999999989</v>
      </c>
      <c r="C90" s="7">
        <v>0.05</v>
      </c>
    </row>
    <row r="91" spans="1:3" x14ac:dyDescent="0.3">
      <c r="B91" s="7"/>
      <c r="C91" s="7">
        <f>SUM(C82:C90)</f>
        <v>0.99999999999999989</v>
      </c>
    </row>
    <row r="92" spans="1:3" x14ac:dyDescent="0.3">
      <c r="B92" s="7"/>
    </row>
    <row r="95" spans="1:3" x14ac:dyDescent="0.3">
      <c r="A95" s="5" t="s">
        <v>43</v>
      </c>
      <c r="B95" s="5" t="str">
        <f>VLOOKUP(A95,ACTA,2,0)</f>
        <v>CRITERIO6</v>
      </c>
    </row>
    <row r="96" spans="1:3" x14ac:dyDescent="0.3">
      <c r="A96" s="25" t="s">
        <v>179</v>
      </c>
      <c r="B96" s="7">
        <f>C96</f>
        <v>0.15</v>
      </c>
      <c r="C96" s="7">
        <v>0.15</v>
      </c>
    </row>
    <row r="97" spans="1:3" x14ac:dyDescent="0.3">
      <c r="A97" s="25" t="s">
        <v>180</v>
      </c>
      <c r="B97" s="7">
        <f>B96+C97</f>
        <v>0.3</v>
      </c>
      <c r="C97" s="7">
        <v>0.15</v>
      </c>
    </row>
    <row r="98" spans="1:3" x14ac:dyDescent="0.3">
      <c r="A98" s="25" t="s">
        <v>101</v>
      </c>
      <c r="B98" s="7">
        <f t="shared" ref="B98:B103" si="3">B97+C98</f>
        <v>0.31</v>
      </c>
      <c r="C98" s="7">
        <v>0.01</v>
      </c>
    </row>
    <row r="99" spans="1:3" x14ac:dyDescent="0.3">
      <c r="A99" s="25" t="s">
        <v>58</v>
      </c>
      <c r="B99" s="7">
        <f t="shared" si="3"/>
        <v>0.56000000000000005</v>
      </c>
      <c r="C99" s="7">
        <v>0.25</v>
      </c>
    </row>
    <row r="100" spans="1:3" x14ac:dyDescent="0.3">
      <c r="A100" s="25" t="s">
        <v>181</v>
      </c>
      <c r="B100" s="7">
        <f t="shared" si="3"/>
        <v>0.81</v>
      </c>
      <c r="C100" s="7">
        <v>0.25</v>
      </c>
    </row>
    <row r="101" spans="1:3" x14ac:dyDescent="0.3">
      <c r="A101" s="25" t="s">
        <v>174</v>
      </c>
      <c r="B101" s="7">
        <f t="shared" si="3"/>
        <v>0.9</v>
      </c>
      <c r="C101" s="7">
        <v>0.09</v>
      </c>
    </row>
    <row r="102" spans="1:3" x14ac:dyDescent="0.3">
      <c r="A102" s="25" t="s">
        <v>175</v>
      </c>
      <c r="B102" s="7">
        <f t="shared" si="3"/>
        <v>0.91</v>
      </c>
      <c r="C102" s="7">
        <v>0.01</v>
      </c>
    </row>
    <row r="103" spans="1:3" x14ac:dyDescent="0.3">
      <c r="A103" s="25" t="s">
        <v>182</v>
      </c>
      <c r="B103" s="7">
        <f t="shared" si="3"/>
        <v>1</v>
      </c>
      <c r="C103" s="7">
        <v>0.09</v>
      </c>
    </row>
    <row r="104" spans="1:3" x14ac:dyDescent="0.3">
      <c r="A104" s="25"/>
      <c r="B104" s="7"/>
      <c r="C104" s="7">
        <f>SUM(C96:C103)</f>
        <v>1</v>
      </c>
    </row>
    <row r="105" spans="1:3" x14ac:dyDescent="0.3">
      <c r="A105" s="25"/>
      <c r="B105" s="7"/>
    </row>
    <row r="108" spans="1:3" x14ac:dyDescent="0.3">
      <c r="A108" s="5" t="s">
        <v>46</v>
      </c>
      <c r="B108" s="5" t="str">
        <f>VLOOKUP(A108,ACTA,2,0)</f>
        <v>CRITERIO7</v>
      </c>
    </row>
    <row r="109" spans="1:3" x14ac:dyDescent="0.3">
      <c r="A109" t="s">
        <v>149</v>
      </c>
      <c r="B109" s="7">
        <f>C109</f>
        <v>0.1</v>
      </c>
      <c r="C109" s="7">
        <v>0.1</v>
      </c>
    </row>
    <row r="110" spans="1:3" x14ac:dyDescent="0.3">
      <c r="A110" t="s">
        <v>150</v>
      </c>
      <c r="B110" s="7">
        <f>B109+C110</f>
        <v>0.5</v>
      </c>
      <c r="C110" s="7">
        <v>0.4</v>
      </c>
    </row>
    <row r="111" spans="1:3" x14ac:dyDescent="0.3">
      <c r="A111" t="s">
        <v>151</v>
      </c>
      <c r="B111" s="7">
        <f>B110+C111</f>
        <v>0.8</v>
      </c>
      <c r="C111" s="7">
        <v>0.3</v>
      </c>
    </row>
    <row r="112" spans="1:3" x14ac:dyDescent="0.3">
      <c r="A112" t="s">
        <v>152</v>
      </c>
      <c r="B112" s="7">
        <f>B111+C112</f>
        <v>1</v>
      </c>
      <c r="C112" s="7">
        <v>0.2</v>
      </c>
    </row>
    <row r="113" spans="1:3" x14ac:dyDescent="0.3">
      <c r="B113" s="7"/>
      <c r="C113" s="7">
        <f>SUM(C109:C112)</f>
        <v>1</v>
      </c>
    </row>
    <row r="114" spans="1:3" x14ac:dyDescent="0.3">
      <c r="B114" s="7"/>
    </row>
    <row r="115" spans="1:3" x14ac:dyDescent="0.3">
      <c r="B115" s="7"/>
    </row>
    <row r="117" spans="1:3" x14ac:dyDescent="0.3">
      <c r="A117" s="5" t="s">
        <v>47</v>
      </c>
      <c r="B117" s="5" t="str">
        <f>VLOOKUP(A117,ACTA,2,0)</f>
        <v>CRITERIO8</v>
      </c>
    </row>
    <row r="118" spans="1:3" x14ac:dyDescent="0.3">
      <c r="A118" t="s">
        <v>170</v>
      </c>
      <c r="B118" s="7">
        <f>C118</f>
        <v>0.15</v>
      </c>
      <c r="C118" s="7">
        <v>0.15</v>
      </c>
    </row>
    <row r="119" spans="1:3" x14ac:dyDescent="0.3">
      <c r="A119" t="s">
        <v>183</v>
      </c>
      <c r="B119" s="7">
        <f>B118+C119</f>
        <v>0.3</v>
      </c>
      <c r="C119" s="7">
        <v>0.15</v>
      </c>
    </row>
    <row r="120" spans="1:3" x14ac:dyDescent="0.3">
      <c r="A120" t="s">
        <v>101</v>
      </c>
      <c r="B120" s="7">
        <f t="shared" ref="B120:B126" si="4">B119+C120</f>
        <v>0.31</v>
      </c>
      <c r="C120" s="7">
        <v>0.01</v>
      </c>
    </row>
    <row r="121" spans="1:3" x14ac:dyDescent="0.3">
      <c r="A121" t="s">
        <v>172</v>
      </c>
      <c r="B121" s="7">
        <f t="shared" si="4"/>
        <v>0.49</v>
      </c>
      <c r="C121" s="7">
        <v>0.18</v>
      </c>
    </row>
    <row r="122" spans="1:3" x14ac:dyDescent="0.3">
      <c r="A122" t="s">
        <v>105</v>
      </c>
      <c r="B122" s="7">
        <f t="shared" si="4"/>
        <v>0.66999999999999993</v>
      </c>
      <c r="C122" s="7">
        <v>0.18</v>
      </c>
    </row>
    <row r="123" spans="1:3" x14ac:dyDescent="0.3">
      <c r="A123" t="s">
        <v>173</v>
      </c>
      <c r="B123" s="7">
        <f t="shared" si="4"/>
        <v>0.84999999999999987</v>
      </c>
      <c r="C123" s="7">
        <v>0.18</v>
      </c>
    </row>
    <row r="124" spans="1:3" x14ac:dyDescent="0.3">
      <c r="A124" t="s">
        <v>174</v>
      </c>
      <c r="B124" s="7">
        <f t="shared" si="4"/>
        <v>0.93999999999999984</v>
      </c>
      <c r="C124" s="7">
        <v>0.09</v>
      </c>
    </row>
    <row r="125" spans="1:3" x14ac:dyDescent="0.3">
      <c r="A125" t="s">
        <v>175</v>
      </c>
      <c r="B125" s="7">
        <f t="shared" si="4"/>
        <v>0.94999999999999984</v>
      </c>
      <c r="C125" s="7">
        <v>0.01</v>
      </c>
    </row>
    <row r="126" spans="1:3" x14ac:dyDescent="0.3">
      <c r="A126" t="s">
        <v>176</v>
      </c>
      <c r="B126" s="7">
        <f t="shared" si="4"/>
        <v>0.99999999999999989</v>
      </c>
      <c r="C126" s="7">
        <v>0.05</v>
      </c>
    </row>
    <row r="127" spans="1:3" x14ac:dyDescent="0.3">
      <c r="B127" s="7"/>
      <c r="C127" s="7">
        <f>SUM(C118:C126)</f>
        <v>0.99999999999999989</v>
      </c>
    </row>
    <row r="128" spans="1:3" x14ac:dyDescent="0.3">
      <c r="B128" s="7"/>
    </row>
    <row r="138" spans="1:3" x14ac:dyDescent="0.3">
      <c r="A138" s="8" t="s">
        <v>70</v>
      </c>
      <c r="B138" s="8" t="s">
        <v>71</v>
      </c>
      <c r="C138" s="8" t="s">
        <v>72</v>
      </c>
    </row>
    <row r="139" spans="1:3" ht="22.5" customHeight="1" x14ac:dyDescent="0.3">
      <c r="A139" s="21" t="s">
        <v>73</v>
      </c>
      <c r="B139" s="21" t="s">
        <v>126</v>
      </c>
      <c r="C139" s="21" t="s">
        <v>74</v>
      </c>
    </row>
    <row r="140" spans="1:3" ht="22.5" customHeight="1" x14ac:dyDescent="0.3">
      <c r="A140" s="21" t="s">
        <v>127</v>
      </c>
      <c r="B140" s="21" t="s">
        <v>75</v>
      </c>
      <c r="C140" s="21" t="s">
        <v>128</v>
      </c>
    </row>
    <row r="141" spans="1:3" ht="22.5" customHeight="1" x14ac:dyDescent="0.3">
      <c r="A141" s="21" t="s">
        <v>129</v>
      </c>
      <c r="B141" s="21" t="s">
        <v>131</v>
      </c>
      <c r="C141" s="21" t="s">
        <v>130</v>
      </c>
    </row>
    <row r="142" spans="1:3" ht="22.5" customHeight="1" x14ac:dyDescent="0.3">
      <c r="A142" s="21" t="s">
        <v>76</v>
      </c>
      <c r="B142" s="21" t="s">
        <v>77</v>
      </c>
      <c r="C142" s="21" t="s">
        <v>78</v>
      </c>
    </row>
    <row r="143" spans="1:3" ht="22.5" customHeight="1" x14ac:dyDescent="0.3">
      <c r="A143" s="21" t="s">
        <v>79</v>
      </c>
      <c r="B143" s="21" t="s">
        <v>133</v>
      </c>
      <c r="C143" s="21" t="s">
        <v>132</v>
      </c>
    </row>
    <row r="144" spans="1:3" ht="22.5" customHeight="1" x14ac:dyDescent="0.3">
      <c r="A144" s="9" t="s">
        <v>80</v>
      </c>
      <c r="B144" s="10" t="s">
        <v>135</v>
      </c>
      <c r="C144" s="11" t="s">
        <v>134</v>
      </c>
    </row>
    <row r="145" spans="1:3" ht="22.5" customHeight="1" x14ac:dyDescent="0.3">
      <c r="A145" s="9" t="s">
        <v>81</v>
      </c>
      <c r="B145" s="10" t="s">
        <v>137</v>
      </c>
      <c r="C145" s="11" t="s">
        <v>136</v>
      </c>
    </row>
    <row r="146" spans="1:3" ht="22.5" customHeight="1" x14ac:dyDescent="0.3">
      <c r="A146" s="9" t="s">
        <v>82</v>
      </c>
      <c r="B146" s="10" t="s">
        <v>139</v>
      </c>
      <c r="C146" s="11" t="s">
        <v>138</v>
      </c>
    </row>
    <row r="147" spans="1:3" ht="22.5" customHeight="1" x14ac:dyDescent="0.3">
      <c r="A147" s="9" t="s">
        <v>83</v>
      </c>
      <c r="B147" s="10" t="s">
        <v>84</v>
      </c>
      <c r="C147" s="11" t="s">
        <v>85</v>
      </c>
    </row>
    <row r="148" spans="1:3" ht="22.5" customHeight="1" x14ac:dyDescent="0.3">
      <c r="A148" s="9" t="s">
        <v>140</v>
      </c>
      <c r="B148" s="12" t="s">
        <v>184</v>
      </c>
      <c r="C148" s="11" t="s">
        <v>86</v>
      </c>
    </row>
    <row r="149" spans="1:3" ht="22.5" customHeight="1" x14ac:dyDescent="0.3">
      <c r="A149" s="13" t="s">
        <v>87</v>
      </c>
      <c r="B149" s="14" t="s">
        <v>77</v>
      </c>
      <c r="C149" s="14" t="s">
        <v>78</v>
      </c>
    </row>
    <row r="150" spans="1:3" ht="22.5" customHeight="1" x14ac:dyDescent="0.3">
      <c r="A150" s="13" t="s">
        <v>88</v>
      </c>
      <c r="B150" s="15" t="s">
        <v>77</v>
      </c>
      <c r="C150" s="14" t="s">
        <v>78</v>
      </c>
    </row>
    <row r="151" spans="1:3" ht="22.5" customHeight="1" x14ac:dyDescent="0.3">
      <c r="A151" s="13" t="s">
        <v>89</v>
      </c>
      <c r="B151" s="16" t="s">
        <v>143</v>
      </c>
      <c r="C151" s="14" t="s">
        <v>142</v>
      </c>
    </row>
    <row r="152" spans="1:3" ht="22.5" customHeight="1" x14ac:dyDescent="0.3">
      <c r="A152" s="13" t="s">
        <v>141</v>
      </c>
      <c r="B152" s="14" t="s">
        <v>184</v>
      </c>
      <c r="C152" s="14" t="s">
        <v>86</v>
      </c>
    </row>
    <row r="153" spans="1:3" ht="22.5" customHeight="1" x14ac:dyDescent="0.3">
      <c r="A153" s="17" t="s">
        <v>90</v>
      </c>
      <c r="B153" s="18" t="s">
        <v>145</v>
      </c>
      <c r="C153" s="19" t="s">
        <v>144</v>
      </c>
    </row>
    <row r="154" spans="1:3" ht="22.5" customHeight="1" x14ac:dyDescent="0.3">
      <c r="A154" s="17" t="s">
        <v>91</v>
      </c>
      <c r="B154" s="20" t="s">
        <v>184</v>
      </c>
      <c r="C154" s="19" t="s">
        <v>86</v>
      </c>
    </row>
    <row r="155" spans="1:3" ht="22.5" customHeight="1" x14ac:dyDescent="0.3">
      <c r="A155" s="13" t="s">
        <v>98</v>
      </c>
      <c r="B155" s="13" t="s">
        <v>99</v>
      </c>
      <c r="C155" s="13"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Dinámicas</vt:lpstr>
      <vt:lpstr>PAA 2021 Versión 2</vt:lpstr>
      <vt:lpstr>Para seg PI 7696 - Indicador</vt:lpstr>
      <vt:lpstr>PARA PRESENTACIÓN</vt:lpstr>
      <vt:lpstr>Listas Desplegables</vt:lpstr>
      <vt:lpstr>ACT</vt:lpstr>
      <vt:lpstr>ACTA</vt:lpstr>
      <vt:lpstr>'PAA 2021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2020-08-27T19:31:24Z</cp:lastPrinted>
  <dcterms:created xsi:type="dcterms:W3CDTF">2018-02-07T23:53:02Z</dcterms:created>
  <dcterms:modified xsi:type="dcterms:W3CDTF">2021-03-12T16:51:07Z</dcterms:modified>
</cp:coreProperties>
</file>