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control interno\2021\28.03 PAA\"/>
    </mc:Choice>
  </mc:AlternateContent>
  <bookViews>
    <workbookView xWindow="0" yWindow="0" windowWidth="28800" windowHeight="11730" tabRatio="676" activeTab="2"/>
  </bookViews>
  <sheets>
    <sheet name="Dinámicas" sheetId="3" r:id="rId1"/>
    <sheet name="Hoja1" sheetId="12" state="hidden" r:id="rId2"/>
    <sheet name="PAA 2021 Versión 3" sheetId="1" r:id="rId3"/>
    <sheet name="Para seg PI 7696 - Indicador" sheetId="10" r:id="rId4"/>
    <sheet name="Listas Desplegables" sheetId="2" state="hidden" r:id="rId5"/>
  </sheets>
  <definedNames>
    <definedName name="_xlnm._FilterDatabase" localSheetId="2" hidden="1">'PAA 2021 Versión 3'!$A$18:$AJ$227</definedName>
    <definedName name="ACT" localSheetId="3">#REF!</definedName>
    <definedName name="ACT">'Listas Desplegables'!$A$4:$A$12</definedName>
    <definedName name="ACTA" localSheetId="3">#REF!</definedName>
    <definedName name="ACTA">'Listas Desplegables'!$A$4:$B$12</definedName>
    <definedName name="_xlnm.Print_Area" localSheetId="2">'PAA 2021 Versión 3'!$A$1:$AC$235</definedName>
    <definedName name="CRITERIO1">'Listas Desplegables'!$A$34:$A$48</definedName>
    <definedName name="CRITERIO1A">'Listas Desplegables'!$A$34:$B$48</definedName>
    <definedName name="CRITERIO2">'Listas Desplegables'!$A$51:$A$56</definedName>
    <definedName name="CRITERIO2A">'Listas Desplegables'!$A$51:$B$56</definedName>
    <definedName name="CRITERIO3">'Listas Desplegables'!$A$60:$A$64</definedName>
    <definedName name="CRITERIO3A">'Listas Desplegables'!$A$60:$B$64</definedName>
    <definedName name="CRITERIO4">'Listas Desplegables'!$A$68:$A$77</definedName>
    <definedName name="CRITERIO4A">'Listas Desplegables'!$A$68:$B$77</definedName>
    <definedName name="CRITERIO5">'Listas Desplegables'!$A$82:$A$92</definedName>
    <definedName name="CRITERIO5A">'Listas Desplegables'!$A$82:$B$92</definedName>
    <definedName name="CRITERIO6">'Listas Desplegables'!$A$96:$A$105</definedName>
    <definedName name="CRITERIO6A">'Listas Desplegables'!$A$96:$B$105</definedName>
    <definedName name="CRITERIO7">'Listas Desplegables'!$A$109:$A$114</definedName>
    <definedName name="CRITERIO7A">'Listas Desplegables'!$A$109:$B$114</definedName>
    <definedName name="CRITERIO8">'Listas Desplegables'!$A$118:$A$130</definedName>
    <definedName name="CRITERIO8A">'Listas Desplegables'!$A$118:$B$130</definedName>
    <definedName name="LIDER" localSheetId="3">#REF!</definedName>
    <definedName name="LIDER">'Listas Desplegables'!$A$15:$A$16</definedName>
    <definedName name="PROCESO" localSheetId="3">#REF!</definedName>
    <definedName name="PROCESO">'Listas Desplegables'!$A$139:$A$157</definedName>
    <definedName name="PROCESO2" localSheetId="3">#REF!</definedName>
    <definedName name="PROCESO2">'Listas Desplegables'!$A$139:$C$157</definedName>
    <definedName name="PROF" localSheetId="3">#REF!</definedName>
    <definedName name="PROF">'Listas Desplegables'!$A$19:$A$27</definedName>
    <definedName name="PROFA" localSheetId="3">#REF!</definedName>
    <definedName name="PROFA">'Listas Desplegables'!$A$19:$B$27</definedName>
    <definedName name="_xlnm.Print_Titles" localSheetId="2">'PAA 2021 Versión 3'!$17:$18</definedName>
  </definedNames>
  <calcPr calcId="162913"/>
  <pivotCaches>
    <pivotCache cacheId="18" r:id="rId6"/>
  </pivotCaches>
</workbook>
</file>

<file path=xl/calcChain.xml><?xml version="1.0" encoding="utf-8"?>
<calcChain xmlns="http://schemas.openxmlformats.org/spreadsheetml/2006/main">
  <c r="Q29" i="10" l="1"/>
  <c r="Q24" i="10"/>
  <c r="Q5" i="10" l="1"/>
  <c r="Q6" i="10" s="1"/>
  <c r="Q7" i="10" s="1"/>
  <c r="Q8" i="10" s="1"/>
  <c r="Q9" i="10" s="1"/>
  <c r="Q10" i="10" s="1"/>
  <c r="Q11" i="10" s="1"/>
  <c r="Q12" i="10" s="1"/>
  <c r="Q13" i="10" s="1"/>
  <c r="Q14" i="10" s="1"/>
  <c r="Q3" i="10"/>
  <c r="Q4" i="10" s="1"/>
  <c r="O36" i="10"/>
  <c r="O25" i="10"/>
  <c r="O26" i="10"/>
  <c r="O27" i="10"/>
  <c r="O28" i="10"/>
  <c r="O29" i="10"/>
  <c r="O30" i="10"/>
  <c r="O31" i="10"/>
  <c r="O32" i="10"/>
  <c r="O33" i="10"/>
  <c r="O34" i="10"/>
  <c r="O35" i="10"/>
  <c r="O24" i="10"/>
  <c r="N36" i="10"/>
  <c r="Q28" i="10"/>
  <c r="Q27" i="10"/>
  <c r="Q26" i="10"/>
  <c r="Q25" i="10"/>
  <c r="P24" i="10"/>
  <c r="P25" i="10" s="1"/>
  <c r="P26" i="10" s="1"/>
  <c r="P27" i="10" s="1"/>
  <c r="P28" i="10" s="1"/>
  <c r="P29" i="10" s="1"/>
  <c r="P15" i="10"/>
  <c r="P30" i="10" l="1"/>
  <c r="P31" i="10" s="1"/>
  <c r="P32" i="10" s="1"/>
  <c r="P33" i="10" s="1"/>
  <c r="P34" i="10" s="1"/>
  <c r="P35" i="10" s="1"/>
  <c r="G227" i="1" l="1"/>
  <c r="AF153" i="1" l="1"/>
  <c r="AE153" i="1"/>
  <c r="AD153" i="1"/>
  <c r="G153" i="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9" i="1"/>
  <c r="AE189" i="1"/>
  <c r="AD189" i="1"/>
  <c r="AF188" i="1"/>
  <c r="AE188" i="1"/>
  <c r="AD188" i="1"/>
  <c r="AF187" i="1"/>
  <c r="AE187" i="1"/>
  <c r="AD187" i="1"/>
  <c r="AF186" i="1"/>
  <c r="AE186" i="1"/>
  <c r="AD186"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8" i="1"/>
  <c r="AE168" i="1"/>
  <c r="AD168" i="1"/>
  <c r="AF167" i="1"/>
  <c r="AE167" i="1"/>
  <c r="AD167" i="1"/>
  <c r="AF166" i="1"/>
  <c r="AE166" i="1"/>
  <c r="AD166" i="1"/>
  <c r="AF165" i="1"/>
  <c r="AE165" i="1"/>
  <c r="AD165" i="1"/>
  <c r="AF164" i="1"/>
  <c r="AE164" i="1"/>
  <c r="AD164" i="1"/>
  <c r="AF163" i="1"/>
  <c r="AE163" i="1"/>
  <c r="AD163" i="1"/>
  <c r="AF162" i="1"/>
  <c r="AE162" i="1"/>
  <c r="AD162" i="1"/>
  <c r="AF161" i="1"/>
  <c r="AE161" i="1"/>
  <c r="AD161" i="1"/>
  <c r="AF160" i="1"/>
  <c r="AE160" i="1"/>
  <c r="AD160" i="1"/>
  <c r="AF159" i="1"/>
  <c r="AE159" i="1"/>
  <c r="AD159" i="1"/>
  <c r="AF158" i="1"/>
  <c r="AE158" i="1"/>
  <c r="AD158" i="1"/>
  <c r="AF157" i="1"/>
  <c r="AE157" i="1"/>
  <c r="AD157" i="1"/>
  <c r="AF156" i="1"/>
  <c r="AE156" i="1"/>
  <c r="AD156" i="1"/>
  <c r="AF155" i="1"/>
  <c r="AE155" i="1"/>
  <c r="AD155" i="1"/>
  <c r="AF154" i="1"/>
  <c r="AE154" i="1"/>
  <c r="AD154" i="1"/>
  <c r="AF152" i="1"/>
  <c r="AE152" i="1"/>
  <c r="AD152" i="1"/>
  <c r="AF151" i="1"/>
  <c r="AE151" i="1"/>
  <c r="AD151" i="1"/>
  <c r="AF150" i="1"/>
  <c r="AE150" i="1"/>
  <c r="AD150" i="1"/>
  <c r="AF149" i="1"/>
  <c r="AE149" i="1"/>
  <c r="AD149" i="1"/>
  <c r="AF148" i="1"/>
  <c r="AE148" i="1"/>
  <c r="AD148" i="1"/>
  <c r="AF147" i="1"/>
  <c r="AE147" i="1"/>
  <c r="AD147" i="1"/>
  <c r="AF146" i="1"/>
  <c r="AE146" i="1"/>
  <c r="AD146" i="1"/>
  <c r="AF145" i="1"/>
  <c r="AE145" i="1"/>
  <c r="AD145" i="1"/>
  <c r="AF144" i="1"/>
  <c r="AE144" i="1"/>
  <c r="AD144" i="1"/>
  <c r="AF143" i="1"/>
  <c r="AE143" i="1"/>
  <c r="AD143" i="1"/>
  <c r="AF142" i="1"/>
  <c r="AE142" i="1"/>
  <c r="AD142" i="1"/>
  <c r="AF141" i="1"/>
  <c r="AE141" i="1"/>
  <c r="AD141" i="1"/>
  <c r="AF140" i="1"/>
  <c r="AE140" i="1"/>
  <c r="AD140" i="1"/>
  <c r="AF139" i="1"/>
  <c r="AE139" i="1"/>
  <c r="AD139" i="1"/>
  <c r="AF138" i="1"/>
  <c r="AE138" i="1"/>
  <c r="AD138" i="1"/>
  <c r="AF137" i="1"/>
  <c r="AE137" i="1"/>
  <c r="AD137" i="1"/>
  <c r="AF136" i="1"/>
  <c r="AE136" i="1"/>
  <c r="AD136" i="1"/>
  <c r="AF135" i="1"/>
  <c r="AE135" i="1"/>
  <c r="AD135" i="1"/>
  <c r="AF134" i="1"/>
  <c r="AE134" i="1"/>
  <c r="AD134" i="1"/>
  <c r="AF133" i="1"/>
  <c r="AE133" i="1"/>
  <c r="AD133" i="1"/>
  <c r="AF132" i="1"/>
  <c r="AE132" i="1"/>
  <c r="AD132" i="1"/>
  <c r="AF131" i="1"/>
  <c r="AE131" i="1"/>
  <c r="AD131" i="1"/>
  <c r="AF130" i="1"/>
  <c r="AE130" i="1"/>
  <c r="AD130" i="1"/>
  <c r="AF128" i="1"/>
  <c r="AE128" i="1"/>
  <c r="AD128" i="1"/>
  <c r="AF126" i="1"/>
  <c r="AE126" i="1"/>
  <c r="AD126" i="1"/>
  <c r="AF121" i="1"/>
  <c r="AE121" i="1"/>
  <c r="AD121" i="1"/>
  <c r="AF120" i="1"/>
  <c r="AE120" i="1"/>
  <c r="AD120" i="1"/>
  <c r="AF119" i="1"/>
  <c r="AE119" i="1"/>
  <c r="AD119" i="1"/>
  <c r="AF118" i="1"/>
  <c r="AE118" i="1"/>
  <c r="AD118" i="1"/>
  <c r="AF117" i="1"/>
  <c r="AE117" i="1"/>
  <c r="AD117" i="1"/>
  <c r="AF108" i="1"/>
  <c r="AE108" i="1"/>
  <c r="AD108" i="1"/>
  <c r="AF101" i="1"/>
  <c r="AE101" i="1"/>
  <c r="AD101" i="1"/>
  <c r="AF97" i="1"/>
  <c r="AE97" i="1"/>
  <c r="AD97" i="1"/>
  <c r="AF94" i="1"/>
  <c r="AE94" i="1"/>
  <c r="AD94" i="1"/>
  <c r="AF93" i="1"/>
  <c r="AE93" i="1"/>
  <c r="AD93" i="1"/>
  <c r="AF92" i="1"/>
  <c r="AE92" i="1"/>
  <c r="AD92" i="1"/>
  <c r="AF87" i="1"/>
  <c r="AE87" i="1"/>
  <c r="AD87" i="1"/>
  <c r="AF86" i="1"/>
  <c r="AE86" i="1"/>
  <c r="AD86" i="1"/>
  <c r="AF80" i="1"/>
  <c r="AE80" i="1"/>
  <c r="AD80" i="1"/>
  <c r="AF66" i="1"/>
  <c r="AE66" i="1"/>
  <c r="AD66" i="1"/>
  <c r="AF65" i="1"/>
  <c r="AE65" i="1"/>
  <c r="AD65"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B227" i="1"/>
  <c r="AB153" i="1"/>
  <c r="AG80" i="1" l="1"/>
  <c r="AH80" i="1" s="1"/>
  <c r="AG137" i="1"/>
  <c r="AH137" i="1" s="1"/>
  <c r="AG145" i="1"/>
  <c r="AH145" i="1" s="1"/>
  <c r="AG154" i="1"/>
  <c r="AH154" i="1" s="1"/>
  <c r="AG162" i="1"/>
  <c r="AH162" i="1" s="1"/>
  <c r="AG153" i="1"/>
  <c r="AH153" i="1" s="1"/>
  <c r="AI153" i="1" s="1"/>
  <c r="AC153" i="1"/>
  <c r="AC227" i="1"/>
  <c r="AG170" i="1"/>
  <c r="AH170" i="1" s="1"/>
  <c r="AG178" i="1"/>
  <c r="AH178" i="1" s="1"/>
  <c r="AG186" i="1"/>
  <c r="AH186" i="1" s="1"/>
  <c r="AG194" i="1"/>
  <c r="AH194" i="1" s="1"/>
  <c r="AG202" i="1"/>
  <c r="AH202" i="1" s="1"/>
  <c r="AG93" i="1"/>
  <c r="AH93" i="1" s="1"/>
  <c r="AG155" i="1"/>
  <c r="AH155" i="1" s="1"/>
  <c r="AG199" i="1"/>
  <c r="AH199" i="1" s="1"/>
  <c r="AG175" i="1"/>
  <c r="AH175" i="1" s="1"/>
  <c r="AG159" i="1"/>
  <c r="AH159" i="1" s="1"/>
  <c r="AG183" i="1"/>
  <c r="AH183" i="1" s="1"/>
  <c r="AG134" i="1"/>
  <c r="AH134" i="1" s="1"/>
  <c r="AG142" i="1"/>
  <c r="AH142" i="1" s="1"/>
  <c r="AG150" i="1"/>
  <c r="AH150" i="1" s="1"/>
  <c r="AG167" i="1"/>
  <c r="AH167" i="1" s="1"/>
  <c r="AG191" i="1"/>
  <c r="AH191" i="1" s="1"/>
  <c r="AG97" i="1"/>
  <c r="AH97" i="1" s="1"/>
  <c r="AG140" i="1"/>
  <c r="AH140" i="1" s="1"/>
  <c r="AG148" i="1"/>
  <c r="AH148" i="1" s="1"/>
  <c r="AG157" i="1"/>
  <c r="AH157" i="1" s="1"/>
  <c r="AG165" i="1"/>
  <c r="AH165" i="1" s="1"/>
  <c r="AG173" i="1"/>
  <c r="AH173" i="1" s="1"/>
  <c r="AG181" i="1"/>
  <c r="AH181" i="1" s="1"/>
  <c r="AG189" i="1"/>
  <c r="AH189" i="1" s="1"/>
  <c r="AG197" i="1"/>
  <c r="AH197" i="1" s="1"/>
  <c r="AG146" i="1"/>
  <c r="AH146" i="1" s="1"/>
  <c r="AG130" i="1"/>
  <c r="AH130" i="1" s="1"/>
  <c r="AG138" i="1"/>
  <c r="AH138" i="1" s="1"/>
  <c r="AG39" i="1"/>
  <c r="AH39" i="1" s="1"/>
  <c r="AG65" i="1"/>
  <c r="AH65" i="1" s="1"/>
  <c r="AG35" i="1"/>
  <c r="AH35" i="1" s="1"/>
  <c r="AG139" i="1"/>
  <c r="AH139" i="1" s="1"/>
  <c r="AG147" i="1"/>
  <c r="AH147" i="1" s="1"/>
  <c r="AG156" i="1"/>
  <c r="AH156" i="1" s="1"/>
  <c r="AG164" i="1"/>
  <c r="AH164" i="1" s="1"/>
  <c r="AG172" i="1"/>
  <c r="AH172" i="1" s="1"/>
  <c r="AG180" i="1"/>
  <c r="AH180" i="1" s="1"/>
  <c r="AG188" i="1"/>
  <c r="AH188" i="1" s="1"/>
  <c r="AG196" i="1"/>
  <c r="AH196" i="1" s="1"/>
  <c r="AG204" i="1"/>
  <c r="AH204" i="1" s="1"/>
  <c r="AG126" i="1"/>
  <c r="AH126" i="1" s="1"/>
  <c r="AG135" i="1"/>
  <c r="AH135" i="1" s="1"/>
  <c r="AG143" i="1"/>
  <c r="AH143" i="1" s="1"/>
  <c r="AG151" i="1"/>
  <c r="AH151" i="1" s="1"/>
  <c r="AG160" i="1"/>
  <c r="AH160" i="1" s="1"/>
  <c r="AG168" i="1"/>
  <c r="AH168" i="1" s="1"/>
  <c r="AG176" i="1"/>
  <c r="AH176" i="1" s="1"/>
  <c r="AG184" i="1"/>
  <c r="AH184" i="1" s="1"/>
  <c r="AG192" i="1"/>
  <c r="AH192" i="1" s="1"/>
  <c r="AG200" i="1"/>
  <c r="AH200" i="1" s="1"/>
  <c r="AG163" i="1"/>
  <c r="AH163" i="1" s="1"/>
  <c r="AG171" i="1"/>
  <c r="AH171" i="1" s="1"/>
  <c r="AG179" i="1"/>
  <c r="AH179" i="1" s="1"/>
  <c r="AG187" i="1"/>
  <c r="AH187" i="1" s="1"/>
  <c r="AG195" i="1"/>
  <c r="AH195" i="1" s="1"/>
  <c r="AG203" i="1"/>
  <c r="AH203" i="1" s="1"/>
  <c r="AG86" i="1"/>
  <c r="AH86" i="1" s="1"/>
  <c r="AG33" i="1"/>
  <c r="AH33" i="1" s="1"/>
  <c r="AG37" i="1"/>
  <c r="AH37" i="1" s="1"/>
  <c r="AG128" i="1"/>
  <c r="AH128" i="1" s="1"/>
  <c r="AG38" i="1"/>
  <c r="AH38" i="1" s="1"/>
  <c r="AG40" i="1"/>
  <c r="AH40" i="1" s="1"/>
  <c r="AG94" i="1"/>
  <c r="AH94" i="1" s="1"/>
  <c r="AG101" i="1"/>
  <c r="AH101" i="1" s="1"/>
  <c r="AG108" i="1"/>
  <c r="AH108" i="1" s="1"/>
  <c r="AG118" i="1"/>
  <c r="AH118" i="1" s="1"/>
  <c r="AG121" i="1"/>
  <c r="AH121" i="1" s="1"/>
  <c r="AG131" i="1"/>
  <c r="AH131" i="1" s="1"/>
  <c r="AG136" i="1"/>
  <c r="AH136" i="1" s="1"/>
  <c r="AG144" i="1"/>
  <c r="AH144" i="1" s="1"/>
  <c r="AG152" i="1"/>
  <c r="AH152" i="1" s="1"/>
  <c r="AG161" i="1"/>
  <c r="AH161" i="1" s="1"/>
  <c r="AG169" i="1"/>
  <c r="AH169" i="1" s="1"/>
  <c r="AG177" i="1"/>
  <c r="AH177" i="1" s="1"/>
  <c r="AG185" i="1"/>
  <c r="AH185" i="1" s="1"/>
  <c r="AG193" i="1"/>
  <c r="AH193" i="1" s="1"/>
  <c r="AG201" i="1"/>
  <c r="AH201" i="1" s="1"/>
  <c r="AG34" i="1"/>
  <c r="AH34" i="1" s="1"/>
  <c r="AG92" i="1"/>
  <c r="AH92" i="1" s="1"/>
  <c r="AG41" i="1"/>
  <c r="AH41" i="1" s="1"/>
  <c r="AG87" i="1"/>
  <c r="AH87" i="1" s="1"/>
  <c r="AG119" i="1"/>
  <c r="AH119" i="1" s="1"/>
  <c r="AG132" i="1"/>
  <c r="AH132" i="1" s="1"/>
  <c r="AG36" i="1"/>
  <c r="AH36" i="1" s="1"/>
  <c r="AG66" i="1"/>
  <c r="AH66" i="1" s="1"/>
  <c r="AG117" i="1"/>
  <c r="AH117" i="1" s="1"/>
  <c r="AG120" i="1"/>
  <c r="AH120" i="1" s="1"/>
  <c r="AG133" i="1"/>
  <c r="AH133" i="1" s="1"/>
  <c r="AG141" i="1"/>
  <c r="AH141" i="1" s="1"/>
  <c r="AG149" i="1"/>
  <c r="AH149" i="1" s="1"/>
  <c r="AG158" i="1"/>
  <c r="AH158" i="1" s="1"/>
  <c r="AG166" i="1"/>
  <c r="AH166" i="1" s="1"/>
  <c r="AG174" i="1"/>
  <c r="AH174" i="1" s="1"/>
  <c r="AG182" i="1"/>
  <c r="AH182" i="1" s="1"/>
  <c r="AG190" i="1"/>
  <c r="AH190" i="1" s="1"/>
  <c r="AG198" i="1"/>
  <c r="AH198" i="1" s="1"/>
  <c r="J27" i="10" l="1"/>
  <c r="J28" i="10"/>
  <c r="J26" i="10"/>
  <c r="W228" i="1" l="1"/>
  <c r="AB115" i="1"/>
  <c r="AB36" i="1"/>
  <c r="AB66" i="1"/>
  <c r="AB37" i="1"/>
  <c r="AB38" i="1"/>
  <c r="AB87" i="1"/>
  <c r="AB34" i="1"/>
  <c r="AB35" i="1"/>
  <c r="AI36" i="1" l="1"/>
  <c r="AI34" i="1"/>
  <c r="AI66" i="1"/>
  <c r="AI37" i="1"/>
  <c r="AI87" i="1"/>
  <c r="AI38" i="1"/>
  <c r="AI35" i="1"/>
  <c r="AC66" i="1"/>
  <c r="AB33" i="1"/>
  <c r="AI33" i="1" l="1"/>
  <c r="AC33" i="1"/>
  <c r="AB71" i="1"/>
  <c r="AB78" i="1"/>
  <c r="AF91" i="1" l="1"/>
  <c r="AE91" i="1"/>
  <c r="AD91" i="1"/>
  <c r="AB64" i="1"/>
  <c r="AG91" i="1" l="1"/>
  <c r="AH91" i="1" s="1"/>
  <c r="H32" i="10" l="1"/>
  <c r="H30" i="10"/>
  <c r="H36" i="10"/>
  <c r="H24" i="10"/>
  <c r="I24" i="10" s="1"/>
  <c r="J25" i="10"/>
  <c r="G36" i="10"/>
  <c r="H29" i="10" s="1"/>
  <c r="J24" i="10"/>
  <c r="H31" i="10" l="1"/>
  <c r="H33" i="10"/>
  <c r="H34" i="10"/>
  <c r="H25" i="10"/>
  <c r="I25" i="10" s="1"/>
  <c r="I26" i="10" s="1"/>
  <c r="I27" i="10" s="1"/>
  <c r="I28" i="10" s="1"/>
  <c r="I29" i="10" s="1"/>
  <c r="I30" i="10" s="1"/>
  <c r="I31" i="10" s="1"/>
  <c r="I32" i="10" s="1"/>
  <c r="I33" i="10" s="1"/>
  <c r="I34" i="10" s="1"/>
  <c r="I35" i="10" s="1"/>
  <c r="H26" i="10"/>
  <c r="H27" i="10"/>
  <c r="H35" i="10"/>
  <c r="H28" i="10"/>
  <c r="L3" i="10" l="1"/>
  <c r="L4" i="10" s="1"/>
  <c r="L5" i="10" s="1"/>
  <c r="L6" i="10" s="1"/>
  <c r="L7" i="10" s="1"/>
  <c r="L8" i="10" s="1"/>
  <c r="L9" i="10" s="1"/>
  <c r="L10" i="10" s="1"/>
  <c r="L11" i="10" s="1"/>
  <c r="L12" i="10" s="1"/>
  <c r="L13" i="10" s="1"/>
  <c r="L14" i="10" s="1"/>
  <c r="G90" i="1" l="1"/>
  <c r="G179" i="1"/>
  <c r="G178" i="1"/>
  <c r="G208" i="1"/>
  <c r="G207" i="1"/>
  <c r="G211" i="1"/>
  <c r="G181" i="1"/>
  <c r="G119" i="1"/>
  <c r="G209" i="1"/>
  <c r="G117" i="1"/>
  <c r="G206" i="1"/>
  <c r="G210" i="1"/>
  <c r="AB210" i="1"/>
  <c r="AB206" i="1"/>
  <c r="AB208" i="1"/>
  <c r="AB90" i="1"/>
  <c r="AB181" i="1"/>
  <c r="AB119" i="1"/>
  <c r="AB211" i="1"/>
  <c r="AB207" i="1"/>
  <c r="AB178" i="1"/>
  <c r="AB209" i="1"/>
  <c r="AB117" i="1"/>
  <c r="AI178" i="1" l="1"/>
  <c r="AI117" i="1"/>
  <c r="AI181" i="1"/>
  <c r="AI119" i="1"/>
  <c r="AC90" i="1"/>
  <c r="AC178" i="1"/>
  <c r="AC208" i="1"/>
  <c r="AC207" i="1"/>
  <c r="AC211" i="1"/>
  <c r="AC181" i="1"/>
  <c r="AC119" i="1"/>
  <c r="AC209" i="1"/>
  <c r="AC117" i="1"/>
  <c r="AC206" i="1"/>
  <c r="AC210" i="1"/>
  <c r="G159" i="1"/>
  <c r="G202" i="1"/>
  <c r="G223" i="1"/>
  <c r="G80" i="1"/>
  <c r="AB223" i="1"/>
  <c r="AB80" i="1"/>
  <c r="AB159" i="1"/>
  <c r="AI80" i="1" l="1"/>
  <c r="AI159" i="1"/>
  <c r="AC159" i="1"/>
  <c r="AC223" i="1"/>
  <c r="AC80" i="1"/>
  <c r="G101" i="1"/>
  <c r="G204" i="1"/>
  <c r="G81" i="1"/>
  <c r="AB204" i="1"/>
  <c r="AB202" i="1"/>
  <c r="AB101" i="1"/>
  <c r="AI101" i="1" l="1"/>
  <c r="AI204" i="1"/>
  <c r="AI202" i="1"/>
  <c r="AC202" i="1"/>
  <c r="AC101" i="1"/>
  <c r="AC204" i="1"/>
  <c r="B36" i="10"/>
  <c r="C35" i="10" s="1"/>
  <c r="E24" i="10"/>
  <c r="C4" i="10"/>
  <c r="C5" i="10" s="1"/>
  <c r="C6" i="10" s="1"/>
  <c r="C7" i="10" s="1"/>
  <c r="C8" i="10" s="1"/>
  <c r="C9" i="10" s="1"/>
  <c r="C10" i="10" s="1"/>
  <c r="C11" i="10" s="1"/>
  <c r="C12" i="10" s="1"/>
  <c r="C13" i="10" s="1"/>
  <c r="C14" i="10" s="1"/>
  <c r="G3" i="10"/>
  <c r="G4" i="10" s="1"/>
  <c r="G5" i="10" s="1"/>
  <c r="G6" i="10" s="1"/>
  <c r="G7" i="10" s="1"/>
  <c r="G8" i="10" s="1"/>
  <c r="G9" i="10" s="1"/>
  <c r="G10" i="10" s="1"/>
  <c r="G11" i="10" s="1"/>
  <c r="G12" i="10" s="1"/>
  <c r="G13" i="10" s="1"/>
  <c r="G14" i="10" s="1"/>
  <c r="AF252" i="1"/>
  <c r="AF242" i="1"/>
  <c r="AF255" i="1" l="1"/>
  <c r="C24" i="10"/>
  <c r="D24" i="10" s="1"/>
  <c r="C28" i="10"/>
  <c r="C32" i="10"/>
  <c r="C36" i="10"/>
  <c r="C25" i="10"/>
  <c r="C29" i="10"/>
  <c r="C33" i="10"/>
  <c r="C26" i="10"/>
  <c r="C30" i="10"/>
  <c r="C34" i="10"/>
  <c r="C27" i="10"/>
  <c r="C31" i="10"/>
  <c r="D25" i="10" l="1"/>
  <c r="D26" i="10" s="1"/>
  <c r="D27" i="10" s="1"/>
  <c r="D28" i="10" s="1"/>
  <c r="D29" i="10" s="1"/>
  <c r="D30" i="10" s="1"/>
  <c r="D31" i="10" s="1"/>
  <c r="D32" i="10" s="1"/>
  <c r="D33" i="10" s="1"/>
  <c r="D34" i="10" s="1"/>
  <c r="D35" i="10" s="1"/>
  <c r="B29" i="3" l="1"/>
  <c r="D21" i="3"/>
  <c r="D22" i="3"/>
  <c r="D23" i="3"/>
  <c r="D24" i="3"/>
  <c r="D25" i="3"/>
  <c r="D26" i="3"/>
  <c r="D27" i="3"/>
  <c r="D28" i="3"/>
  <c r="C29" i="3"/>
  <c r="G203" i="1"/>
  <c r="G197" i="1"/>
  <c r="G199" i="1"/>
  <c r="G201" i="1"/>
  <c r="G200" i="1"/>
  <c r="G198" i="1"/>
  <c r="G196" i="1"/>
  <c r="G194" i="1"/>
  <c r="G195" i="1"/>
  <c r="G185" i="1"/>
  <c r="G190" i="1"/>
  <c r="G191" i="1"/>
  <c r="G192" i="1"/>
  <c r="G189" i="1"/>
  <c r="G187" i="1"/>
  <c r="G188" i="1"/>
  <c r="G186" i="1"/>
  <c r="G183" i="1"/>
  <c r="G184" i="1"/>
  <c r="G182" i="1"/>
  <c r="G173" i="1"/>
  <c r="G176" i="1"/>
  <c r="G193" i="1"/>
  <c r="G177" i="1"/>
  <c r="G175" i="1"/>
  <c r="G174" i="1"/>
  <c r="G172" i="1"/>
  <c r="G171" i="1"/>
  <c r="G226" i="1"/>
  <c r="G170" i="1"/>
  <c r="G169" i="1"/>
  <c r="G165" i="1"/>
  <c r="G167" i="1"/>
  <c r="G166" i="1"/>
  <c r="G164" i="1"/>
  <c r="G180" i="1"/>
  <c r="G163" i="1"/>
  <c r="G162" i="1"/>
  <c r="G161" i="1"/>
  <c r="G150" i="1"/>
  <c r="G160" i="1"/>
  <c r="G155" i="1"/>
  <c r="G157" i="1"/>
  <c r="G156" i="1"/>
  <c r="G154" i="1"/>
  <c r="G152" i="1"/>
  <c r="G151" i="1"/>
  <c r="G168" i="1"/>
  <c r="G137" i="1"/>
  <c r="G149" i="1"/>
  <c r="G147" i="1"/>
  <c r="G141" i="1"/>
  <c r="G145" i="1"/>
  <c r="G158" i="1"/>
  <c r="G146" i="1"/>
  <c r="G144" i="1"/>
  <c r="G143" i="1"/>
  <c r="G142" i="1"/>
  <c r="G139" i="1"/>
  <c r="G140" i="1"/>
  <c r="G138" i="1"/>
  <c r="G215" i="1"/>
  <c r="G214" i="1"/>
  <c r="G216" i="1"/>
  <c r="G133" i="1"/>
  <c r="G132" i="1"/>
  <c r="G134" i="1"/>
  <c r="G218" i="1"/>
  <c r="G217" i="1"/>
  <c r="G148" i="1"/>
  <c r="G127" i="1"/>
  <c r="G125" i="1"/>
  <c r="G124" i="1"/>
  <c r="G126" i="1"/>
  <c r="G123" i="1"/>
  <c r="G122" i="1"/>
  <c r="G121" i="1"/>
  <c r="G131" i="1"/>
  <c r="G120" i="1"/>
  <c r="G136" i="1"/>
  <c r="G135" i="1"/>
  <c r="G114" i="1"/>
  <c r="G116" i="1"/>
  <c r="G212" i="1"/>
  <c r="G118" i="1"/>
  <c r="G115" i="1"/>
  <c r="G205" i="1"/>
  <c r="G113" i="1"/>
  <c r="G112" i="1"/>
  <c r="G111" i="1"/>
  <c r="G110" i="1"/>
  <c r="G220" i="1"/>
  <c r="G109" i="1"/>
  <c r="G130" i="1"/>
  <c r="G213" i="1"/>
  <c r="G129" i="1"/>
  <c r="G102" i="1"/>
  <c r="G128" i="1"/>
  <c r="G105" i="1"/>
  <c r="G107" i="1"/>
  <c r="G104" i="1"/>
  <c r="G106" i="1"/>
  <c r="G103" i="1"/>
  <c r="G219" i="1"/>
  <c r="G100" i="1"/>
  <c r="G99" i="1"/>
  <c r="G96" i="1"/>
  <c r="G94" i="1"/>
  <c r="G93" i="1"/>
  <c r="G97" i="1"/>
  <c r="G225" i="1"/>
  <c r="G92" i="1"/>
  <c r="G224" i="1"/>
  <c r="G91" i="1"/>
  <c r="G89" i="1"/>
  <c r="G88" i="1"/>
  <c r="G85" i="1"/>
  <c r="G84" i="1"/>
  <c r="G108" i="1"/>
  <c r="G76" i="1"/>
  <c r="G78" i="1"/>
  <c r="G77" i="1"/>
  <c r="G83" i="1"/>
  <c r="G95" i="1"/>
  <c r="G74" i="1"/>
  <c r="G73" i="1"/>
  <c r="G72" i="1"/>
  <c r="G71" i="1"/>
  <c r="G87" i="1"/>
  <c r="G98" i="1"/>
  <c r="G82" i="1"/>
  <c r="G86" i="1"/>
  <c r="G70" i="1"/>
  <c r="G69" i="1"/>
  <c r="G67" i="1"/>
  <c r="G68" i="1"/>
  <c r="G222" i="1"/>
  <c r="G79" i="1"/>
  <c r="G75" i="1"/>
  <c r="G64" i="1"/>
  <c r="G63" i="1"/>
  <c r="G62" i="1"/>
  <c r="G61" i="1"/>
  <c r="G60" i="1"/>
  <c r="G54" i="1"/>
  <c r="G58" i="1"/>
  <c r="G59" i="1"/>
  <c r="G57" i="1"/>
  <c r="G56" i="1"/>
  <c r="G55" i="1"/>
  <c r="G53" i="1"/>
  <c r="G52" i="1"/>
  <c r="G50" i="1"/>
  <c r="G51" i="1"/>
  <c r="G49" i="1"/>
  <c r="G47" i="1"/>
  <c r="G48" i="1"/>
  <c r="G46" i="1"/>
  <c r="G44" i="1"/>
  <c r="G45" i="1"/>
  <c r="G43" i="1"/>
  <c r="G42" i="1"/>
  <c r="G66" i="1"/>
  <c r="G41" i="1"/>
  <c r="G37" i="1"/>
  <c r="G65" i="1"/>
  <c r="G40" i="1"/>
  <c r="G36" i="1"/>
  <c r="G26" i="1"/>
  <c r="G25" i="1"/>
  <c r="G35" i="1"/>
  <c r="G31" i="1"/>
  <c r="G30" i="1"/>
  <c r="G39" i="1"/>
  <c r="G34" i="1"/>
  <c r="G221" i="1"/>
  <c r="G32" i="1"/>
  <c r="G28" i="1"/>
  <c r="G27" i="1"/>
  <c r="G29" i="1"/>
  <c r="G38" i="1"/>
  <c r="G33" i="1"/>
  <c r="G24" i="1"/>
  <c r="G22" i="1"/>
  <c r="G23" i="1"/>
  <c r="G21" i="1"/>
  <c r="G19" i="1"/>
  <c r="AB91" i="1"/>
  <c r="AB164" i="1"/>
  <c r="AB172" i="1"/>
  <c r="AB135" i="1"/>
  <c r="AB93" i="1"/>
  <c r="AB123" i="1"/>
  <c r="AB152" i="1"/>
  <c r="AB217" i="1"/>
  <c r="AB113" i="1"/>
  <c r="AB129" i="1"/>
  <c r="AB154" i="1"/>
  <c r="AB213" i="1"/>
  <c r="AB94" i="1"/>
  <c r="AB170" i="1"/>
  <c r="AB168" i="1"/>
  <c r="AB189" i="1"/>
  <c r="AB180" i="1"/>
  <c r="AB218" i="1"/>
  <c r="AB224" i="1"/>
  <c r="AB214" i="1"/>
  <c r="AB188" i="1"/>
  <c r="AB126" i="1"/>
  <c r="AB139" i="1"/>
  <c r="AB215" i="1"/>
  <c r="AB143" i="1"/>
  <c r="AB216" i="1"/>
  <c r="AB182" i="1"/>
  <c r="AB136" i="1"/>
  <c r="AB198" i="1"/>
  <c r="AB83" i="1"/>
  <c r="AB212" i="1"/>
  <c r="AB118" i="1"/>
  <c r="AB100" i="1"/>
  <c r="AB131" i="1"/>
  <c r="AB130" i="1"/>
  <c r="AB222" i="1"/>
  <c r="AB92" i="1"/>
  <c r="AB225" i="1"/>
  <c r="AB179" i="1"/>
  <c r="AI126" i="1" l="1"/>
  <c r="AI180" i="1"/>
  <c r="AI152" i="1"/>
  <c r="AI130" i="1"/>
  <c r="AI182" i="1"/>
  <c r="AI170" i="1"/>
  <c r="AI172" i="1"/>
  <c r="AI168" i="1"/>
  <c r="AI154" i="1"/>
  <c r="AI139" i="1"/>
  <c r="AI164" i="1"/>
  <c r="AI94" i="1"/>
  <c r="AI189" i="1"/>
  <c r="AI93" i="1"/>
  <c r="AI188" i="1"/>
  <c r="AI198" i="1"/>
  <c r="AI92" i="1"/>
  <c r="AI136" i="1"/>
  <c r="AI179" i="1"/>
  <c r="AI143" i="1"/>
  <c r="AI118" i="1"/>
  <c r="AI131" i="1"/>
  <c r="AI135" i="1"/>
  <c r="AI91" i="1"/>
  <c r="D29" i="3"/>
  <c r="AC180" i="1"/>
  <c r="AC217" i="1"/>
  <c r="AC218" i="1"/>
  <c r="AC215" i="1"/>
  <c r="AC214" i="1"/>
  <c r="AC136" i="1"/>
  <c r="AC135" i="1"/>
  <c r="AC179" i="1"/>
  <c r="AC168" i="1"/>
  <c r="AC212" i="1"/>
  <c r="AC213" i="1"/>
  <c r="AC129" i="1"/>
  <c r="AC118" i="1"/>
  <c r="AC198" i="1"/>
  <c r="AC189" i="1"/>
  <c r="AC188" i="1"/>
  <c r="AC182" i="1"/>
  <c r="AC172" i="1"/>
  <c r="AC164" i="1"/>
  <c r="AC154" i="1"/>
  <c r="AC152" i="1"/>
  <c r="AC139" i="1"/>
  <c r="AC123" i="1"/>
  <c r="AC113" i="1"/>
  <c r="AC100" i="1"/>
  <c r="AC216" i="1"/>
  <c r="AC131" i="1"/>
  <c r="AC130" i="1"/>
  <c r="AC83" i="1"/>
  <c r="AC170" i="1"/>
  <c r="AC222" i="1"/>
  <c r="AC143" i="1"/>
  <c r="AC126" i="1"/>
  <c r="AC92" i="1"/>
  <c r="AC225" i="1"/>
  <c r="AC94" i="1"/>
  <c r="AC91" i="1"/>
  <c r="AC93" i="1"/>
  <c r="AC224" i="1"/>
  <c r="G20" i="1" l="1"/>
  <c r="AB203" i="1"/>
  <c r="AB112" i="1"/>
  <c r="AI203" i="1" l="1"/>
  <c r="AC112" i="1"/>
  <c r="AC203" i="1"/>
  <c r="AB163" i="1"/>
  <c r="AB196" i="1"/>
  <c r="AB187" i="1"/>
  <c r="AB65" i="1"/>
  <c r="AB122" i="1"/>
  <c r="AB186" i="1"/>
  <c r="AB151" i="1"/>
  <c r="AI163" i="1" l="1"/>
  <c r="AI151" i="1"/>
  <c r="AI65" i="1"/>
  <c r="AI187" i="1"/>
  <c r="AI186" i="1"/>
  <c r="AI196" i="1"/>
  <c r="AC186" i="1"/>
  <c r="AC151" i="1"/>
  <c r="AC122" i="1"/>
  <c r="AC196" i="1"/>
  <c r="AC187" i="1"/>
  <c r="AC65" i="1"/>
  <c r="AC163" i="1"/>
  <c r="AB128" i="1"/>
  <c r="AI128" i="1" l="1"/>
  <c r="AC128" i="1"/>
  <c r="AH228" i="1" l="1"/>
  <c r="K16" i="1" l="1"/>
  <c r="B109" i="2"/>
  <c r="B110" i="2" s="1"/>
  <c r="B111" i="2" s="1"/>
  <c r="U16" i="1"/>
  <c r="T16" i="1"/>
  <c r="S16" i="1"/>
  <c r="R16" i="1"/>
  <c r="Q16" i="1"/>
  <c r="P16" i="1"/>
  <c r="O16" i="1"/>
  <c r="N16" i="1"/>
  <c r="M16" i="1"/>
  <c r="L16" i="1"/>
  <c r="J16" i="1"/>
  <c r="K15" i="1"/>
  <c r="R15" i="1"/>
  <c r="N15" i="1"/>
  <c r="O15" i="1"/>
  <c r="E12" i="2"/>
  <c r="C127" i="2"/>
  <c r="B118" i="2"/>
  <c r="B119" i="2" s="1"/>
  <c r="B120" i="2" s="1"/>
  <c r="B121" i="2" s="1"/>
  <c r="B122" i="2" s="1"/>
  <c r="C113" i="2"/>
  <c r="C104" i="2"/>
  <c r="B96" i="2"/>
  <c r="B97" i="2" s="1"/>
  <c r="B98" i="2" s="1"/>
  <c r="B99" i="2" s="1"/>
  <c r="B100" i="2" s="1"/>
  <c r="C91" i="2"/>
  <c r="B82" i="2"/>
  <c r="C77" i="2"/>
  <c r="B68" i="2"/>
  <c r="B69" i="2" s="1"/>
  <c r="B70" i="2" s="1"/>
  <c r="B71" i="2" s="1"/>
  <c r="B72" i="2" s="1"/>
  <c r="B73" i="2" s="1"/>
  <c r="B74" i="2" s="1"/>
  <c r="B75" i="2" s="1"/>
  <c r="B76" i="2" s="1"/>
  <c r="C63" i="2"/>
  <c r="B60" i="2"/>
  <c r="B61" i="2" s="1"/>
  <c r="C55" i="2"/>
  <c r="B51" i="2"/>
  <c r="B52" i="2" s="1"/>
  <c r="C48" i="2"/>
  <c r="B34" i="2"/>
  <c r="U15" i="1"/>
  <c r="T15" i="1"/>
  <c r="S15" i="1"/>
  <c r="Q15" i="1"/>
  <c r="P15" i="1"/>
  <c r="M15" i="1"/>
  <c r="L15" i="1"/>
  <c r="B117" i="2"/>
  <c r="B108" i="2"/>
  <c r="B95" i="2"/>
  <c r="B81" i="2"/>
  <c r="B67" i="2"/>
  <c r="B59" i="2"/>
  <c r="B50" i="2"/>
  <c r="B33" i="2"/>
  <c r="AB81" i="1"/>
  <c r="AB23" i="1"/>
  <c r="AC81" i="1" l="1"/>
  <c r="B53" i="2"/>
  <c r="B83" i="2"/>
  <c r="B84" i="2" s="1"/>
  <c r="B85" i="2" s="1"/>
  <c r="B86" i="2" s="1"/>
  <c r="B87" i="2" s="1"/>
  <c r="B88" i="2" s="1"/>
  <c r="B89" i="2" s="1"/>
  <c r="B90" i="2" s="1"/>
  <c r="AC23" i="1"/>
  <c r="B101" i="2"/>
  <c r="B62" i="2"/>
  <c r="B112" i="2"/>
  <c r="B35" i="2"/>
  <c r="B36" i="2" s="1"/>
  <c r="B37" i="2" s="1"/>
  <c r="B38" i="2" s="1"/>
  <c r="B123" i="2"/>
  <c r="B124" i="2" s="1"/>
  <c r="B125" i="2" s="1"/>
  <c r="B126" i="2" s="1"/>
  <c r="B54" i="2"/>
  <c r="AB74" i="1"/>
  <c r="AB107" i="1"/>
  <c r="AB26" i="1"/>
  <c r="AB75" i="1"/>
  <c r="AB42" i="1"/>
  <c r="AB61" i="1"/>
  <c r="AB27" i="1"/>
  <c r="AB60" i="1"/>
  <c r="AB54" i="1"/>
  <c r="AB73" i="1"/>
  <c r="AB29" i="1"/>
  <c r="AC75" i="1" l="1"/>
  <c r="AC74" i="1"/>
  <c r="AC61" i="1"/>
  <c r="AC27" i="1"/>
  <c r="AC73" i="1"/>
  <c r="AC60" i="1"/>
  <c r="AC54" i="1"/>
  <c r="AC29" i="1"/>
  <c r="AC26" i="1"/>
  <c r="B102" i="2"/>
  <c r="B103" i="2" s="1"/>
  <c r="B39" i="2"/>
  <c r="AC107" i="1"/>
  <c r="AC42" i="1"/>
  <c r="AB82" i="1"/>
  <c r="AB31" i="1"/>
  <c r="AB63" i="1"/>
  <c r="AB79" i="1"/>
  <c r="AB132" i="1"/>
  <c r="AB43" i="1"/>
  <c r="AB197" i="1"/>
  <c r="AB193" i="1"/>
  <c r="AB146" i="1"/>
  <c r="AB133" i="1"/>
  <c r="AB70" i="1"/>
  <c r="AB41" i="1"/>
  <c r="AB142" i="1"/>
  <c r="AB166" i="1"/>
  <c r="AB24" i="1"/>
  <c r="AB85" i="1"/>
  <c r="AB96" i="1"/>
  <c r="AB221" i="1"/>
  <c r="AB110" i="1"/>
  <c r="AB156" i="1"/>
  <c r="AB183" i="1"/>
  <c r="AB84" i="1"/>
  <c r="AB22" i="1"/>
  <c r="AB102" i="1"/>
  <c r="AB114" i="1"/>
  <c r="AB176" i="1"/>
  <c r="AB67" i="1"/>
  <c r="AB167" i="1"/>
  <c r="AB134" i="1"/>
  <c r="AB148" i="1"/>
  <c r="AB32" i="1"/>
  <c r="AB89" i="1"/>
  <c r="AB52" i="1"/>
  <c r="AB141" i="1"/>
  <c r="AB21" i="1"/>
  <c r="AB62" i="1"/>
  <c r="AB121" i="1"/>
  <c r="AB95" i="1"/>
  <c r="AB199" i="1"/>
  <c r="AB20" i="1"/>
  <c r="AB160" i="1"/>
  <c r="AB155" i="1"/>
  <c r="AB47" i="1"/>
  <c r="AB177" i="1"/>
  <c r="AB46" i="1"/>
  <c r="AB68" i="1"/>
  <c r="AB59" i="1"/>
  <c r="AB40" i="1"/>
  <c r="AI134" i="1" l="1"/>
  <c r="AI193" i="1"/>
  <c r="AI176" i="1"/>
  <c r="AI148" i="1"/>
  <c r="AI121" i="1"/>
  <c r="AI160" i="1"/>
  <c r="AI199" i="1"/>
  <c r="AI156" i="1"/>
  <c r="AI166" i="1"/>
  <c r="AI167" i="1"/>
  <c r="AI142" i="1"/>
  <c r="AI133" i="1"/>
  <c r="AI183" i="1"/>
  <c r="AI146" i="1"/>
  <c r="AI155" i="1"/>
  <c r="AI41" i="1"/>
  <c r="AI40" i="1"/>
  <c r="AI177" i="1"/>
  <c r="AI141" i="1"/>
  <c r="AI197" i="1"/>
  <c r="AI132" i="1"/>
  <c r="AC89" i="1"/>
  <c r="AC70" i="1"/>
  <c r="AC24" i="1"/>
  <c r="AC20" i="1"/>
  <c r="B40" i="2"/>
  <c r="B41" i="2" s="1"/>
  <c r="B42" i="2" s="1"/>
  <c r="B43" i="2" s="1"/>
  <c r="B44" i="2" s="1"/>
  <c r="B45" i="2" s="1"/>
  <c r="AC67" i="1"/>
  <c r="AC40" i="1"/>
  <c r="AC95" i="1"/>
  <c r="AC102" i="1"/>
  <c r="AC96" i="1"/>
  <c r="AC64" i="1"/>
  <c r="AC148" i="1"/>
  <c r="AC63" i="1"/>
  <c r="AC32" i="1"/>
  <c r="AC84" i="1"/>
  <c r="AC59" i="1"/>
  <c r="AC133" i="1"/>
  <c r="AC79" i="1"/>
  <c r="AC221" i="1"/>
  <c r="AC176" i="1"/>
  <c r="AC34" i="1"/>
  <c r="AC197" i="1"/>
  <c r="AC78" i="1"/>
  <c r="AC47" i="1"/>
  <c r="AC82" i="1"/>
  <c r="AC43" i="1"/>
  <c r="AC22" i="1"/>
  <c r="AC68" i="1"/>
  <c r="AC156" i="1"/>
  <c r="AC155" i="1"/>
  <c r="AC142" i="1"/>
  <c r="AC31" i="1"/>
  <c r="AC177" i="1"/>
  <c r="AC21" i="1"/>
  <c r="AC146" i="1"/>
  <c r="AC134" i="1"/>
  <c r="AC167" i="1"/>
  <c r="AC114" i="1"/>
  <c r="AC85" i="1"/>
  <c r="AC183" i="1"/>
  <c r="AC62" i="1"/>
  <c r="AC41" i="1"/>
  <c r="AC46" i="1"/>
  <c r="AC110" i="1"/>
  <c r="AC52" i="1"/>
  <c r="AC166" i="1"/>
  <c r="AC193" i="1"/>
  <c r="AC121" i="1"/>
  <c r="AC160" i="1"/>
  <c r="AC199" i="1"/>
  <c r="AC132" i="1"/>
  <c r="AC141" i="1"/>
  <c r="AB106" i="1"/>
  <c r="AB58" i="1"/>
  <c r="AB149" i="1"/>
  <c r="AB45" i="1"/>
  <c r="AB165" i="1"/>
  <c r="AB169" i="1"/>
  <c r="AB111" i="1"/>
  <c r="AB120" i="1"/>
  <c r="AB104" i="1"/>
  <c r="AB125" i="1"/>
  <c r="AB105" i="1"/>
  <c r="AB157" i="1"/>
  <c r="AB97" i="1"/>
  <c r="AB51" i="1"/>
  <c r="AB108" i="1"/>
  <c r="AB185" i="1"/>
  <c r="AB220" i="1"/>
  <c r="AB195" i="1"/>
  <c r="AB162" i="1"/>
  <c r="AB57" i="1"/>
  <c r="AB200" i="1"/>
  <c r="AB161" i="1"/>
  <c r="AB39" i="1"/>
  <c r="AB48" i="1"/>
  <c r="AB145" i="1"/>
  <c r="AB174" i="1"/>
  <c r="AB72" i="1"/>
  <c r="AB116" i="1"/>
  <c r="AB191" i="1"/>
  <c r="AB99" i="1"/>
  <c r="AB53" i="1"/>
  <c r="AB175" i="1"/>
  <c r="AB86" i="1"/>
  <c r="AB76" i="1"/>
  <c r="AB144" i="1"/>
  <c r="AB140" i="1"/>
  <c r="AB194" i="1"/>
  <c r="AB19" i="1"/>
  <c r="AB127" i="1"/>
  <c r="AB137" i="1"/>
  <c r="AB109" i="1"/>
  <c r="AB138" i="1"/>
  <c r="AB50" i="1"/>
  <c r="AB205" i="1"/>
  <c r="AB55" i="1"/>
  <c r="AB44" i="1"/>
  <c r="AB219" i="1"/>
  <c r="AB69" i="1"/>
  <c r="AB173" i="1"/>
  <c r="AB190" i="1"/>
  <c r="AB25" i="1"/>
  <c r="AB77" i="1"/>
  <c r="AB184" i="1"/>
  <c r="AB158" i="1"/>
  <c r="AB201" i="1"/>
  <c r="AB124" i="1"/>
  <c r="AB103" i="1"/>
  <c r="AB150" i="1"/>
  <c r="AB56" i="1"/>
  <c r="AB171" i="1"/>
  <c r="AB28" i="1"/>
  <c r="AB88" i="1"/>
  <c r="AB98" i="1"/>
  <c r="AB192" i="1"/>
  <c r="AI138" i="1" l="1"/>
  <c r="AI140" i="1"/>
  <c r="AI150" i="1"/>
  <c r="AI108" i="1"/>
  <c r="AI157" i="1"/>
  <c r="AI86" i="1"/>
  <c r="AI97" i="1"/>
  <c r="AI162" i="1"/>
  <c r="AI175" i="1"/>
  <c r="AI173" i="1"/>
  <c r="AI145" i="1"/>
  <c r="AI161" i="1"/>
  <c r="AI184" i="1"/>
  <c r="AI174" i="1"/>
  <c r="AI120" i="1"/>
  <c r="AI158" i="1"/>
  <c r="AI191" i="1"/>
  <c r="AI190" i="1"/>
  <c r="AI171" i="1"/>
  <c r="AI144" i="1"/>
  <c r="AI194" i="1"/>
  <c r="AI137" i="1"/>
  <c r="AI185" i="1"/>
  <c r="AI165" i="1"/>
  <c r="AI192" i="1"/>
  <c r="AI169" i="1"/>
  <c r="AI201" i="1"/>
  <c r="AI200" i="1"/>
  <c r="AI149" i="1"/>
  <c r="AI195" i="1"/>
  <c r="AI39" i="1"/>
  <c r="AC194" i="1"/>
  <c r="AC69" i="1"/>
  <c r="AC165" i="1"/>
  <c r="AC195" i="1"/>
  <c r="AC19" i="1"/>
  <c r="AC72" i="1"/>
  <c r="AC162" i="1"/>
  <c r="AC45" i="1"/>
  <c r="AC56" i="1"/>
  <c r="AC219" i="1"/>
  <c r="AC192" i="1"/>
  <c r="AC125" i="1"/>
  <c r="AC76" i="1"/>
  <c r="AC103" i="1"/>
  <c r="AC25" i="1"/>
  <c r="AC124" i="1"/>
  <c r="AC145" i="1"/>
  <c r="AC51" i="1"/>
  <c r="AC169" i="1"/>
  <c r="AC48" i="1"/>
  <c r="AC171" i="1"/>
  <c r="AC55" i="1"/>
  <c r="AC98" i="1"/>
  <c r="AC99" i="1"/>
  <c r="AC161" i="1"/>
  <c r="AC120" i="1"/>
  <c r="AC190" i="1"/>
  <c r="AC39" i="1"/>
  <c r="AC150" i="1"/>
  <c r="AC137" i="1"/>
  <c r="AC140" i="1"/>
  <c r="AC71" i="1"/>
  <c r="AC149" i="1"/>
  <c r="AC175" i="1"/>
  <c r="AC106" i="1"/>
  <c r="AC174" i="1"/>
  <c r="AC111" i="1"/>
  <c r="AC173" i="1"/>
  <c r="AC205" i="1"/>
  <c r="AC220" i="1"/>
  <c r="AC86" i="1"/>
  <c r="AC88" i="1"/>
  <c r="AC87" i="1"/>
  <c r="B46" i="2"/>
  <c r="B47" i="2" s="1"/>
  <c r="AC116" i="1"/>
  <c r="AC105" i="1"/>
  <c r="AC104" i="1"/>
  <c r="AC97" i="1"/>
  <c r="AC144" i="1"/>
  <c r="AC58" i="1"/>
  <c r="AC36" i="1"/>
  <c r="AC184" i="1"/>
  <c r="AC200" i="1"/>
  <c r="AC158" i="1"/>
  <c r="AC115" i="1"/>
  <c r="AC57" i="1"/>
  <c r="AC185" i="1"/>
  <c r="AC37" i="1"/>
  <c r="AC157" i="1"/>
  <c r="AC77" i="1"/>
  <c r="AC191" i="1"/>
  <c r="AC53" i="1"/>
  <c r="AC201" i="1"/>
  <c r="AC127" i="1"/>
  <c r="AC35" i="1"/>
  <c r="AC28" i="1"/>
  <c r="AC50" i="1"/>
  <c r="AC44" i="1"/>
  <c r="AC108" i="1"/>
  <c r="AC138" i="1"/>
  <c r="AC109" i="1"/>
  <c r="AB30" i="1"/>
  <c r="AB226" i="1"/>
  <c r="AB147" i="1"/>
  <c r="AB49" i="1"/>
  <c r="AI147" i="1" l="1"/>
  <c r="AC147" i="1"/>
  <c r="AC49" i="1"/>
  <c r="AB228" i="1"/>
  <c r="AC226" i="1"/>
  <c r="AC38" i="1"/>
  <c r="AC30" i="1"/>
  <c r="AC228" i="1" l="1"/>
</calcChain>
</file>

<file path=xl/comments1.xml><?xml version="1.0" encoding="utf-8"?>
<comments xmlns="http://schemas.openxmlformats.org/spreadsheetml/2006/main">
  <authors>
    <author>Hewlett-Packard Company</author>
    <author>tc={20210DB0-99DA-490A-A812-DFB9A619CD0B}</author>
    <author>Ivonne Andrea Torres Cruz</author>
    <author>Manuel Andres Farias Pinzon</author>
  </authors>
  <commentList>
    <comment ref="I43" authorId="0" shapeId="0">
      <text>
        <r>
          <rPr>
            <b/>
            <sz val="9"/>
            <color indexed="81"/>
            <rFont val="Tahoma"/>
            <family val="2"/>
          </rPr>
          <t>IATC:</t>
        </r>
        <r>
          <rPr>
            <sz val="9"/>
            <color indexed="81"/>
            <rFont val="Tahoma"/>
            <family val="2"/>
          </rPr>
          <t xml:space="preserve">
Debido a que no fue posible contar con la información en el tiempo previsto y que posteriormente el profesional se dedicó a la cuenta mensual y anual de la contraloría y luego al informe de evaluación del sistema de control interno contable, es necesario reprogramar el informe del 22Feb al 26Feb</t>
        </r>
      </text>
    </comment>
    <comment ref="I45" authorId="0" shapeId="0">
      <text>
        <r>
          <rPr>
            <b/>
            <sz val="9"/>
            <color indexed="81"/>
            <rFont val="Tahoma"/>
            <family val="2"/>
          </rPr>
          <t>IATC:</t>
        </r>
        <r>
          <rPr>
            <sz val="9"/>
            <color indexed="81"/>
            <rFont val="Tahoma"/>
            <family val="2"/>
          </rPr>
          <t xml:space="preserve">
Debido a que a la contratista se le terminó el contrato el 18Ene y que está en proceso de contratación y que primero es necesario realizar el seguimiento al PM por procesos, la evaluación se corre del 19Feb al 26Mar</t>
        </r>
      </text>
    </comment>
    <comment ref="X4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encuentra pendiente solamente la evaluacion de dependencias de DUT, porque se encontraron inconsistencias en la informacion presentada por el area</t>
        </r>
      </text>
    </comment>
    <comment ref="I49" authorId="0" shapeId="0">
      <text>
        <r>
          <rPr>
            <b/>
            <sz val="9"/>
            <color rgb="FF000000"/>
            <rFont val="Tahoma"/>
            <family val="2"/>
          </rPr>
          <t>IATC:</t>
        </r>
        <r>
          <rPr>
            <sz val="9"/>
            <color rgb="FF000000"/>
            <rFont val="Tahoma"/>
            <family val="2"/>
          </rPr>
          <t xml:space="preserve"> Se corrió la fecha del 09Feb al 12Mar en razón a que el contrato de Marcela se inició el 09Feb y se retrasó la evaluación del sistema de control interno contable</t>
        </r>
      </text>
    </comment>
    <comment ref="I50"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I51"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H68" authorId="0" shapeId="0">
      <text>
        <r>
          <rPr>
            <b/>
            <sz val="9"/>
            <color indexed="81"/>
            <rFont val="Tahoma"/>
            <family val="2"/>
          </rPr>
          <t>IATC:</t>
        </r>
        <r>
          <rPr>
            <sz val="9"/>
            <color indexed="81"/>
            <rFont val="Tahoma"/>
            <family val="2"/>
          </rPr>
          <t xml:space="preserve"> Se corrió la fecha del 03Feb al 10Feb en razón a que el contrato de Carlos Andrés se inició el 10Feb y se dio inicio a la etapa de planeación del trabajo el 10Feb</t>
        </r>
      </text>
    </comment>
    <comment ref="I68" authorId="0" shapeId="0">
      <text>
        <r>
          <rPr>
            <b/>
            <sz val="9"/>
            <color indexed="81"/>
            <rFont val="Tahoma"/>
            <family val="2"/>
          </rPr>
          <t>IATC:</t>
        </r>
        <r>
          <rPr>
            <sz val="9"/>
            <color indexed="81"/>
            <rFont val="Tahoma"/>
            <family val="2"/>
          </rPr>
          <t xml:space="preserve"> Se corrió la fecha del 22Feb al 24Feb en razón a que el contrato de Carlos Andrés se inició el 10Feb y el trabajo de campo no se inició el 10Feb, sino el 16Feb</t>
        </r>
      </text>
    </comment>
    <comment ref="H69" authorId="0" shapeId="0">
      <text>
        <r>
          <rPr>
            <b/>
            <sz val="9"/>
            <color indexed="81"/>
            <rFont val="Tahoma"/>
            <family val="2"/>
          </rPr>
          <t>IATC:</t>
        </r>
        <r>
          <rPr>
            <sz val="9"/>
            <color indexed="81"/>
            <rFont val="Tahoma"/>
            <family val="2"/>
          </rPr>
          <t xml:space="preserve"> Se corrió la fecha del 03Feb al 10Feb en razón a que el contrato de Marcela se inició el 09Feb y se dio inicio a la etapa de planeación del trabajo el 10Feb</t>
        </r>
      </text>
    </comment>
    <comment ref="I69" authorId="0" shapeId="0">
      <text>
        <r>
          <rPr>
            <b/>
            <sz val="9"/>
            <color rgb="FF000000"/>
            <rFont val="Tahoma"/>
            <family val="2"/>
          </rPr>
          <t>IATC:</t>
        </r>
        <r>
          <rPr>
            <sz val="9"/>
            <color rgb="FF000000"/>
            <rFont val="Tahoma"/>
            <family val="2"/>
          </rPr>
          <t xml:space="preserve"> Se corrió la fecha del 22Feb al 24Feb en razón a que el contrato de Marcela se inició el 09Feb y el trabajo de campo no se inició el 10Feb, sino el 16Feb</t>
        </r>
      </text>
    </comment>
    <comment ref="H75" authorId="0" shapeId="0">
      <text>
        <r>
          <rPr>
            <b/>
            <sz val="9"/>
            <color indexed="81"/>
            <rFont val="Tahoma"/>
            <family val="2"/>
          </rPr>
          <t xml:space="preserve">IATC: </t>
        </r>
        <r>
          <rPr>
            <sz val="9"/>
            <color indexed="81"/>
            <rFont val="Tahoma"/>
            <family val="2"/>
          </rPr>
          <t>Con la Circular 100-003 del 05Feb2021 el DAFP modificó las fechas de reporte del furag del 22Feb al 23Mar, sin embargo, el aplicativo no está abierto y modificaron de nuevo las fechas del 25Feb al 25Mar</t>
        </r>
      </text>
    </comment>
    <comment ref="I75" authorId="0" shapeId="0">
      <text>
        <r>
          <rPr>
            <b/>
            <sz val="9"/>
            <color indexed="81"/>
            <rFont val="Tahoma"/>
            <family val="2"/>
          </rPr>
          <t>IATC:</t>
        </r>
        <r>
          <rPr>
            <sz val="9"/>
            <color indexed="81"/>
            <rFont val="Tahoma"/>
            <family val="2"/>
          </rPr>
          <t xml:space="preserve"> Con la Circular 100-003 del 05Feb2021 el DAFP modificó las fechas de reporte del furag del 22Feb al 23Mar, sin embargo, el aplicativo no está abierto y modificaron de nuevo las fechas del 25Feb al 25Mar</t>
        </r>
      </text>
    </comment>
    <comment ref="H79" authorId="0" shapeId="0">
      <text>
        <r>
          <rPr>
            <b/>
            <sz val="9"/>
            <color indexed="81"/>
            <rFont val="Tahoma"/>
            <family val="2"/>
          </rPr>
          <t xml:space="preserve">IATC: </t>
        </r>
        <r>
          <rPr>
            <sz val="9"/>
            <color indexed="81"/>
            <rFont val="Tahoma"/>
            <family val="2"/>
          </rPr>
          <t>Ya que la contratista se quedó sin contrato desde el 29Ene y que inició contrato el 01Mar, se reprograma la fecha de inicio del 01Feb al 02Mar</t>
        </r>
      </text>
    </comment>
    <comment ref="I79" authorId="0" shapeId="0">
      <text>
        <r>
          <rPr>
            <b/>
            <sz val="9"/>
            <color indexed="81"/>
            <rFont val="Tahoma"/>
            <family val="2"/>
          </rPr>
          <t xml:space="preserve">IATC: </t>
        </r>
        <r>
          <rPr>
            <sz val="9"/>
            <color indexed="81"/>
            <rFont val="Tahoma"/>
            <family val="2"/>
          </rPr>
          <t>Ya que la contratista se quedó sin contrato desde el 29Ene y que inició contrato el 01Mar, se reprograma la fecha de finalización del 12Feb al 17Mar</t>
        </r>
      </text>
    </comment>
    <comment ref="I80" authorId="0" shapeId="0">
      <text>
        <r>
          <rPr>
            <b/>
            <sz val="9"/>
            <color indexed="81"/>
            <rFont val="Tahoma"/>
            <family val="2"/>
          </rPr>
          <t>IATC:</t>
        </r>
        <r>
          <rPr>
            <sz val="9"/>
            <color indexed="81"/>
            <rFont val="Tahoma"/>
            <family val="2"/>
          </rPr>
          <t xml:space="preserve"> Actividad nueva</t>
        </r>
      </text>
    </comment>
    <comment ref="I81" authorId="0" shapeId="0">
      <text>
        <r>
          <rPr>
            <b/>
            <sz val="9"/>
            <color indexed="81"/>
            <rFont val="Tahoma"/>
            <family val="2"/>
          </rPr>
          <t>IATC:</t>
        </r>
        <r>
          <rPr>
            <sz val="9"/>
            <color indexed="81"/>
            <rFont val="Tahoma"/>
            <family val="2"/>
          </rPr>
          <t xml:space="preserve"> Actividad nueva cuya fecha de finalización se reprogramó del 26-Mar al 09-Abr</t>
        </r>
      </text>
    </comment>
    <comment ref="H82" authorId="0" shapeId="0">
      <text>
        <r>
          <rPr>
            <b/>
            <sz val="9"/>
            <color indexed="81"/>
            <rFont val="Tahoma"/>
            <family val="2"/>
          </rPr>
          <t xml:space="preserve">IATC: </t>
        </r>
        <r>
          <rPr>
            <sz val="9"/>
            <color indexed="81"/>
            <rFont val="Tahoma"/>
            <family val="2"/>
          </rPr>
          <t>Debido a que la contratista quedó sin contrato el 28Ene y que inició contrato el 01Mar, se reprograma la fecha de inicio de la actividad del 15Feb al 02Mar, sin reprogramar la fecha de terminación que permanece igual</t>
        </r>
      </text>
    </comment>
    <comment ref="H86" authorId="0" shapeId="0">
      <text>
        <r>
          <rPr>
            <b/>
            <sz val="9"/>
            <color indexed="81"/>
            <rFont val="Tahoma"/>
            <family val="2"/>
          </rPr>
          <t>IATC:</t>
        </r>
        <r>
          <rPr>
            <sz val="9"/>
            <color indexed="81"/>
            <rFont val="Tahoma"/>
            <family val="2"/>
          </rPr>
          <t xml:space="preserve"> Debido a que la contratista inició contrato el 01Mar, la actividad se reprograma iniciando el 15Mar y no el 15Feb y finalizando el 25Mar y no el 26Feb como estabe previsto inicialmente</t>
        </r>
      </text>
    </comment>
    <comment ref="I86" authorId="0" shapeId="0">
      <text>
        <r>
          <rPr>
            <b/>
            <sz val="9"/>
            <color indexed="81"/>
            <rFont val="Tahoma"/>
            <family val="2"/>
          </rPr>
          <t>IATC:</t>
        </r>
        <r>
          <rPr>
            <sz val="9"/>
            <color indexed="81"/>
            <rFont val="Tahoma"/>
            <family val="2"/>
          </rPr>
          <t xml:space="preserve"> Debido a que la contratista inciió contrato el 01Mar, la actividad se reprograma iniciando el 15Mar y no el 15Feb y finalizando el 25Mar y no el 26Feb como estabe previsto inicialmente</t>
        </r>
      </text>
    </comment>
    <comment ref="H87"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I87"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H88"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9"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90"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I90"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B95" authorId="2" shapeId="0">
      <text>
        <r>
          <rPr>
            <b/>
            <sz val="9"/>
            <color indexed="81"/>
            <rFont val="Tahoma"/>
            <family val="2"/>
          </rPr>
          <t xml:space="preserve">IATC: </t>
        </r>
        <r>
          <rPr>
            <sz val="9"/>
            <color indexed="81"/>
            <rFont val="Tahoma"/>
            <family val="2"/>
          </rPr>
          <t>Se modificó la actividad incluyendo solamente el cierre de la caja menor, ya que al 09Mar no se había constituido la caja menor del 2021</t>
        </r>
      </text>
    </comment>
    <comment ref="H95"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I95"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H97"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I97"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H98"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inicio de la actividad del 22Feb al 26Mar</t>
        </r>
      </text>
    </comment>
    <comment ref="I98"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finalización de la actividad del 29Mar al 03May</t>
        </r>
      </text>
    </comment>
    <comment ref="H101" authorId="2" shapeId="0">
      <text>
        <r>
          <rPr>
            <b/>
            <sz val="9"/>
            <color indexed="81"/>
            <rFont val="Tahoma"/>
            <family val="2"/>
          </rPr>
          <t>IATC:</t>
        </r>
        <r>
          <rPr>
            <sz val="9"/>
            <color indexed="81"/>
            <rFont val="Tahoma"/>
            <family val="2"/>
          </rPr>
          <t xml:space="preserve">
Actividad nueva</t>
        </r>
      </text>
    </comment>
    <comment ref="I101" authorId="0" shapeId="0">
      <text>
        <r>
          <rPr>
            <b/>
            <sz val="9"/>
            <color indexed="81"/>
            <rFont val="Tahoma"/>
            <family val="2"/>
          </rPr>
          <t>IATC:</t>
        </r>
        <r>
          <rPr>
            <sz val="9"/>
            <color indexed="81"/>
            <rFont val="Tahoma"/>
            <family val="2"/>
          </rPr>
          <t xml:space="preserve"> Actividad nueva</t>
        </r>
      </text>
    </comment>
    <comment ref="H108"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I108"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B117" authorId="2" shapeId="0">
      <text>
        <r>
          <rPr>
            <b/>
            <sz val="9"/>
            <color indexed="81"/>
            <rFont val="Tahoma"/>
            <family val="2"/>
          </rPr>
          <t xml:space="preserve">IATC:
</t>
        </r>
        <r>
          <rPr>
            <sz val="9"/>
            <color indexed="81"/>
            <rFont val="Tahoma"/>
            <family val="2"/>
          </rPr>
          <t>Se modifica la acción pasando de: "Auditoría Proceso de Gestión del Talento Humano Cobro de las Incapacidades reportadas por los funcionarios del proceso de Urbanizaciones y Titulación", uniéndola con la aplicación de las políticas contables</t>
        </r>
      </text>
    </comment>
    <comment ref="I117" authorId="2"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8" authorId="2" shapeId="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8" authorId="2"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9" authorId="2" shapeId="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9" authorId="2" shapeId="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I126" authorId="2" shapeId="0">
      <text>
        <r>
          <rPr>
            <b/>
            <sz val="9"/>
            <color indexed="81"/>
            <rFont val="Tahoma"/>
            <family val="2"/>
          </rPr>
          <t>Ivonne Andrea Torres Cruz:</t>
        </r>
        <r>
          <rPr>
            <sz val="9"/>
            <color indexed="81"/>
            <rFont val="Tahoma"/>
            <family val="2"/>
          </rPr>
          <t xml:space="preserve">
Se reprograma su finalización del 31Ago al 15Jul, anticipándola para que empate con la actividad de "Diseñar, preparar, aplicar, tabular y realizar informe con oportunidades de mejora de la implementación y aplicación del estatuto interno del auditor y del código de ética del auditor"</t>
        </r>
      </text>
    </comment>
    <comment ref="H128" authorId="2" shapeId="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de nuevo fecha de inicio del 03May al 08Jun</t>
        </r>
      </text>
    </comment>
    <comment ref="I128" authorId="2" shapeId="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la fecha de finalización del 03Jun al 13Jul.</t>
        </r>
      </text>
    </comment>
    <comment ref="H129"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I129"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H130"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I130" authorId="0" shapeId="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H131"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1"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2" authorId="2" shapeId="0">
      <text>
        <r>
          <rPr>
            <b/>
            <sz val="9"/>
            <color indexed="81"/>
            <rFont val="Tahoma"/>
            <family val="2"/>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I133" authorId="2" shapeId="0">
      <text>
        <r>
          <rPr>
            <b/>
            <sz val="9"/>
            <color indexed="81"/>
            <rFont val="Tahoma"/>
            <family val="2"/>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H137" authorId="2" shapeId="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I137" authorId="2" shapeId="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H148" authorId="2" shapeId="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I148" authorId="2" shapeId="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H150" authorId="2" shapeId="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I150" authorId="2" shapeId="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H153" authorId="2" shapeId="0">
      <text>
        <r>
          <rPr>
            <b/>
            <sz val="9"/>
            <color indexed="81"/>
            <rFont val="Tahoma"/>
            <family val="2"/>
          </rPr>
          <t>IATC:</t>
        </r>
        <r>
          <rPr>
            <sz val="9"/>
            <color indexed="81"/>
            <rFont val="Tahoma"/>
            <family val="2"/>
          </rPr>
          <t xml:space="preserve">
Actividad nueva</t>
        </r>
      </text>
    </comment>
    <comment ref="I153" authorId="2" shapeId="0">
      <text>
        <r>
          <rPr>
            <b/>
            <sz val="9"/>
            <color indexed="81"/>
            <rFont val="Tahoma"/>
            <family val="2"/>
          </rPr>
          <t>IATC:</t>
        </r>
        <r>
          <rPr>
            <sz val="9"/>
            <color indexed="81"/>
            <rFont val="Tahoma"/>
            <family val="2"/>
          </rPr>
          <t xml:space="preserve">
Actividad nueva</t>
        </r>
      </text>
    </comment>
    <comment ref="H158" authorId="2" shapeId="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8" authorId="2" shapeId="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9" authorId="0" shapeId="0">
      <text>
        <r>
          <rPr>
            <b/>
            <sz val="9"/>
            <color indexed="81"/>
            <rFont val="Tahoma"/>
            <family val="2"/>
          </rPr>
          <t>IATC:</t>
        </r>
        <r>
          <rPr>
            <sz val="9"/>
            <color indexed="81"/>
            <rFont val="Tahoma"/>
            <family val="2"/>
          </rPr>
          <t xml:space="preserve"> Actividad nueva</t>
        </r>
      </text>
    </comment>
    <comment ref="H169" authorId="2" shapeId="0">
      <text>
        <r>
          <rPr>
            <b/>
            <sz val="9"/>
            <color indexed="81"/>
            <rFont val="Tahoma"/>
            <family val="2"/>
          </rPr>
          <t>IATC:</t>
        </r>
        <r>
          <rPr>
            <sz val="9"/>
            <color indexed="81"/>
            <rFont val="Tahoma"/>
            <family val="2"/>
          </rPr>
          <t xml:space="preserve">
Se reprograma el inicio del 01Sep al 15Sep y la finalización del 10Sep al 21Sep, porque la metodología del seguimiento al PAAC se modificó y así mismo su seguimiento</t>
        </r>
      </text>
    </comment>
    <comment ref="I169" authorId="2" shapeId="0">
      <text>
        <r>
          <rPr>
            <b/>
            <sz val="9"/>
            <color indexed="81"/>
            <rFont val="Tahoma"/>
            <family val="2"/>
          </rPr>
          <t>IATC:</t>
        </r>
        <r>
          <rPr>
            <sz val="9"/>
            <color indexed="81"/>
            <rFont val="Tahoma"/>
            <family val="2"/>
          </rPr>
          <t xml:space="preserve">
Se reprograma el inicio del 01Sep al 15Sep y la finalización del 10Sep al 21Sep, porque la metodología del seguimiento al PAAC se modificó y así mismo su seguimiento</t>
        </r>
      </text>
    </comment>
    <comment ref="H183" authorId="2" shapeId="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I183" authorId="2" shapeId="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H185" authorId="2" shapeId="0">
      <text>
        <r>
          <rPr>
            <b/>
            <sz val="9"/>
            <color indexed="81"/>
            <rFont val="Tahoma"/>
            <family val="2"/>
          </rPr>
          <t>IATC:</t>
        </r>
        <r>
          <rPr>
            <sz val="9"/>
            <color indexed="81"/>
            <rFont val="Tahoma"/>
            <family val="2"/>
          </rPr>
          <t xml:space="preserve">
Debido a que los resultados se presentarán en el CICCI del 07Dic, es necesario adelantar la actividad del 10Nov al 15Oct y finalizar el 26Nov y no el 10Dic como se había programado inicialmente</t>
        </r>
      </text>
    </comment>
    <comment ref="I185" authorId="2" shapeId="0">
      <text>
        <r>
          <rPr>
            <b/>
            <sz val="9"/>
            <color indexed="81"/>
            <rFont val="Tahoma"/>
            <family val="2"/>
          </rPr>
          <t>IATC:</t>
        </r>
        <r>
          <rPr>
            <sz val="9"/>
            <color indexed="81"/>
            <rFont val="Tahoma"/>
            <family val="2"/>
          </rPr>
          <t xml:space="preserve">
Debido a que los resultados se presentarán en el CICCI del 07Dic, es necesario adelantar la actividad del 10Nov al 15Oct y finalizar el 26Nov y no el 10Dic como se había programado inicialmente</t>
        </r>
      </text>
    </comment>
    <comment ref="H193" authorId="2" shapeId="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I193" authorId="2" shapeId="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H197" authorId="2" shapeId="0">
      <text>
        <r>
          <rPr>
            <b/>
            <sz val="9"/>
            <color indexed="81"/>
            <rFont val="Tahoma"/>
            <family val="2"/>
          </rPr>
          <t>IATC:</t>
        </r>
        <r>
          <rPr>
            <sz val="9"/>
            <color indexed="81"/>
            <rFont val="Tahoma"/>
            <family val="2"/>
          </rPr>
          <t xml:space="preserve">
Se tiene previsto realizar el comité el 07Dic, por lo que se reprograma la fecha de inicio del 06Dic al 24Nov y la fecha de finalización 22Dic no se modificaría</t>
        </r>
      </text>
    </comment>
    <comment ref="F201" authorId="2" shapeId="0">
      <text>
        <r>
          <rPr>
            <b/>
            <sz val="9"/>
            <color indexed="81"/>
            <rFont val="Tahoma"/>
            <family val="2"/>
          </rPr>
          <t>Ivonne Andrea Torres Cruz:</t>
        </r>
        <r>
          <rPr>
            <sz val="9"/>
            <color indexed="81"/>
            <rFont val="Tahoma"/>
            <family val="2"/>
          </rPr>
          <t xml:space="preserve">
</t>
        </r>
      </text>
    </comment>
    <comment ref="I202" authorId="0" shapeId="0">
      <text>
        <r>
          <rPr>
            <b/>
            <sz val="9"/>
            <color indexed="81"/>
            <rFont val="Tahoma"/>
            <family val="2"/>
          </rPr>
          <t>IATC:</t>
        </r>
        <r>
          <rPr>
            <sz val="9"/>
            <color indexed="81"/>
            <rFont val="Tahoma"/>
            <family val="2"/>
          </rPr>
          <t xml:space="preserve"> Actividad nueva</t>
        </r>
      </text>
    </comment>
    <comment ref="B205"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5"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inicio a la actividad, adicionalmente en razón al retiro a partir del 23Ago de la Asesora de Control Interno es necesario culminar la mayor cantidad de actividades previstas para no dejar actividades en curso, salvo las expresamente necesarias</t>
        </r>
      </text>
    </comment>
    <comment ref="I205"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06"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6"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06"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7"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07"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08"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08"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09" authorId="2" shapeId="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9"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09"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0" authorId="2" shapeId="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0"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0"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1"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1"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12"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2"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2" authorId="2" shapeId="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3" authorId="2" shapeId="0">
      <text>
        <r>
          <rPr>
            <b/>
            <sz val="9"/>
            <color indexed="81"/>
            <rFont val="Tahoma"/>
            <family val="2"/>
          </rPr>
          <t>IATC:</t>
        </r>
        <r>
          <rPr>
            <sz val="9"/>
            <color indexed="81"/>
            <rFont val="Tahoma"/>
            <family val="2"/>
          </rPr>
          <t xml:space="preserve">
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3" authorId="2" shapeId="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I213" authorId="2" shapeId="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4"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4"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5"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5"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6"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I216"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H217"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7" authorId="0"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8"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8" authorId="2" shapeId="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9" authorId="0" shapeId="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I219" authorId="0" shapeId="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B220" authorId="2" shapeId="0">
      <text>
        <r>
          <rPr>
            <b/>
            <sz val="9"/>
            <color indexed="81"/>
            <rFont val="Tahoma"/>
            <family val="2"/>
          </rPr>
          <t xml:space="preserve">IATC: </t>
        </r>
        <r>
          <rPr>
            <sz val="9"/>
            <color indexed="81"/>
            <rFont val="Tahoma"/>
            <family val="2"/>
          </rPr>
          <t>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0" authorId="2" shapeId="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I220" authorId="2" shapeId="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2"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2"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3" authorId="0" shapeId="0">
      <text>
        <r>
          <rPr>
            <b/>
            <sz val="9"/>
            <color indexed="81"/>
            <rFont val="Tahoma"/>
            <family val="2"/>
          </rPr>
          <t>IATC:</t>
        </r>
        <r>
          <rPr>
            <sz val="9"/>
            <color indexed="81"/>
            <rFont val="Tahoma"/>
            <family val="2"/>
          </rPr>
          <t xml:space="preserve"> Actividad nueva</t>
        </r>
      </text>
    </comment>
    <comment ref="H224" authorId="2" shapeId="0">
      <text>
        <r>
          <rPr>
            <b/>
            <sz val="9"/>
            <color indexed="81"/>
            <rFont val="Tahoma"/>
            <family val="2"/>
          </rPr>
          <t>IATC:</t>
        </r>
        <r>
          <rPr>
            <sz val="9"/>
            <color indexed="81"/>
            <rFont val="Tahoma"/>
            <family val="2"/>
          </rPr>
          <t xml:space="preserve">
Se elimina, ya que no existe auditor para que realice la actividad</t>
        </r>
      </text>
    </comment>
    <comment ref="I224" authorId="2" shapeId="0">
      <text>
        <r>
          <rPr>
            <b/>
            <sz val="9"/>
            <color indexed="81"/>
            <rFont val="Tahoma"/>
            <family val="2"/>
          </rPr>
          <t>IATC:</t>
        </r>
        <r>
          <rPr>
            <sz val="9"/>
            <color indexed="81"/>
            <rFont val="Tahoma"/>
            <family val="2"/>
          </rPr>
          <t xml:space="preserve">
Se elimina, ya que no existe auditor para que realice la actividad</t>
        </r>
      </text>
    </comment>
    <comment ref="H225" authorId="2" shapeId="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I225" authorId="2" shapeId="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H226" authorId="2" shapeId="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I226" authorId="2" shapeId="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H227" authorId="0" shapeId="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7" authorId="0" shapeId="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Y246" authorId="3" shapeId="0">
      <text>
        <r>
          <rPr>
            <b/>
            <sz val="9"/>
            <color indexed="81"/>
            <rFont val="Tahoma"/>
            <family val="2"/>
          </rPr>
          <t>total del "Aporte al Avance del  PAA"
Se suma el avance de la cumplida (columna AB) más el avance de las que están en desarrollo (columna AB)</t>
        </r>
      </text>
    </comment>
  </commentList>
</comments>
</file>

<file path=xl/sharedStrings.xml><?xml version="1.0" encoding="utf-8"?>
<sst xmlns="http://schemas.openxmlformats.org/spreadsheetml/2006/main" count="2544" uniqueCount="610">
  <si>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</si>
  <si>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</si>
  <si>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</si>
  <si>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</si>
  <si>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</si>
  <si>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</si>
  <si>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</si>
  <si>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</si>
  <si>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</si>
  <si>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</si>
  <si>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</si>
  <si>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</si>
  <si>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</si>
  <si>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</si>
  <si>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</si>
  <si>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</si>
  <si>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</si>
  <si>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</si>
  <si>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</si>
  <si>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</si>
  <si>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</si>
  <si>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</si>
  <si>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</si>
  <si>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</si>
  <si>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</si>
  <si>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</si>
  <si>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</si>
  <si>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</si>
  <si>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</si>
  <si>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</si>
  <si>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</si>
  <si>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</si>
  <si>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</si>
  <si>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</si>
  <si>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</si>
  <si>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</si>
  <si>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</si>
  <si>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</si>
  <si>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</si>
  <si>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</si>
  <si>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</si>
  <si>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</si>
  <si>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</si>
  <si>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</si>
  <si>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</si>
  <si>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</si>
  <si>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</si>
  <si>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</si>
  <si>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</si>
  <si>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</si>
  <si>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</si>
  <si>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</si>
  <si>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</si>
  <si>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</si>
  <si>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</si>
  <si>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</si>
  <si>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</si>
  <si>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</si>
  <si>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</si>
  <si>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</si>
  <si>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</si>
  <si>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</si>
  <si>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</si>
  <si>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</si>
  <si>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</si>
  <si>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</si>
  <si>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</si>
  <si>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</si>
  <si>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</si>
  <si>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</si>
  <si>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</si>
  <si>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</si>
  <si>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</si>
  <si>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</si>
  <si>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</si>
  <si>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</si>
  <si>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</si>
  <si>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</si>
  <si>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</si>
  <si>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</si>
  <si>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</si>
  <si>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</si>
  <si>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</si>
  <si>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</si>
  <si>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</si>
  <si>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</si>
  <si>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</si>
  <si>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</si>
  <si>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</si>
  <si>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</si>
  <si>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</si>
  <si>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</si>
  <si>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</si>
  <si>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</si>
  <si>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Directiva 003 de 2013 Alcaldía Mayor de Bogotá</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</si>
  <si>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</si>
  <si>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</si>
  <si>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</si>
  <si>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</si>
  <si>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</si>
  <si>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</si>
  <si>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</si>
  <si>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</si>
  <si>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</si>
  <si>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</si>
  <si>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</si>
  <si>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</si>
  <si>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</si>
  <si>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</si>
  <si>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</si>
  <si>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</si>
  <si>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</si>
  <si>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</si>
  <si>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</si>
  <si>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</si>
  <si>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Informe PQR's - Ley 1474 de 2011</t>
  </si>
  <si>
    <t>Codigo Color</t>
  </si>
  <si>
    <t>Rol</t>
  </si>
  <si>
    <t>Cantidad personas que conforman la entidad</t>
  </si>
  <si>
    <t>N° Aux Administrativos</t>
  </si>
  <si>
    <t>N° de Técnicos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</si>
  <si>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</si>
  <si>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</si>
  <si>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</si>
  <si>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</si>
  <si>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</si>
  <si>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</si>
  <si>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</si>
  <si>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</si>
  <si>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</si>
  <si>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</si>
  <si>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</si>
  <si>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</si>
  <si>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</si>
  <si>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</si>
  <si>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</si>
  <si>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</si>
  <si>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</si>
  <si>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</si>
  <si>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</si>
  <si>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</si>
  <si>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</si>
  <si>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</si>
  <si>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</si>
  <si>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</si>
  <si>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</si>
  <si>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</si>
  <si>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</si>
  <si>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</si>
  <si>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</si>
  <si>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</si>
  <si>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</si>
  <si>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</si>
  <si>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</si>
  <si>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</si>
  <si>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</si>
  <si>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</si>
  <si>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</si>
  <si>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</si>
  <si>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</si>
  <si>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</si>
  <si>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</si>
  <si>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Auxiliar</t>
  </si>
  <si>
    <t>Abogado</t>
  </si>
  <si>
    <t>Técnico</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</si>
  <si>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</si>
  <si>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</si>
  <si>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</si>
  <si>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</si>
  <si>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</si>
  <si>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</si>
  <si>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</si>
  <si>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</si>
  <si>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</si>
  <si>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</si>
  <si>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</si>
  <si>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</si>
  <si>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</si>
  <si>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</si>
  <si>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</si>
  <si>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</si>
  <si>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</si>
  <si>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</si>
  <si>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</si>
  <si>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</si>
  <si>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</si>
  <si>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Seguimiento al plan de implementación del MIPG</t>
  </si>
  <si>
    <t>diferencia</t>
  </si>
  <si>
    <t>Total general</t>
  </si>
  <si>
    <t>Suma de Aporte al Avance del  PAA</t>
  </si>
  <si>
    <t>Suma de Ponderación</t>
  </si>
  <si>
    <t>roles Dec 648 de 2017</t>
  </si>
  <si>
    <t>Asesoría en la formulación de planes de mejoramiento internos y en la modificación de las acciones ya propuestas</t>
  </si>
  <si>
    <t>Valores</t>
  </si>
  <si>
    <t>Rótulos de fila</t>
  </si>
  <si>
    <t>Reporte</t>
  </si>
  <si>
    <t>Elizabeth Sáenz Sáenz</t>
  </si>
  <si>
    <t>Asesora de Control Interno</t>
  </si>
  <si>
    <t>Acta de Reunión - Comité Institucional de Coordinación de Control Interno</t>
  </si>
  <si>
    <t>Andrés Farias Pinzón</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</si>
  <si>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</si>
  <si>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</si>
  <si>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</si>
  <si>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Revisión y mantenimiento al botón de transparencia - Ley 1712 de 2014 numeral 7 a cargo de control interno</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</si>
  <si>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</si>
  <si>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</si>
  <si>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Diseñar, preparar, aplicar, tabular y realizar informe con oportunidades de mejora de la implementación y aplicación del estatuto interno del auditor y del código de ética del auditor</t>
  </si>
  <si>
    <t>Memorandos y/o Oficios</t>
  </si>
  <si>
    <t>Matriz</t>
  </si>
  <si>
    <t>Auditoría Proceso de Mejoramiento de Barrios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</si>
  <si>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</si>
  <si>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</si>
  <si>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Informe cuenta anual SIVICOF. Cargue del informe de control interno contable - CBN - 1019</t>
  </si>
  <si>
    <t>Eficacia</t>
  </si>
  <si>
    <t>Etiquetas de fila</t>
  </si>
  <si>
    <t>%</t>
  </si>
  <si>
    <t>NUEVA QUE SE INCLUYE</t>
  </si>
  <si>
    <t>SE DEBE ELIMINAR</t>
  </si>
  <si>
    <t>CUMPLIDA</t>
  </si>
  <si>
    <t>Administrador</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</si>
  <si>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</si>
  <si>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</si>
  <si>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Joan Gaitán Ferrer</t>
  </si>
  <si>
    <t>Carlos Vargas Hernández</t>
  </si>
  <si>
    <t>Auditoría Proceso de Urbanizaciones y Titulación
Decreto 371 de 2010 - Artículo 3 - de los procesos de atención al ciudadano, los sistemas de información y atención de las peticiones, quejas, reclamos y sugerencias de los ciudadanos, en el distrito capital</t>
  </si>
  <si>
    <t>SE ELIMINA</t>
  </si>
  <si>
    <t>TERMINA MES</t>
  </si>
  <si>
    <t>lo que debería llevar</t>
  </si>
  <si>
    <t>julio</t>
  </si>
  <si>
    <t>agosto</t>
  </si>
  <si>
    <t>septiembre</t>
  </si>
  <si>
    <t>octubre</t>
  </si>
  <si>
    <t>noviembre</t>
  </si>
  <si>
    <t>diciembre</t>
  </si>
  <si>
    <t>junio</t>
  </si>
  <si>
    <t>prog</t>
  </si>
  <si>
    <t>Prog =</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</si>
  <si>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</si>
  <si>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66 funcionarios + 395 contratistas = 461 personas
(son datos estimados al 31Dic2020)</t>
  </si>
  <si>
    <t>Personas en la Asesoría de Control Interno</t>
  </si>
  <si>
    <t>N° Profesionales Universitarios</t>
  </si>
  <si>
    <t>N° Profesionales Especializados</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</si>
  <si>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
5. Requisitos legales (normas y estándares)
6. Resultado de las auditorías externas e internas 2020
7. Estado del Plan de Desarrollo</t>
  </si>
  <si>
    <t>Auditor 6</t>
  </si>
  <si>
    <t>Ingeniero 2</t>
  </si>
  <si>
    <t>Ingeniero 1</t>
  </si>
  <si>
    <t>Kelly Serrano Rincón</t>
  </si>
  <si>
    <t>Contador</t>
  </si>
  <si>
    <t>enero</t>
  </si>
  <si>
    <t>febrero</t>
  </si>
  <si>
    <t>marzo</t>
  </si>
  <si>
    <t>abril</t>
  </si>
  <si>
    <t>mayo</t>
  </si>
  <si>
    <t>Prog acumulado</t>
  </si>
  <si>
    <t>días</t>
  </si>
  <si>
    <t>Informe de seguimiento a la Sostenibilidad Contable - Resolución DDC-00003 del 05 de diciembre de 2018 - corte al 30Sep2020</t>
  </si>
  <si>
    <t>Evaluación Matriz de riesgos de corrupción y por proceso 2020. Decreto 124 de 2016</t>
  </si>
  <si>
    <t>Evaluación Plan Anticorrupción y de Atención al Ciudadano 2020. Decreto 124 de 2016</t>
  </si>
  <si>
    <t>Memorando 202111200000873 con el cual se hizo entrega del informe.
Informe publicado el 12Ene21 en la página web.</t>
  </si>
  <si>
    <t>Se recopiló la información, se elaboró el reporte y se remitió por correo electrónico. Se ubicó en la carpeta compartida en el servidor y se solicitó la publicación en la página web</t>
  </si>
  <si>
    <t>Evaluación independiente del estado del Sistema de Control Interno. Artículo 9 Ley 1474 de 2011, modificado por el Artículo 156 del Decreto Nacional 2106 de 2019. Circular Externa 100-006 de 2019. Elaborado según metodología del DAFP</t>
  </si>
  <si>
    <t>Verificación de la oportunidad en la entrega de las herramientas de gestión de la CVP: Seguimiento a la Gestión por Procesos - Indicadores de Gestión, PAAC y mapa de riesgos</t>
  </si>
  <si>
    <t>Informe de seguimiento a la Sostenibilidad Contable - Resolución DDC-00003 del 05 de diciembre de 2018 - corte al 31Dic2020</t>
  </si>
  <si>
    <t>Informe de seguimiento a la Sostenibilidad Contable - Resolución DDC-00003 del 05 de diciembre de 2018 - corte al 31Mar2021</t>
  </si>
  <si>
    <t>Informe de seguimiento a la Sostenibilidad Contable - Resolución DDC-00003 del 05 de diciembre de 2018 - corte al 30Jun2021</t>
  </si>
  <si>
    <t>Informe de seguimiento a la Sostenibilidad Contable - Resolución DDC-00003 del 05 de diciembre de 2018 - corte al 30Sep2021</t>
  </si>
  <si>
    <t>Dar respuesta a derechos de petición, solicitudes de información de partes interesadas y emitir conceptos y pronunciamienos de competencia de la Asesoría de Control Interno</t>
  </si>
  <si>
    <t>Se revisó y ajustó el nomograma según las nuevas normas o modificatorias y se entregó cono oportunidad a la OAP</t>
  </si>
  <si>
    <t>1. Ruta seguimiento PAA 2020 con corte a 31Dic2020: \\10.216.160.201\control interno\2020\PAA
2. Matriz 208-CI-Ft-04 PAA 2020 V2.0 Seg2020 (Corte 31Dic2020) diligenciada</t>
  </si>
  <si>
    <t>Se realizó el último seguimiento del PAA del 2020 dando cumplimiento al 99,54% a sus actividades pactadas por cada uno de sus integrantes. También se solicitó su publicación en la página web</t>
  </si>
  <si>
    <t>Seguimiento al Plan de Acción de Gestión - Plan Anual de Auditorías - FUSS - Parágrafo 1, Artículo 38 - Decreto 807 de 2019</t>
  </si>
  <si>
    <t>Formulación Plan Anual de Auditorías - Parágrafo 1 Artículo 38 - Decreto 807 de 2019</t>
  </si>
  <si>
    <t>Seguimiento a la Gestión por Procesos - Indicadores de Gestión - Plan Anual de Auditorías - FUSS - Parágrafo 1, Artículo 38 - Decreto 807 de 2019</t>
  </si>
  <si>
    <t>Diseñar el plan de acción de Comité Institucional de Coordinación de Control Interno - CICCI 2021 y entregarlo a los miembros del comité para su revisión y posterior aprobación</t>
  </si>
  <si>
    <t>Informe entregado con el memorando 202111200000603 del 06Ene2021. Se encuentra en la ruta: \\10.216.160.201\control interno\2020\02.01 ACTAS COMITE C. I\08. Informe cumplimiento PT CICCI</t>
  </si>
  <si>
    <t xml:space="preserve">Con base en el plan de trabajo del comité, se elaboró y comunicó el informe de los resultados obtenidos en el seguimiento al Plan de Trabajo del Comité Institucional de Coordinación de Control Interno para la vigencia 2020. El informe está publicado en la página web
</t>
  </si>
  <si>
    <t>Elaborar informe de cumplimiento del plan de trabajo del Comité Institucional de Coordinación de Control Interno - CICCI 2020 para entregar a los miembros del comité</t>
  </si>
  <si>
    <t>Elaborar Informe cuenta anual SIVICOF: CB-0402S - Plan de mejoramiento - Seguimiento Entidad</t>
  </si>
  <si>
    <t>Elaborar Informe cuenta anual SIVICOF: CBN-1015 - Informe de Austeridad en el Gasto</t>
  </si>
  <si>
    <t>Elaborar Informe cuenta anual SIVICOF: CBN-1016 - Informe sobre Detrimentos Patrimoniales</t>
  </si>
  <si>
    <t>Elaborar Informe cuenta anual SIVICOF: CBN-1107 - Plan de Contingencia Institucional</t>
  </si>
  <si>
    <t>Elaborar Informe cuenta anual SIVICOF: CBN-1021 - Informe de Auditoría Externa</t>
  </si>
  <si>
    <t>Informe PQR's - Ley 1474 de 2011 - Decreto 371 de 2010 - segundo semestre 2020
Auditoría Especial de la prestación del Servicio al Ciudadano en el marco de la situación de calamidad pública en Bogotá, D.C. ordenada en el Decreto 087 del 2020 de la Alcaldía Mayor de Bogotá. Radicado 2020IE8609 del 19 de octubre de 2020</t>
  </si>
  <si>
    <t>Realizar los trámites pertinentes para lograr el cierre de los expedientes contractuales de los contratistas supervisados por control interno, cuya garantía ya haya vencido</t>
  </si>
  <si>
    <t>Participación e intervención en los comités:
Instancia técnica de inventarios de bienes inmuebles
Instancia técnica de inventarios de bienes muebles
Comité técnico de sostenibilidad contable
Comité de conciliación
Comité financiero
Comité directivo
Comité de gestión y desempeño
Comité distrital de auditoría</t>
  </si>
  <si>
    <t>Realizar seguimiento al Comité Institucional de Coordinación de Control Interno - CICCI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</si>
  <si>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Elaborar el informe de la Oficina de Control Interno vigencia 2020 - documento CBN 1038</t>
  </si>
  <si>
    <t>Elaborar el informe de la Oficina de Control Interno vigencia 2021 - documento CBN 1038</t>
  </si>
  <si>
    <t>Seguimiento al Plan de Mejoramiento Externo - literal i; Artículo 2.2.21.4.9 del Decreto 1083 de 2015 y Artículo 10 de la Resolución reglamentaria 036 de 2019, expedida por la Contraloría de Bogotá</t>
  </si>
  <si>
    <t>Seguimiento al Plan de Mejoramiento Interno - Artículo 5 del Decreto 371 de 2010</t>
  </si>
  <si>
    <t>Formulación de la Gestión por Procesos - Indicadores de Gestión - FUSS - Proceso Evaluación de la Gestión</t>
  </si>
  <si>
    <t>Revisión y formulación 2021 del Plan Anticorrucpión y de Atención al Ciudadano y Mapa de Riesgos por proceso y de corrupción - proceso de Evaluación de la Gestión</t>
  </si>
  <si>
    <t>Control Interno Contable CBN - 1019 durante la vigencia 2020. Resolución 193 de 2016 de la CGN; Resolución Reglamentaria 11 de 2014 de la Contraloría de Bogotá, modificada por la Resolución Reglamentaria 23 de 2016.</t>
  </si>
  <si>
    <t>Subir al CHIP el informe de Evaluación del Sistema de Control Interno Contable CBN - 1019</t>
  </si>
  <si>
    <t>Reporte SIRECI - Circular Externa N° DDP-000022 del 31 de diciembre del 2020:
1. Obras inconclusas o sin uso.
2. Procesos penales por delitos contra la administración pública o que afecten los intereses patrimoniales del Estado.
3. Sistema General de Participaciones y demás transferencias de origen nacional.
4. Sistema General de Regalías, (Consolida información de las entidades designadas como ejecutoras de estos recursos - Secretaria Distrital de Planeación).
5. Planes de mejoramiento.</t>
  </si>
  <si>
    <t>Atención Auditoría de Desempeño 1: Cód 60: Proyecto La Arboleda Santa Teresita - Contrato de obra civil CPS -PCVN--3-1-30589-045/2015, suscrito con la Fiduciaria Bogotá y Odicco Ltda.</t>
  </si>
  <si>
    <t>Atención Auditoría de Desempeño 2: Cód 64: Evaluación del convenio Nº 044 de 2014 suscrito entre la Caja de la Vivienda Popular con el Fondo de Desarrollo Local de Usme, por valor de $7.472.160.000.</t>
  </si>
  <si>
    <t>Correo electrónico</t>
  </si>
  <si>
    <t>Seguimiento a los procesos judiciales - SIPROJ - del 01Ene2020 al 28Feb2021</t>
  </si>
  <si>
    <t>Auditoría Proceso de Urbanizaciones y Titulación
Revisión de Riesgos</t>
  </si>
  <si>
    <t>Auditoría Proceso de Mejoramiento de Vivienda
Revisión de Riesgos</t>
  </si>
  <si>
    <t>Auditoría Proceso de Mejoramiento de Barrios
Revisión de Riesgos</t>
  </si>
  <si>
    <t>Auditoría Proceso de Reasentamientos Humanos
Revisión de Riesgos</t>
  </si>
  <si>
    <t>Revisar la formulación de las actividades del PAAC en el primer seguimiento y generar las alertas respectivas.</t>
  </si>
  <si>
    <t>Realizar las actividades de monitoreo y seguimiento a la estrategia de racionalización propuesta a través de SUIT</t>
  </si>
  <si>
    <t>Auditoría Proceso de Mejoramiento de Vivienda
Decreto 371 de 2010 - Artículo 2 - de los procesos de contratación en el distrito capital</t>
  </si>
  <si>
    <t>Seguimiento al Comité de Conciliación del 01Ene2020 al 30Jun2021</t>
  </si>
  <si>
    <t>Evaluar el proceso de Rendición de Cuentas (Audiencia Pública u otra alternativa)</t>
  </si>
  <si>
    <t>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t>
  </si>
  <si>
    <t>Realizar una charla individual con los procesos para comunicar puntualmente las deficiencias y llegar a acuerdos para la mejora de la información en términos de plazos, diseño y formato.</t>
  </si>
  <si>
    <t>Revisión del informe de gestión judicial, según los términos del Artículo 30 de la Resolución 104 de 2018</t>
  </si>
  <si>
    <t>Evaluación del desempeño institucional a través del Furag según lineamientos del DAFP</t>
  </si>
  <si>
    <t>Certificado</t>
  </si>
  <si>
    <t>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t>
  </si>
  <si>
    <t>Acta</t>
  </si>
  <si>
    <t>Presentación</t>
  </si>
  <si>
    <t>Piezas comunicativas y presentación</t>
  </si>
  <si>
    <t>Correo electrónico - Oficios</t>
  </si>
  <si>
    <t>Auditoría Proceso de Urbanizaciones y Titulación
Cumplimiento metas del PDD y Proyecto de inversión - Presupuesto - FUSS - Plan Anual de Adquisidores - Indicadores</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</si>
  <si>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</si>
  <si>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Mejoramiento de Barrios
Cumplimiento metas del PDD y Proyecto de inversión - Presupuesto - FUSS - Plan Anual de Adquisidores - Indicadores</t>
  </si>
  <si>
    <t>Auditoría Proceso de Mejoramiento de Vivienda
Decreto 371 de 2010 - Artículo 3 - de los procesos de atención al ciudadano, los sistemas de información y atención de las peticiones, quejas, reclamos y sugerencias de los ciudadanos, en el distrito capital</t>
  </si>
  <si>
    <t>Auditoría Proceso de Mejoramiento de Vivienda
Cumplimiento metas del PDD y Proyecto de inversión - Presupuesto - FUSS - Plan Anual de Adquisidores - Indicadores</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</si>
  <si>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</si>
  <si>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Reasentamientos Humanos
Cumplimiento metas del PDD y Proyecto de inversión - Presupuesto - FUSS - Plan Anual de Adquisidores - Indicadores</t>
  </si>
  <si>
    <t>Auditoría Proceso de Reasentamientos Humanos
Expedientes del proceso - Relocalización Transitoria</t>
  </si>
  <si>
    <t>Se revisó la caracterización y se modificó, se revisaron los riesgos desde el contexto y también fueron actualizados, se propusieron nuevas actividades de tratamiento de riesgos y en el PAAC</t>
  </si>
  <si>
    <t>Informe de gestión judicial entregado en la Secretaría Jurídica Distrital con radicado 202116000001371 del 07ene2021</t>
  </si>
  <si>
    <t>Se solicitó la información a la OAP, quien la entregó de manera oportuna y se elaboró el cuadro con las fechas de la oportunidad. Esta información se presentó en la evaluación del PAAC y se empleará también para la evaluación anual por dependencias</t>
  </si>
  <si>
    <t>Se remitió la información en dos correos el 07Ene2021 a los destinatarios solicitados por la SHD</t>
  </si>
  <si>
    <t>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t>
  </si>
  <si>
    <t>Auditoría Proceso de Mejoramiento de Barrios
Expedientes del proceso - procedimientos del proceso</t>
  </si>
  <si>
    <t>Auditoría Proceso de Urbanizaciones y Titulación
Expedientes del proceso - procedimientos del proceso</t>
  </si>
  <si>
    <t>Auditoría Proceso de Mejoramiento de Vivienda
Expedientes del proceso - procedimientos del proceso</t>
  </si>
  <si>
    <t>Contratación 2021 contratistas ACI: Elaborar los estudios previos de los contratos de control interno, revisión de los documentos de los contratistas, radicación de las carpetas y apoyo en la suscripción de los contratos</t>
  </si>
  <si>
    <t>Contratación 2021 contratistas ACI: Elaborar los estudios previos de los contratos de control interno, verificación de la entrega y aprobación de la póliza y elaboración de las actas de inicio y cargue en el sistema secop</t>
  </si>
  <si>
    <t>Realizar evaluación 2020 y concertación 2021 planta fija</t>
  </si>
  <si>
    <t>Seguimiento Matriz de riesgos de corrupción y por proceso 2021</t>
  </si>
  <si>
    <t>Seguimiento Plan Anticorrupción y de Atención al Ciudadano 2021. Decreto 124 de 2016</t>
  </si>
  <si>
    <t>No se tienen en cuenta las actividades que deberían llevar algún grado de ejecución, es decir aquellas que iniciaron antes del corte, pero cuya fecha de finalización es posterior  al corte de medición</t>
  </si>
  <si>
    <t>Únicamente se tienen en cuenta las actividades que deberían haberse finalizado al corte de medición</t>
  </si>
  <si>
    <t>Correo Electrónico del 21Ene2021 de entrega del PAAC y mapa de riesgos formulado</t>
  </si>
  <si>
    <t>Se realizó el trámite de cuentas de cobro de contratistas de ACI, del 21 al 30 de diciembre de 2020, donde dicha actividad quedó cumplida en su totalidad de la siguiente manera:
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t>
  </si>
  <si>
    <t>El cuadro se encuentra en al siguiente ruta: \\10.216.160.201\control interno\2021\19.04 INF.  DE GESTIÓN\EVALUACIÓN POR DEPENDENCIAS 2020\05. Mapa de Riesgos</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</si>
  <si>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</si>
  <si>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Ruta: \\10.216.160.201\control interno\2021\02.01 ACTAS COMITE C. I\00. Plan de trabajo CICCI</t>
  </si>
  <si>
    <t>Ruta: \\10.216.160.201\control interno\2021\28.03 PAA
202111200003413 memorando del 22ene2021
Acta de aprobación del PAA</t>
  </si>
  <si>
    <t>Se elaboró el FUSS y se entregó el 21Ene2021, se realizó un ajuste en la programación el 27Ene2021, en atención al PAA aprobado el 26ene2021 por los miembros del comité CICCI. Ruta: \\10.216.160.201\control interno\2021\19.04 INF.  DE GESTIÓN\HERRAMIENTAS\FUSS- P I 7696
Los indicadores se formularon y fueron enviados por correo electrónico a la OAP el 26Ene2021, en los términos solicitados en el memorando  202111300003303 del 21Ene2021. Ruta: \\10.216.160.201\control interno\2021\19.04 INF.  DE GESTIÓN\HERRAMIENTAS\INDICADORES</t>
  </si>
  <si>
    <t>Ruta: \\10.216.160.201\control interno\2021\02.01 ACTAS COMITE C. I\01. 26Ene2021</t>
  </si>
  <si>
    <t>Ruta: \\10.216.160.201\control interno\2021\19.04 INF.  DE GESTIÓN\EVALUACIÓN POR DEPENDENCIAS 2020</t>
  </si>
  <si>
    <t>Ruta: \\10.216.160.201\control interno\2021\19.04 INF.  DE GESTIÓN\COM CONCILIACIÓN</t>
  </si>
  <si>
    <t>Ruta: \\10.216.160.201\control interno\2021\00. APOYO\03. Contratación</t>
  </si>
  <si>
    <t>Ruta: \\10.216.160.201\control interno\2021\19.01 INF.  A  ENTID. DE CONTROL Y VIG\SIVICOF\CUENTA ANUAL</t>
  </si>
  <si>
    <t>Ruta: \\10.216.160.201\control interno\2021\19.01 INF.  A  ENTID. DE CONTROL Y VIG\CGR SIRECI\02. Ene</t>
  </si>
  <si>
    <t>Cantidad de informes de ley a entregar en el año</t>
  </si>
  <si>
    <t>202111200000613 del 06ene2021 Solicitud Información
202111200005403 del 29Ene2021 entrega del informe y publicación en la página web de la entidad
Ruta: \\10.216.160.201\control interno\2021\19.04 INF.  DE GESTIÓN\AUSTERIDAD\IV TRIM 2020</t>
  </si>
  <si>
    <t>Informe elaborado y entregado por el profesional el 18Ene2021.
Informe entregado al Director General con memorando 202111200005423 del 31Ene2021 y verificada su publicación en la página web de la entidad
Ruta: \\10.216.160.201\control interno\2021\19.04 INF.  DE GESTIÓN\DIRECTORES ASESORES Y JEFES\IVONNE ANDREA TORRES CRUZ</t>
  </si>
  <si>
    <t>Se planeó el seguimiento, se realizaron las visitas, se diligenció la matriz y el informe se elaboró y revisó y se entregó el 31Ene2021 con el memorando 202111200005443 del 31Ene2021</t>
  </si>
  <si>
    <t>Ruta: \\10.216.160.201\control interno\2021\28.05 PM\EXTERNO\CONTRALORÍA\01. IV SEG 2020
El informe se entregó el 31Ene2021 con el memorando 202111200005443 del 31Ene2021 y se verificó su publicación en la página web, junto con la matriz de detalle de seguimiento</t>
  </si>
  <si>
    <t>\\10.216.160.201\control interno\2021\19.04 INF.  DE GESTIÓN\EVALUACION SCI\II sem 2020
Informe publicado en página web el 01Feb2021
Se entregó el informe con el memorando 202111200005453 el 31Ene2021</t>
  </si>
  <si>
    <t>Avance real</t>
  </si>
  <si>
    <t>CONVENCIONES</t>
  </si>
  <si>
    <t>Informes de ley que se reportan en indicador de oportunidad de entrega en informes de ley</t>
  </si>
  <si>
    <t>VERSIÓN 1 - FUSS</t>
  </si>
  <si>
    <t>VERSIÓN 2 - FUSS</t>
  </si>
  <si>
    <t>Ejecutado</t>
  </si>
  <si>
    <t>Indicador de oportunidad en la entrega de los informes de ley</t>
  </si>
  <si>
    <t>Corresponden al color verde de la celda: Roles Decreto 948 de 2017</t>
  </si>
  <si>
    <t>Revisión del tema del embargo de la UGPP - tema del comité financiero</t>
  </si>
  <si>
    <t>Apoyar la disposición final de las chaquetas de BMPT</t>
  </si>
  <si>
    <t>ESTADO</t>
  </si>
  <si>
    <t>Se compiló la información de los 4 trimestres de 2020 y se subió al sistema sivicof.</t>
  </si>
  <si>
    <t>Ruta del FUSS: \\10.216.160.201\control interno\2021\19.04 INF.  DE GESTIÓN\HERRAMIENTAS\FUSS- P I 7696
Ruta del PAA: \\10.216.160.201\control interno\2021\28.03 PAA</t>
  </si>
  <si>
    <t>Se formuló el PAA, se aprobó el 26ene2021 por el comité CICCI y se alimenta la matriz con el seguimiento semanal para entregar a tiempo la información.
Se reprogramaron los porcentajes del FUSS y fueron entregados nuevamente con el memorando 202111200004633 del 27ene2021. Se realizó el primer seguimiento con corte al 31Ene y se envió por correo electrónico el 03Feb</t>
  </si>
  <si>
    <t>Se revisó la información y no se encontraron obras inconclusas, ni recursos del SGP, ni de regalías y tampoco hay suscrito PM con la CGN, por lo que se elaboró el reporte y se dejó programado para su envío el 02Feb2021. Se incluyó correo en la carpeta compartida.</t>
  </si>
  <si>
    <t>Cuentas radicadas en el drive de la Subdirección Financiera y en proceso de pago, siendo que al 26 de enero de 2021, ya les habían girado a 6 de los siete contratistas. El 08Feb le giraron a Carlos Andrés por inconvenientes con la planilla de pago en la que iba su giro</t>
  </si>
  <si>
    <t>Cuentas radicadas en el drive de la Subdirección Financiera y en proceso de pago, siendo que al 22Feb, ya les habían girado a los seis contratistas.</t>
  </si>
  <si>
    <t>Se realizó el trámite de cuentas de cobro de contratistas de ACI, del 01 al 18 de enero de 2021, Carlos Andrés hasta el 27Ene y Kelly hasta el 28Ene, donde dicha actividad quedó cumplida en su totalidad de la siguiente manera:
Cuentas de cobro de contratistas: Andrea Sierra, Marcela Urrea, Joan Gaitán, Carlos Vargas, Kelly Serrano y Andrés Farias del mes de enero 2021 radicadas en carpeta compartida en DRIVE establecida por la Subdirección Financiera.</t>
  </si>
  <si>
    <t>Ruta de evidencias del cargue de información de la cuenta mensual del mes de diciembre: \\10.216.160.201\control interno\2021\19.01 INF.  A  ENTID. DE CONTROL Y VIG\SIVICOF\CUENTA MENSUAL\01. DICIEMBRE 2021</t>
  </si>
  <si>
    <t>Ruta de evidencias del cargue de información de la cuenta mensual del mes de diciembre: \\10.216.160.201\control interno\2021\19.01 INF.  A  ENTID. DE CONTROL Y VIG\SIVICOF\CUENTA MENSUAL\01. ENERO</t>
  </si>
  <si>
    <t>Oficio 202111200003991 - Informe Presupuestal diciembre 2020 enviado por correo electrónico a la Personería el 15Ene</t>
  </si>
  <si>
    <t>Oficio 202111200016231 - Informe Presupuestal enero 2021 enviado por correo electrónico a la Personería el 10Feb</t>
  </si>
  <si>
    <t>Se realizó evaluación de los compromisos del 01Feb2020 al 31Ene2021 en el aplicativo destinado de la CNSC para tal fin.
Se elaboró memorando de entrega a la Subdirección Administrativa
Se realizó concertación de los compromisos del 01Feb2021 al 31Ene2022 en el aplicativo destinado de la CNSC para tal fin.
Se elaboró memorando de entrega a la Subdirección Administrativa</t>
  </si>
  <si>
    <t>Ruta: \\10.216.160.201\control interno\2021\19.04 INF.  DE GESTIÓN\FURAG</t>
  </si>
  <si>
    <t>EN EJECUCIÓN</t>
  </si>
  <si>
    <t>Ruta: \\10.216.160.201\control interno\2021\19.04 INF.  DE GESTIÓN\CONTROL INTERNO CONTABLE</t>
  </si>
  <si>
    <t>Ruta: \\10.216.160.201\control interno\2021\19.01 INF.  A  ENTID. DE CONTROL Y VIG\SIVICOF\CUENTA ANUAL\06. Control Fiscal</t>
  </si>
  <si>
    <t>El informe fue realizado en diciembre y primera semana de enero de 2021 y fue entregado al Director General y a la Subdirección Financiera, este informe contiene 1 observación (hallazgo menor que no requiere formulación de plan de mejoramiento) y 2 recomendaciones para la mejora</t>
  </si>
  <si>
    <t>Con memorando 202111200001853 del 14Ene21 se hizo entrega del informe de evaluación y la matriz con el detalle del seguimiento.
El informe y la matriz fueron publicados en la página web el 15Ene2021</t>
  </si>
  <si>
    <t>Planeación: revisión de las actividades a realizar seguimiento, revisión de los cambios aprobados, alistamiento de archivos, elaboración de cronograma de seguimiento, memorando y agendas.
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
Informe: con las evidencias, matriz diligenciada y actas de reunión se elaboró el informe con las recomendaciones para la mejora. Se entregó el informe, la matriz de seguimiento y ésta se publicó en la página web el 15Ene2021.</t>
  </si>
  <si>
    <t>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t>
  </si>
  <si>
    <t>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t>
  </si>
  <si>
    <t>la Dirección Jurídica remitió el informe para revisión y Vo.Bo., se revisó, se pidieron ajustes y aclaraciones que fueron tenidas en cuenta y se remitió el informe</t>
  </si>
  <si>
    <t>El normograma actualizado fue remitido el 08Ene2021 por correo electrónico a la OAP</t>
  </si>
  <si>
    <t>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t>
  </si>
  <si>
    <t>Se solicitó la información a la cual dieron respuesta y el informe se elaboró y fue entregado al los destinatarios con el memorando 202111200005403 del 29Ene2021. Se verificó su publicación en la página web de la entidad</t>
  </si>
  <si>
    <t>*. Se revisó la norma, se preparó la información a solicitar, se solicitó la información (202111200002383 Solicitud Cuenta anual 2020 del 18Ene2021).
*. Se solicitó información de Hurtos y pérdidas (202111200002763 del 20Ene2021 para Administrativa) y (202111200002783 del 20Ene2021 para DGC).
*. Se solicitó información de auditorías externas o seguimientos externos 202111200002743 del 20ene2021.
*. Se solicitó Plan de Contingencia 202111200002773 del 20Ene2021.
*. Se organizó la carpeta compartida con la información que se recibió.
*. Se elaboraron los informes responsabilidad de control interno.
*. Se ajustaron los informes de Excel que así lo requirieron, se validaron en el storm user, se generó el archivo STR respectivo y se firmaron los formatos electrónicos.
*. Se subieron los informes de la cuenta anual y se generó el respectivo certificado.</t>
  </si>
  <si>
    <t>El PAA se elaboró y se envió por memorando 202111200003413 y por correo el 24ene2021 para revisión de los miembros del comité CICCI. El 26ene2021 fue aprobado por todos los miembros del comité y se solicitó su publicación en la página web el 27Ene2021</t>
  </si>
  <si>
    <t>*. Matriz de seguimiento al PM contraloría con corte al 31Dic2020 elaborada.
*. Se elaboró y ajustó el informe de Excel, se validó en el storm user, se generó el archivo STR respectivo y se firmó el formato electrónico.
*. Se subió el archivo al sivicof y se generó el certificado de recepción de información en el sistema.</t>
  </si>
  <si>
    <t>. Se solicitó información a los responsables para luego compilar las respuestas. Se solicitó información de Hurtos y pérdidas (202111200002763 del 20Ene2021 para Administrativa) y (202111200002783 del 20Ene2021 para DGC).
*. Se revisó la información, se compiló y se elaboró el informe.
*. Se subió el sistema sivicof.</t>
  </si>
  <si>
    <t>*. Se solicitó información a los responsables para luego compilar las respuestas. Se solicitó información de auditorías externas o seguimientos externos 202111200002743 del 20ene2021.
*. Se revisó la información, se compiló y se elaboró el informe.
*. Se subió el sistema sivicof.</t>
  </si>
  <si>
    <t>*. Se solicitó información a los responsables para luego compilar las respuestas. Se solicitó Plan de Contingencia 202111200002773 del 20Ene2021.
*. Se revisó la información, se compiló y se elaboró el informe.
*. Se subió el sistema sivicof.</t>
  </si>
  <si>
    <t>Se solicitó la información, se recibió, revisó y cargó al sistema sivicof. Se solicitó prórroga de un día porque la internet se fue en la entidad el último día del cargue. Se solicitó la publicación en la página web del certificado</t>
  </si>
  <si>
    <t>01. 202111200008883 Rta a rad. 202117200006473 - Concertación 2021
02. 202111200008843 Rta a rad. 202117200006473 - Evaluación 2021</t>
  </si>
  <si>
    <t>Ruta: \\10.216.160.201\control interno\2021\19.01 INF.  A  ENTID. DE CONTROL Y VIG\CGR SIRECI\03. Feb
01. 202111200008903 solicitud contratos de obra</t>
  </si>
  <si>
    <t>Ruta: \\10.216.160.201\control interno\2021\02.01 ACTAS COMITE C. I\02. 24Feb2021</t>
  </si>
  <si>
    <t>Actividades que se encuentran en el plan de sostenibilidad del MIPG</t>
  </si>
  <si>
    <t>Realizar evaluación parcial 2021 por retiro del jefe inmediato planta fija</t>
  </si>
  <si>
    <t>Realizar evaluación parcial 2021 de mitad de año planta fija</t>
  </si>
  <si>
    <t>Auditoría Proceso de Mejoramiento de Vivienda
Recursos del Convenio con la SDHT</t>
  </si>
  <si>
    <t>*. Se planificaron y se enviaron las necesidades de contratación para control interno (202111200003803 del 25Ene2021).
*. Se solicitaron los documentos a los contratistas para poder elaborar el contrato.
*. Se solicitaron las viabilidades y CDP's (202111200004443 del 27Ene2021), donde expidieron 3 viabilidades por 5 meses (Marcela y Carlos Andrés), Joan por 3 meses.
*. Andrés le está entregando sus actividades a Joan.
*. Se elaboraron y entregaron los certificados de inclusión en expediente electrónico de los contratistas de Control Interno, correspondientes a los periodos de octubre, noviembre, diciembre de 2020 y enero de 2021 de los contratistas que finalizaron contrato en enero de 2021.
*. Andrea revisó carpetas y todas se ajustaron.
*. Estudios previos elaborados y entregados a la DGC.
*. Se solicitaron las insuficiencias de personal a la Subdir Adm.
*. Se solicitaron las viabilidades y CDP's (202111200008733 del 18Feb2021), donde expidieron 2 viabilidades por 6 meses (Andrea y Kelly).
*. Se realizaron los trámites de la contratación de las 2 profesionales restantes, cuyos contratos se sucribieron el 25Feb con acta de incio del 01Mar</t>
  </si>
  <si>
    <t>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t>
  </si>
  <si>
    <t>Auditoría a la cartera generada por el Proceso de Urbanizaciones y Titulación</t>
  </si>
  <si>
    <t>Auditoría a los inventarios de bienes inmuebles reportados por el Proceso de Urbanizaciones y Titulación</t>
  </si>
  <si>
    <t>Auditoría a la cartera generada por el Proceso de Reasentamientos Humanos</t>
  </si>
  <si>
    <t>Auditoría Proceso de Gestión del Talento Humano
Cobro de las Incapacidades reportadas por los funcionarios del proceso de Reasentamientos Humanos</t>
  </si>
  <si>
    <t>Auditoría a los inventarios de bienes inmuebles reportados por el Proceso de Reasentamientos Humanos</t>
  </si>
  <si>
    <t>Auditoría a la aplicación de las políticas contables por parte de los procesos de Gestión Financiera y de Reasentamientos Humanos</t>
  </si>
  <si>
    <t>Se solicitó información para ser entregada el 20Ene2021, la cual no fue entregada. Se realizó reunión con la Subdirección Financiera y su equipo, quienes indicaron que entregarán parcialmente la información desde el 25Ene2021 (primera entrega parcial a tiempo (202117100003673 Rta dada por Financiera)), sin embargo, el informe solo podrá elaborarse después del 16Feb2021, fecha en la cual harán entrega del resto de la información.
Se cumplió con la misma información de la evaluación del sistema de control interno contable, informe qiue fue entregado al director general y Subdirectora Financiera el 26Feb (202111200010613)</t>
  </si>
  <si>
    <t>Ruta: \\10.216.160.201\control interno\2021\19.04 INF.  DE GESTIÓN\MNC\4to Trim 2020
Ruta: \\10.216.160.201\control interno\2021\19.04 INF.  DE GESTIÓN\CONTROL INTERNO CONTABLE\05. Informes</t>
  </si>
  <si>
    <t>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t>
  </si>
  <si>
    <t>Verificar el cierre de 2020 de la caja menor de la Caja de la Vivienda Popular, en lo relacionado con la delegación de gastos y el manejo de los mismos.</t>
  </si>
  <si>
    <t>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t>
  </si>
  <si>
    <t>Se modifica la programación por la V2 del PAA del 10Mar</t>
  </si>
  <si>
    <t>Ruta: https://drive.google.com/drive/u/1/folders/0AK5YY03jEsvoUk9PVA</t>
  </si>
  <si>
    <t>Se tramitsron las cuentas de tres de los contratistas de la Asesorìa de Control Interno relacionado con el mes de febrero. Se realizaron los SISCOS de cada uno de los contratistas y se radicaron en la carpeta compartida de la Subdirecciòn Financiera.</t>
  </si>
  <si>
    <t>Se asistió a la charla del 08Feb, se verificó la circular que modifica las fechas, se recibió nueva notificación de sesión de preguntas, se solicitó el usuario, ya que el actual no se sabe si funciona.
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t>
  </si>
  <si>
    <t>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t>
  </si>
  <si>
    <t>Oficio 202111200027481- Informe Presupuestal febrero 2021 enviado por correo electrónico a la Personería el 09Marzo2021</t>
  </si>
  <si>
    <t>\\10.216.160.201\control interno\2021\19.04 INF.  DE GESTIÓN\DNDA</t>
  </si>
  <si>
    <t>Ruta: \\10.216.160.201\control interno\2021\28.05 PM\INTERNO\02. I_Seg_2021 corte 28 feb\3. Informe
El informe se entregó el 26mar2021 con el memorando 202111200019723 del 26mar2021 y se verificó su publicación en la página web, junto con la matriz de detalle de seguimiento</t>
  </si>
  <si>
    <t>Ruta: \\10.216.160.201\control interno\2021\19.03 INF. AUDITORIAS C. I\INTERNAS\01. DUT\01. Controles riesgos\3. Resultados</t>
  </si>
  <si>
    <t>VENCIDA</t>
  </si>
  <si>
    <t xml:space="preserve">Ruta: \\10.216.160.201\control interno\2021\19.04 INF.  DE GESTIÓN\PQRDS\01. II Sem 2020
Ruta: \\10.216.160.201\control interno\2021\19.04 INF.  DE GESTIÓN\PQRDS\01. II Sem 2020\03. Inf. y memorando rem y publicado en:
https://www.cajaviviendapopular.gov.co/sites/default/files/Informe%20PQRSD%202do%20semestre%202020_0.pdf
El informe fue remitido a los lÍderes de los procesos con memorando 202111200018773 del 23Mar2021 y publicado en la página web de la Entidad. </t>
  </si>
  <si>
    <t>Mediante memorando de radicado 202111200011463 de fecha 02 de marzo de 2021, se solicitó a la Direccion General (teniendo en cuenta que no hay jefe TIC) la información que servirá de insumo para la presentación del informe de la DNDA.
* con Memorando de radicado N° 202111600015753 de fecha 12 de marzo de 2021, el jefe Encargado de la oficina TIC remitió la información requerida para el informe DNDA
* El día 15 de marzo de 2021 se cargó en la página de la Dirección Nacional de Derechos de Autor, el informe de conformidad con lo establecido en la circular 017 de 2011,</t>
  </si>
  <si>
    <t>Ruta de evidencias del cargue de información de la cuenta mensual del mes de febrero: \\10.216.160.201\control interno\2021\19.01 INF.  A  ENTID. DE CONTROL Y VIG\SIVICOF\CUENTA MENSUAL\01. febrero</t>
  </si>
  <si>
    <t>Se solicitó la información, se recibió, revisó y cargó al sistema sivicof. Se solicitó la publicación en la página web del certificado</t>
  </si>
  <si>
    <t>1. Con memo 202116000007863 del 15Feb2021 se realizó solicitud de modificación de acción de la Dir. Jurídica, la cual se tramitó y subió al sivicof el 19Feb2021.
2. Con memo 202112000010013 del 24Feb2021 se realizó solicitud de modificación de 2 acciones de la Dirección de Reasentamientos cód Aud 56 y 70, la cual se tramitó y subió al sivicof el 05Mar2021.
3. Con memo 202112000016473 del 15Mar2021 se realizó solicitud de modificación de 2 acciones de la Dirección de Reasentamientos, la cual se tramitó y subió al sivicof el 19Mar2021.
Todas las evidencias se encuentran en la carpeta compartida en el servidor.</t>
  </si>
  <si>
    <t>l. informe se realizó solicitando información, consolidación y seguimiento del mismo a dos cortes 31/12/2020 y 28/02/2021. 
• Para Corte 31/12/2020, se contaba en el plan de mejoramiento con 172  cciones, de las cuales  136 quedaron cerradas (79%), 10 quedaron en ejecución oportuna (6%), 24 quedaron en  ejecución vencida (14%) y 2 sin  eguimiento (1%). Con una eficacia de ejecución del 85,44%.
• Para Corte 28/02/2021, se contaba en el plan de mejoramiento con 172 acciones, de las cuales  144 quedaron cerradas (84%), 9 quedaron en ejecución oportuna (5%) y 19  uedaron en  ejecución vencida (11%). Con una eficacia de ejecución del 88.27%.
• Se solicitó la publicación en la páguna web y en la carpeta compartida.</t>
  </si>
  <si>
    <t>10. DP: Sol info por correo electrónico sobre el cto 459-2014 San Martín de Loba, La Contraloría hace otra solicitud con oficio  202117000029772 del 12Mar. Se solicita prórroga 202111200029991 y se da Rta con oficio 202115000032861 del 17Mar.</t>
  </si>
  <si>
    <t>Ruta de la información: \\10.216.160.201\control interno\2021\28.03 PAA
Se solicitó por correo el diligenciamiento del archivo del PAA</t>
  </si>
  <si>
    <t>Ruta interna: \\10.216.160.201\control interno\2021\19.04 INF.  DE GESTIÓN\RENDICIÓN DE CUENTAS</t>
  </si>
  <si>
    <t>Ruta: \\10.216.160.201\control interno\2021\02.01 ACTAS COMITE C. I\03. 08Abr2021
Correo de convocatoria
2021112000200 Sol de info de ejecución pptal
Evidencias de cumplimiento de compromisos
Presentación para el comité</t>
  </si>
  <si>
    <t>debería llevar</t>
  </si>
  <si>
    <t xml:space="preserve">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
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t>
  </si>
  <si>
    <t xml:space="preserve">Se convocó a la tercera sesión ordinaria el 17Mar para el 25Mar. Fecha que fue reprogramada por el Director General para el 07Abr y de nuevo el 05Abr reprogramó para el 08Abr.
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t>
  </si>
  <si>
    <t>Se ha realizado seguimiento mensual a las actividades del PAA. Se realizó reprogramación de actividades, se incluyeron adicionales y se retiraron actividades. Se envió por correo a Juan David Solano el respectivo seguimiento con cumplimiento (eficacia) del 97.04%</t>
  </si>
  <si>
    <t>Se revisó la información y no se encontraron obras inconclusas, ni recursos del SGP, ni de regalías y tampoco hay suscrito PM con la CGN, por lo que se elaboró el reporte y se envió el 06Abr2021. Se incluyó correo en la carpeta compartida.</t>
  </si>
  <si>
    <t xml:space="preserve">Se realizó el trámite de cuentas de cobro de contratistas de ACI, del 01 al 30 de marzo de 2021, donde dicha actividad quedó cumplida en su totalidad de la siguiente manera:
Cuentas de cobro de contratistas: Andrea Sierra, Marcela Urrea, Joan Gaitán, Carlos Vargas, Kelly Serrano del mes de marzo 2021 radicadas en carpeta compartida en DRIVE establecida por la Subdirección Financiera.
</t>
  </si>
  <si>
    <t>Ruta: \\10.216.160.201\control interno\2021\19.01 INF.  A  ENTID. DE CONTROL Y VIG\CGR SIRECI</t>
  </si>
  <si>
    <t>Ruta: \\10.216.160.201\control interno\2021\00. APOYO\03. Contratación\SISCOS 2021</t>
  </si>
  <si>
    <t>Ruta: https://www.cajaviviendapopular.gov.co/?q=71-informes-de-gesti%C3%B3n-evaluaci%C3%B3n-y-auditor%C3%Adas</t>
  </si>
  <si>
    <r>
      <t xml:space="preserve">Se han venido realizando actividades de revisión de la página web y de la información publicada por la OAP disponible para las partes interesadas. La audiencia de rendición de cuentas se llevó a cabo el 26Mar y el informe se elaborará a partir del 15Abr
al </t>
    </r>
    <r>
      <rPr>
        <b/>
        <sz val="9"/>
        <color theme="1"/>
        <rFont val="Arial"/>
        <family val="2"/>
      </rPr>
      <t>28ABR2021</t>
    </r>
    <r>
      <rPr>
        <sz val="9"/>
        <color theme="1"/>
        <rFont val="Arial"/>
        <family val="2"/>
      </rPr>
      <t xml:space="preserve">. mediante memorando de radicado 202111200027993, se remitio el informe de la audiencia de la rendicion de cuentas al director general de la CVP. 
Al </t>
    </r>
    <r>
      <rPr>
        <b/>
        <sz val="9"/>
        <color theme="1"/>
        <rFont val="Arial"/>
        <family val="2"/>
      </rPr>
      <t>29ABR2021,</t>
    </r>
    <r>
      <rPr>
        <sz val="9"/>
        <color theme="1"/>
        <rFont val="Arial"/>
        <family val="2"/>
      </rPr>
      <t xml:space="preserve"> se solicito la publicacion del informe en la pagina web de la entidad. </t>
    </r>
  </si>
  <si>
    <t>Toda la informacion relacionada con esta actividad se encuentra en la siguiente ruta:\\10.216.160.201\control interno\2021\00. APOYO\09. Normograma\1. ENE_FEB_MAR</t>
  </si>
  <si>
    <r>
      <rPr>
        <b/>
        <sz val="9"/>
        <color theme="1"/>
        <rFont val="Arial"/>
        <family val="2"/>
      </rPr>
      <t>09Abril2021</t>
    </r>
    <r>
      <rPr>
        <sz val="9"/>
        <color theme="1"/>
        <rFont val="Arial"/>
        <family val="2"/>
      </rPr>
      <t>. mediante correo electronico dirigido a la ACI, se remitio la actualizacion del normograma del proceso de evaluacion de la gestión. Cumpliendo con esta actividad</t>
    </r>
  </si>
  <si>
    <t>Oficio 202111200045291- Informe Presupuestal marzo 2021 enviado por correo electrónico a la Personería el 09Marzo2021</t>
  </si>
  <si>
    <t>El informe Preliminar se socializó mediante memorando No. 202111200027223 del 26abr2021, se recibieron las observaciones al informe preliminar el 28abr2021 mediante memorandos No. 202115000028253 y 202111300028173.</t>
  </si>
  <si>
    <t>Ruta: \\10.216.160.201\control interno\2021\19.03 INF. AUDITORIAS C. I\INTERNAS\06. MV\01. Controles Riesgos\03. Resultados\00. Informe preliminar</t>
  </si>
  <si>
    <t>Se envió el informe preliminar para revisión el 27abr2021 por correo electrónico para su revisión.</t>
  </si>
  <si>
    <t>1. DP: La veeduría solicitó diligenciar encuesta sobre los temas a capacitar a los jefes OCI en 2021. Elizabeth e IATC diligenciaron el formulario de google con la información que dieron todos los auditores.
2. \\10.216.160.201\control interno\2021\19.04 INF.  DE GESTIÓN\EVALUACION SCI\I sem 2021</t>
  </si>
  <si>
    <t>Ruta: \\10.216.160.201\control interno\2021\28.05 PM\INTERNO\02. I_Seg_2021 corte 28 feb\4. Alcance informe</t>
  </si>
  <si>
    <t>Se realizó una reunión el 6/04/2021 con personal de la Dirección Jurídica en la que en el punto No. 2 del acta se estupuló: Asesoría en la formulación de planes de mejoramiento internos y en la modificación de las acciones ya propuestas</t>
  </si>
  <si>
    <t xml:space="preserve">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Consecutivamente se está realizando el trabajo de campo y las conclusiones de auditoría, que consiste en la verificación de los cinco (05) expedientes seleccionados en la muestra, las pqrsd de enero y febrero y lo relacionado con la racionalización de trámites. 
Abril 2021:
De acuerdo con el Plan Anual de Auditorías -  versión 2, se finalizaron las fases de ejecución y conclusiones de la auditoria al proceso de Urbanizaciones y Titulación, desarrollando las siguientes actividades:
– Se verificaron los cinco (05) expedientes seleccionados en la muestra, se realizaron las conclusiones, una recomendación y se generaron tres (03) No Conformidades.
6. En relación con el artículo 3º del Decreto 371 de 2010, se realizaron las siguientes actividades:
– Se verificó la oportunidad en las respuestas dadas por la DUT a las 250 PQRSD recibidas entre enero y febrero de 2021 y se concluyó al respecto.
- Se realizó la determinación de la muestra de las PQRSD, seleccionando diez (10) para evaluación de las respuestas de fondo, se verificó y se concluyó al respecto. 
</t>
  </si>
  <si>
    <t>Ruta: \\10.216.160.201\control interno\2021\00. APOYO\01. Corr. Interna\202111200012533 Solic.inf. - UPGG
5. Correo electrónico del 21 de abril de 2021.</t>
  </si>
  <si>
    <t xml:space="preserve">1. DP de exfuncionaria, que se le contestó el 31Dic2020, ella dio respuesta el 21ene2021 entregando documentos que están para trámite de entrega en la Subdirección Administrativa. Ruta: \\10.216.160.201\control interno\2020\00. APOYO\10. DP\73. Graciela
-  Calendario de google del 19 de abril de 2021.
- Calendario de google del 29 de abril de 2021.
- Calendario de google del 30 de abril de 2021.
- Correos electrónicos del 20 y 23 de abril de 2021.
- Soportes del sorteo Mz 55, ubicados en la ruta interna: 
\\10.216.160.201\control interno\2021\00. APOYO\10. Sorteo No 7 Arborizadora Baja Mz 55\22Abr2021
-Correos electrónicos del 28 de abril y 30 de abril de 2021. 
- Documentos del traslado al operador disciplinario,  ubicados en la ruta interna: 
\\10.216.160.201\control interno\2021\00. APOYO\08. DP\28. Traslado a CID PQRSD II Sem 2020
</t>
  </si>
  <si>
    <t>Ruta de evidencias del cargue de información de la cuenta mensual del mes de diciembre: \\10.216.160.201\control interno\2021\19.01 INF.  A  ENTID. DE CONTROL Y VIG\SIVICOF\CUENTA MENSUAL\03. marzo 2021</t>
  </si>
  <si>
    <t>Ruta\\10.216.160.201\control interno\2021\19.04 INF.  DE GESTIÓN\AUSTERIDAD\I TRIM 2021</t>
  </si>
  <si>
    <t>Se solicitó la información, la cual fue entregada con oportunidad. La contratista quedó sin contrato, por lo que la elaboración del informe se reanudó el 10Feb.
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El informe fue remitido a los líderes de los procesos con memorando 202111200018773 del 23Mar2021 y publicado en la página web de la Entidad.</t>
  </si>
  <si>
    <t>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
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t>
  </si>
  <si>
    <t>Se inició la auditoría, se realizaron pruebas sustantivas en sitio, como se observa en el acta, se inició con la consolidación del informe Preliminar, se aplazó debido a la elaboración de otros informes, el plazo quedó ajustado para entrega del informe final el 13abr2021.
El informe Preliminar se socializó mediante memorando No. 202111200022203 del 09abr2021, se realizó el acta de reunión de cierre el 15abr2021.</t>
  </si>
  <si>
    <t>Correos electrónicos del 23 y 30 de abril de 2021.</t>
  </si>
  <si>
    <r>
      <rPr>
        <b/>
        <i/>
        <sz val="9"/>
        <color theme="1"/>
        <rFont val="Arial"/>
        <family val="2"/>
      </rPr>
      <t>Al 31Ene2021:</t>
    </r>
    <r>
      <rPr>
        <sz val="9"/>
        <color theme="1"/>
        <rFont val="Arial"/>
        <family val="2"/>
      </rPr>
      <t xml:space="preserve"> Se revisó la metodología, se prepararon las diferentes solicitudes de información, las cuales fueron atendidas. Se organizó la carpeta compartida con la información con la que ya se cuenta. No se tiene información del PM interno, por lo que la evaluación no se puede desarrollar.
</t>
    </r>
    <r>
      <rPr>
        <b/>
        <i/>
        <sz val="9"/>
        <color theme="1"/>
        <rFont val="Arial"/>
        <family val="2"/>
      </rPr>
      <t>Al 28Feb2021:</t>
    </r>
    <r>
      <rPr>
        <sz val="9"/>
        <color theme="1"/>
        <rFont val="Arial"/>
        <family val="2"/>
      </rPr>
      <t xml:space="preserve"> Falta que la OAP haga entrega de los reportes de segplan del anterior PDD y que la contratista sea vinculada de nuevo a la entidad, la cual inició actividades el 01Mar2021.
</t>
    </r>
    <r>
      <rPr>
        <b/>
        <i/>
        <sz val="9"/>
        <color theme="1"/>
        <rFont val="Arial"/>
        <family val="2"/>
      </rPr>
      <t>Al 31Mar2021:</t>
    </r>
    <r>
      <rPr>
        <sz val="9"/>
        <color theme="1"/>
        <rFont val="Arial"/>
        <family val="2"/>
      </rPr>
      <t xml:space="preserve">, se imprimió y analizó la información entregada por las diferentes dependencias. Se realizó el seguimiento al PM por procesos y fue entregado con memorando el 29Mar2021, lo cual permitió incluir la información en la evaluación de dependencias. Se terminó el ejercicio de evaluación de cada uno de los procesos, dejando listas las correspondientes evaluaciones y los memorandos a remitir a cada una de las dependencias, a la Subdirección Administrativa y a la Dirección.
</t>
    </r>
    <r>
      <rPr>
        <b/>
        <sz val="9"/>
        <color theme="1"/>
        <rFont val="Arial"/>
        <family val="2"/>
      </rPr>
      <t xml:space="preserve">Al 06ABR2021: </t>
    </r>
    <r>
      <rPr>
        <sz val="9"/>
        <color theme="1"/>
        <rFont val="Arial"/>
        <family val="2"/>
      </rPr>
      <t xml:space="preserve">Se remitieron a las áreas mediante memorando las correspondientes evaluaiones de dependencias. estando pendiente la evaluación de DUT(por encontrar inconsistencias en la información contenida en el PAG). Los resultados de las evaluaciones fueorn presentados en el comité CICCI del 08Abr2021
</t>
    </r>
    <r>
      <rPr>
        <b/>
        <sz val="9"/>
        <color theme="1"/>
        <rFont val="Arial"/>
        <family val="2"/>
      </rPr>
      <t>Al 29ABR2021:</t>
    </r>
    <r>
      <rPr>
        <sz val="9"/>
        <color theme="1"/>
        <rFont val="Arial"/>
        <family val="2"/>
      </rPr>
      <t xml:space="preserve"> Al no haberse recibido observaciones respecto de las evaluaciones, estas se publicaron en la página web de la entidad.</t>
    </r>
  </si>
  <si>
    <r>
      <t xml:space="preserve">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t>
    </r>
    <r>
      <rPr>
        <b/>
        <sz val="9"/>
        <color theme="1"/>
        <rFont val="Arial"/>
        <family val="2"/>
      </rPr>
      <t>29ABR2021,</t>
    </r>
    <r>
      <rPr>
        <sz val="9"/>
        <color theme="1"/>
        <rFont val="Arial"/>
        <family val="2"/>
      </rPr>
      <t xml:space="preserve"> Se realizó reunion con los desginados del proceso auditado, indicadoles los hallazgos encontrados en el ejercicio  de auditoria, mismos que se plasmarán en el informe preliminar de auditoría</t>
    </r>
  </si>
  <si>
    <t>Ruta de calidad: \\10.216.160.201\control interno\2021\19.03 INF. AUDITORIAS C. I\INTERNAS\01. DUT\03. Dto 371 Art.3 y Proced\2. Ejecución
De acuerdo con el Plan de Auditoria se encuentra en ejecución la etapa de trabajo de campo y conclusiones de auditoría programadas para entre el 18 y 31 de marzo de 2021.
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Abril 2021: 
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2 Informe final, reunión de cierre y memorando remisorio solicitando formulación de plan de mejoramiento, ubicados en la ruta: 
\\10.216.160.201\control interno\2021\19.03 INF. AUDITORIAS C. I\INTERNAS\01. DUT\03. Dto 371 Art.3 y Proced\3. Resultados\Remisiòn de informe Final y anexos</t>
  </si>
  <si>
    <t xml:space="preserve">Se realizó solicitud de información a la Subdirección Administrativa y Dirección Jurídica con mem 202111200012533 del 05Mar2021.
Se recibió respuesta de la Dirección Jurídica - memorando 202116000018193 del 19Mar2021 y de la Subdirección Administrativa con memorando 202117200019183 del 24 de marzo de 2021. 
Pendiente realizar el analisis de la información. 
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t>
  </si>
  <si>
    <t>Atención Auditoría de Regularidad: Cód 55: Evaluar la gestión fiscal vigencia 2020</t>
  </si>
  <si>
    <t>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t>
  </si>
  <si>
    <r>
      <t xml:space="preserve">1. DP de exfuncionaria, que se le contestó el 31Dic2020, ella dio respuesta el 21ene2021 entregando documentos que están para trámite de entrega en la Subdirección Administrativa. Ruta: \\10.216.160.201\control interno\2020\00. APOYO\10. DP\73. Graciela
19Abr202: Participación en la reunión convocada por la DGC y CID en relación con la coordinación de la elaboración del informe de la Directiva 003 de 2013 del periodo 16 de octubre de 2020 al 30 de abril de 2021.
29Abr2021: Participación en reunión con el proceso de Mejoramiento de Vivienda para solventar dudas sobre solicitud de líneas celulares memorando 202114000027293
</t>
    </r>
    <r>
      <rPr>
        <b/>
        <sz val="9"/>
        <color theme="1"/>
        <rFont val="Arial"/>
        <family val="2"/>
      </rPr>
      <t>30Abr2020</t>
    </r>
    <r>
      <rPr>
        <sz val="9"/>
        <color theme="1"/>
        <rFont val="Arial"/>
        <family val="2"/>
      </rPr>
      <t xml:space="preserve">: Participación en reunión con los profesionales Kelly Serrano y Joan Gaitán para consolidar comentarios y/o observaciones a la propuesta de ajuste de la Dirección de Mejoramiento de Barrios del PAAC y a la propuesta de Política de Administración del Riesgo.
</t>
    </r>
    <r>
      <rPr>
        <b/>
        <sz val="9"/>
        <color theme="1"/>
        <rFont val="Arial"/>
        <family val="2"/>
      </rPr>
      <t>23Abr2021:</t>
    </r>
    <r>
      <rPr>
        <sz val="9"/>
        <color theme="1"/>
        <rFont val="Arial"/>
        <family val="2"/>
      </rPr>
      <t xml:space="preserve">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 Se recibió correo electrónico de asignación de revisión del documento el 20 de abril de 2021.
- Se realizó la revisión del documento y se remitió a la Asesora de Control Interno con las observaciones y/o comentarios el 23Abr2021.
22Abril2020: Se realizó la participación como veedora de las familias seleccionadas para el Sorteo de 12 unidades habitacionales del proyecto Manzana 55 del 22 de abril de 2021 realizando las siguientes actividades:
 - Revisión de los expedientes físicos de las 12 familias a las cuales se les asignó nomenclatura en sorteo virtual de ese mismo día; se verificó el VUR,copia de cédula de ciudadanía, se verificaron las condiciones de adulto mayor y casos de discapacidad.
- Verificación de las balotas y participación en el sorteo virtual realizado a través de Facebook Live, sacando las balotas de la urna.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
</t>
    </r>
    <r>
      <rPr>
        <b/>
        <sz val="9"/>
        <color theme="1"/>
        <rFont val="Arial"/>
        <family val="2"/>
      </rPr>
      <t xml:space="preserve">29Abr2021: </t>
    </r>
    <r>
      <rPr>
        <sz val="9"/>
        <color theme="1"/>
        <rFont val="Arial"/>
        <family val="2"/>
      </rPr>
      <t xml:space="preserve">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
18May2021: Se remitió correo electrónico a la Asesora de Control Interno con las propuestas, modificaciones y/o observaciones a la propuesta de la Política de Administración del Riesgo remitida por la Oficina Asesor de Planeación. (18 de mayo de 2021).
05May2021: Se remitió el acta No1 del 12 de abril de 2021 – Subdirección Financiera a la Asesora de Control Interno y la profesional Kelly Serrano para el respectivo seguimiento a los riesgos de la ACI.
06May2021: 3.	Se remitió el acta No1 del 12 de marzo de 2021 – DUT a la Asesora de Control Interno y la profesional Kelly Serrano para el respectivo seguimiento a los riesgos de la ACI.
18May2021: Acta No. 7 del proyecto Arborizadora Baja Manzana 55 suscrita por parte de Control Interno.
31May2021: Acta No. 1 de Comité Técnico de Sostenibilidad Contable celebrado el 29 de abril de 2021 con validación de los ajustes y suscripción. </t>
    </r>
  </si>
  <si>
    <t>Oficio 202111200063611- Informe Presupuestal abril 2021 enviado por correo electrónico a la Personería el 11 de mayo 2021</t>
  </si>
  <si>
    <r>
      <t xml:space="preserve">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t>
    </r>
    <r>
      <rPr>
        <b/>
        <sz val="9"/>
        <color theme="1"/>
        <rFont val="Arial"/>
        <family val="2"/>
      </rPr>
      <t>29ABR2021,</t>
    </r>
    <r>
      <rPr>
        <sz val="9"/>
        <color theme="1"/>
        <rFont val="Arial"/>
        <family val="2"/>
      </rPr>
      <t xml:space="preserve"> Se realizó reunion con los desginados del proceso auditado, indicadoles los hallazgos encontrados en el ejercicio  de auditoria, mismos que se plasmarán en el informe preliminar de auditoría.
</t>
    </r>
    <r>
      <rPr>
        <b/>
        <sz val="9"/>
        <color theme="1"/>
        <rFont val="Arial"/>
        <family val="2"/>
      </rPr>
      <t>10MAY2021</t>
    </r>
    <r>
      <rPr>
        <sz val="9"/>
        <color theme="1"/>
        <rFont val="Arial"/>
        <family val="2"/>
      </rPr>
      <t>,mediante correo electronico e le remito a la Asesora de Control Interno el informe preliminar de la auditoria del Dto 371 de 2010 realizada al DTU</t>
    </r>
  </si>
  <si>
    <r>
      <t xml:space="preserve">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t>
    </r>
    <r>
      <rPr>
        <b/>
        <sz val="9"/>
        <rFont val="Arial"/>
        <family val="2"/>
      </rPr>
      <t>9</t>
    </r>
    <r>
      <rPr>
        <sz val="9"/>
        <rFont val="Arial"/>
        <family val="2"/>
      </rPr>
      <t xml:space="preserve">. Sol 202117000031722 del 16Mar Traslado por  compet.  solicitud  No. 1-2021-06460  DPC-529-21. Se trasladó por orfeo a CID
</t>
    </r>
    <r>
      <rPr>
        <b/>
        <sz val="9"/>
        <rFont val="Arial"/>
        <family val="2"/>
      </rPr>
      <t xml:space="preserve">10. </t>
    </r>
    <r>
      <rPr>
        <sz val="9"/>
        <rFont val="Arial"/>
        <family val="2"/>
      </rPr>
      <t xml:space="preserve">202111200022313 de 09Abr2021, remitido a la Direccion Juridica, dando Respuesta al  memorando de  202116000020083 del 
29mar2021
</t>
    </r>
    <r>
      <rPr>
        <b/>
        <sz val="9"/>
        <rFont val="Arial"/>
        <family val="2"/>
      </rPr>
      <t>11</t>
    </r>
    <r>
      <rPr>
        <sz val="9"/>
        <rFont val="Arial"/>
        <family val="2"/>
      </rPr>
      <t xml:space="preserve">. Oficio N° 202111200045161 del 13Abr2021, remitido a Jhoana Marcela Rodriguez, remitiendo el acta de liquidacion en original para que se proceda con su correspondiente suscripcion.
</t>
    </r>
    <r>
      <rPr>
        <b/>
        <sz val="9"/>
        <rFont val="Arial"/>
        <family val="2"/>
      </rPr>
      <t>12</t>
    </r>
    <r>
      <rPr>
        <sz val="9"/>
        <rFont val="Arial"/>
        <family val="2"/>
      </rPr>
      <t xml:space="preserve">.Memorando 202111200023963 del 15 de abril de 2021, dirigido a la Oficina Asesora de Planeacion Solicitando Solicitud relación PQRS recibidos en el desarrollo de la Audiencia de
Rendición de Cuentas de la CVP. 
</t>
    </r>
    <r>
      <rPr>
        <b/>
        <sz val="9"/>
        <rFont val="Arial"/>
        <family val="2"/>
      </rPr>
      <t xml:space="preserve">13. </t>
    </r>
    <r>
      <rPr>
        <sz val="9"/>
        <rFont val="Arial"/>
        <family val="2"/>
      </rPr>
      <t xml:space="preserve">Memorando  202111200024003 del 15 de abril de 2021,  remite Informe de auditoria  REAS.
</t>
    </r>
    <r>
      <rPr>
        <b/>
        <sz val="9"/>
        <rFont val="Arial"/>
        <family val="2"/>
      </rPr>
      <t>14</t>
    </r>
    <r>
      <rPr>
        <sz val="9"/>
        <rFont val="Arial"/>
        <family val="2"/>
      </rPr>
      <t xml:space="preserve">.  Memorando 202111200023983 del 15 de abril de 2021, remitiendo al Director General, el Informe Final de Auditoría Especial para evaluar la capacidad de la entidad para continuar la operación bajo las nuevas condiciones que le impone la crisis en el marco de notificaciones. 
</t>
    </r>
    <r>
      <rPr>
        <b/>
        <sz val="9"/>
        <rFont val="Arial"/>
        <family val="2"/>
      </rPr>
      <t>15</t>
    </r>
    <r>
      <rPr>
        <sz val="9"/>
        <rFont val="Arial"/>
        <family val="2"/>
      </rPr>
      <t xml:space="preserve">. Memorando  202111200023993 del 15 de abril de 2021  Remite Informe JUR_DUT_CORP
</t>
    </r>
    <r>
      <rPr>
        <b/>
        <sz val="9"/>
        <rFont val="Arial"/>
        <family val="2"/>
      </rPr>
      <t>16.</t>
    </r>
    <r>
      <rPr>
        <sz val="9"/>
        <rFont val="Arial"/>
        <family val="2"/>
      </rPr>
      <t xml:space="preserve"> memorando 202111200026233 del 22abr2021 solicitandole a REAS información  en atención oficio de la Personería radicado N° 2021-EE-0376485 de fecha 09 de febrero de 2021
</t>
    </r>
    <r>
      <rPr>
        <b/>
        <sz val="9"/>
        <rFont val="Arial"/>
        <family val="2"/>
      </rPr>
      <t>17</t>
    </r>
    <r>
      <rPr>
        <sz val="9"/>
        <rFont val="Arial"/>
        <family val="2"/>
      </rPr>
      <t xml:space="preserve">. Memorando 202111200027993 del 28abr2021, remitiendo al Director General el informe de la Audiencia de  rendicion de cuentas.
</t>
    </r>
    <r>
      <rPr>
        <b/>
        <sz val="9"/>
        <rFont val="Arial"/>
        <family val="2"/>
      </rPr>
      <t>18</t>
    </r>
    <r>
      <rPr>
        <sz val="9"/>
        <rFont val="Arial"/>
        <family val="2"/>
      </rPr>
      <t xml:space="preserve">. memorando 202111200027983 del 28abr2021, remitiendo el acta (208-SADM-Ft-06).de la audiencia de rendicion de cuentas a la Oficicina Asesora de Planeacion.
</t>
    </r>
    <r>
      <rPr>
        <b/>
        <sz val="9"/>
        <rFont val="Arial"/>
        <family val="2"/>
      </rPr>
      <t>19</t>
    </r>
    <r>
      <rPr>
        <sz val="9"/>
        <rFont val="Arial"/>
        <family val="2"/>
      </rPr>
      <t xml:space="preserve">. Memorando 202111200033223 del 19May2021 Informe de Seguimiento al Sistema de Información de procesos Judiciales de
Bogotá SIPROJ–WEB D.C. para el periodo 1° de enero de 2020 al 28 de febrero
de 2021
</t>
    </r>
    <r>
      <rPr>
        <b/>
        <sz val="9"/>
        <rFont val="Arial"/>
        <family val="2"/>
      </rPr>
      <t>20</t>
    </r>
    <r>
      <rPr>
        <sz val="9"/>
        <rFont val="Arial"/>
        <family val="2"/>
      </rPr>
      <t>. 202111200033213
19May2021 dirigido al Drector General Informe de Seguimiento al Sistema de Información de procesos Judiciales de
Bogotá SIPROJ–WEB D.C. para el periodo 1° de enero de 2020 al 28 de febrero
de 2021</t>
    </r>
  </si>
  <si>
    <t>Se realizó el seguimiento al Plan Anual de Auditorías con corte al 30 de Abril con el fin de poder tener los insumos necesarios para reportar el Formato Unico de Seguimiento Sectorial FUSS y enviarlo a la Dirección de Gestión Corporativa. 
Se envio a la Dirección de Gestión Corporativa y CID el FUSS-Control Interno con corte al 30 de Abril mediante correo electronico, reportando una eficacia del 95,98%.</t>
  </si>
  <si>
    <t xml:space="preserve"> Se reviso la información de manera interna, se verificó, se hizo el reporte mediante correo electrónico, de acuerdo con los plazos establecidos en la circular.
Se reporto para el mes de Abril:
1. Obras inconclusas o sin uso.
3. Sistema General de Participaciones y demás transferencias de origen nacional.
4. Sistema General de Regalías, (Consolida información de las entidades designadas como ejecutoras de estos recursos - Secretaria Distrital de Planeación).
5. Planes de mejoramiento.
</t>
  </si>
  <si>
    <t xml:space="preserve">Se realizó el trámite de cuentas de cobro de contratistas de ACI, del 01 al 30 de Abril de 2021, donde dicha actividad quedó cumplida en su totalidad de la siguiente manera:
Cuentas de cobro de contratistas: Andrea Sierra, Marcela Urrea, Joan Gaitán, Carlos Vargas, Kelly Serrano del mes de abril de 2021 radicadas en carpeta compartida en DRIVE establecida por la Subdirección Financiera.
</t>
  </si>
  <si>
    <t>Ruta: \\10.216.160.201\control interno\2021\19.01 INF.  A  ENTID. DE CONTROL Y VIG\CGR SIRECI\05. Abr</t>
  </si>
  <si>
    <t>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que contiene el capítulo "REVISIÓN DE LA FORMULACIÓN DEL PAAC"</t>
  </si>
  <si>
    <t xml:space="preserve">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t>
  </si>
  <si>
    <t xml:space="preserve">Se encuentra en la etapa de elaboración del informe, el que se espera sea entregado la primera semana de mayo.
Se entrego informe final el dia 10 de mayo de 2021
</t>
  </si>
  <si>
    <t>Ruta de evidencias del cargue de información de la cuenta mensual del mes de diciembre: \\10.216.160.201\control interno\2021\19.01 INF.  A  ENTID. DE CONTROL Y VIG\SIVICOF\CUENTA MENSUAL\04. abril 2021</t>
  </si>
  <si>
    <t>Ruta \\10.216.160.201\control interno\2021\19.03 INF. AUDITORIAS C. I\INTERNAS\07. Incapacidades DUT\2. Ejecucion</t>
  </si>
  <si>
    <t>Ruta: \\10.216.160.201\control interno\2021\19.03 INF. AUDITORIAS C. I\INTERNAS\02. CAJA MENOR cierre 2020\4. Eje. AudRuta \\10.216.160.201\control interno\2021\19.03 INF. AUDITORIAS C. I\INTERNAS\07. Incapacidades DUT\2. Ejecucion\2.1 Solicitudes de Inf. y Rptas</t>
  </si>
  <si>
    <t xml:space="preserve">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</si>
  <si>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 xml:space="preserve">Toda la información de la auditoría se encuentra en la ruta: \2021\19.03 INF. AUDITORIAS C. I\INTERNAS\02. CAJA MENOR cierre 2020
\\10.216.160.201\control interno\2021\19.03 INF. AUDITORIAS C. I\INTERNAS\02. CAJA MENOR cierre 2020\5. Resultados de la Auditoría
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202111200030933 Informe Final de Auditoría del 10 de mayo
Publicación en página web el 01Jun2021
</t>
  </si>
  <si>
    <t xml:space="preserve">*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"Uso de la marca Ciudad”, se realiza la eliminación de las chaquetas institucionales entregadas por los funcionarios y contratistas de las diferentes áreas de la entidad a lo largo de la vigencia 2020.
* Se proyectó memorando con las recomendaciones sobre la Destinación final chaquetas distintivas institucionales.
* Pendiente la revisión del memorando con la ACI para definir su entrega a las distintas dependencias.
*. El informe definitivo fue enviado a la ACI el 30Abr2021, el cual se encuentra en revisión
</t>
  </si>
  <si>
    <t>Toda la información de la auditoría se encuentra en la ruta: \\10.216.160.201\control interno\2021\19.03 INF. AUDITORIAS C. I\INTERNAS\03. SIPROJ
1. PAA con programación de la auditoría
2. Correo de designación de auditor del 10Mar. FALTA
3. Acta de reunión de designación de auditores
4. Plan de auditoría elaborado, revisado y aprobado, FALTA APROBAR
5. Comunicación de reunión de apertura, FALTA APROBAR
6. Carta de representación de Administrativa, FALTA APROBAR
7. FALTA acta de reunión de apertura
26MAR2021. Mediante Correo electrónico se le remitió a la ACI, el plan de auditoria, el acta de designación de auditor, y el memorando de comunicación de apertura de auditoria y la correspondiente carta de representación. 
19May2021.Mediante memorando N°: 202111200033213 se le remitió al Director General el informe final de seguimiento al Siproj, de igual manera se le remitió al Director Jurídico a través del memorando N°: 202111200033223.</t>
  </si>
  <si>
    <t xml:space="preserve">Documentos ubicados en la ruta: 
\\10.216.160.201\control interno\2021\19.02 INF. A OTROS ORGANISMOS\DIRECTIVA 003 de 2013 (16Oct 2020 al 15Abr2021)\Sol Inf y Rtas
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
</t>
  </si>
  <si>
    <t xml:space="preserve">Ruta: \\10.216.160.201\control interno\2021\19.04 INF.  DE GESTIÓN\PAAC\01. I Seg 2021\02. Informe\Alcance - matriz de riesgos
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</si>
  <si>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Roles Dec 948-2017</t>
  </si>
  <si>
    <t>Soporte de Aprobación Versión 3</t>
  </si>
  <si>
    <r>
      <t xml:space="preserve">Realizar seguimiento al Comité Institucional de Coordinación de Control Interno - CICCI (presentaciones, actas de comité, anexos y demás documentos) </t>
    </r>
    <r>
      <rPr>
        <b/>
        <sz val="9"/>
        <color theme="1"/>
        <rFont val="Arial"/>
        <family val="2"/>
      </rPr>
      <t>comité proyectado para el 07Jul</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</si>
  <si>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10Ago</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</si>
  <si>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20Oct</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</si>
  <si>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07Dic</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</si>
  <si>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22Jun</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</si>
  <si>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Auditoría Proceso de Gestión Financiera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</si>
  <si>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Urbanizaciones y Titulación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</si>
  <si>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Gestión del Talento Humano
Auditoría a la aplicación de las políticas contables por parte de los procesos de Gestión Financiera y de Urbanizaciones y Titulación en la gestión de Cobro de las Incapacidades reportadas por los funcionarios del proceso de Urbanizaciones y Titulación</t>
  </si>
  <si>
    <t>Etiquetas de columna</t>
  </si>
  <si>
    <t>SIN SEG</t>
  </si>
  <si>
    <t>Cuenta de Roles 
Decreto 948 de 2017</t>
  </si>
  <si>
    <t>(Varios elementos)</t>
  </si>
  <si>
    <t>Planes de Mejoramiento</t>
  </si>
  <si>
    <t>Evaluación y Seguimiento</t>
  </si>
  <si>
    <t>Prev Daño Antijur y Rep Judicial</t>
  </si>
  <si>
    <t>VERSIÓN 2 - FUSS REPROG POR MODIFICA PAA V2 DEL 24FEB2021</t>
  </si>
  <si>
    <t>VERSIÓN 3 - FUSS REPROG POR MODIFICA PAA V3 DEL 22JUN2021</t>
  </si>
  <si>
    <t>Julio debe absorver la reprogramación</t>
  </si>
  <si>
    <t>Se modifica la programación por la V3 del PAA del 29Jun</t>
  </si>
  <si>
    <t>Reprog</t>
  </si>
  <si>
    <t>&lt;5/01/2021</t>
  </si>
  <si>
    <t>2021</t>
  </si>
  <si>
    <t>ene</t>
  </si>
  <si>
    <t>feb</t>
  </si>
  <si>
    <t>mar</t>
  </si>
  <si>
    <t>abr</t>
  </si>
  <si>
    <t>may</t>
  </si>
  <si>
    <t>jun</t>
  </si>
  <si>
    <t>jul</t>
  </si>
  <si>
    <t>ago</t>
  </si>
  <si>
    <t>sep</t>
  </si>
  <si>
    <t>oct</t>
  </si>
  <si>
    <t>nov</t>
  </si>
  <si>
    <t>dic</t>
  </si>
  <si>
    <t>2022</t>
  </si>
  <si>
    <t>(Todas)</t>
  </si>
  <si>
    <t xml:space="preserve">Ruta: \\10.216.160.201\control interno\2021\19.04 INF.  DE GESTIÓN\PAAC\02. II Seg 2021
02. 202111200048643 Solicitud oportunidad de entrega PAAC
02. Cuadro Oportunidad entrega PAAC y Seguimiento a la Gestión por Procesos – Indicadores de Gestión 2021
</t>
  </si>
  <si>
    <t xml:space="preserve">La actividad no se realizó durante el mes de mayo.
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
</t>
  </si>
  <si>
    <t xml:space="preserve">Ruta del FUSS: \\10.216.160.201\control interno\2021\19.04 INF.  DE GESTIÓN\HERRAMIENTAS\FUSS- P I 7696
Ruta del PAA: \\10.216.160.201\control interno\2021\28.03 PAA
00. Correo - Seguimiento FUSS 7696 – Mayo
01. FUSS UNCSAP-2021 FOR 7696 mayo
02. 208-CI-Ft-04 Plan Anual de Auditorías 2021 V2 seg al 31May2021
03. FUSS UNCSAP-2021 FOR 7696 mayo Control Interno
04. Correo Re_ Seguimiento FUSS 7696 - Mayo - Control Interno
</t>
  </si>
  <si>
    <t>Ruta: \\10.216.160.201\control interno\2021\19.01 INF.  A  ENTID. DE CONTROL Y VIG\CGR SIRECI\06. May
01. Correo - CVP - Reporte Información “Sistema de Rendición Electrónica de la Cuenta e Informes – SIRECI</t>
  </si>
  <si>
    <t xml:space="preserve">Ruta: \\10.216.160.201\control interno\2021\00. APOYO\03. Contratación\SISCOS 2021\5. Mayo
SisCo Andrea Sierra Ochoa
SisCo Carlos Andres Vargas
SiSco Joan Gaitan Ferrer_1
SiSco Joan Gaitan Ferrer_2
SiSco Kelly Serrano Rincón
SiSco Marcela Urrea Jaramillo
</t>
  </si>
  <si>
    <t xml:space="preserve">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
Adicionalmente, estas piezas serán difundidas en las pantallas de la Entidad. 
</t>
  </si>
  <si>
    <t xml:space="preserve">Ruta: \\10.216.160.201\control interno\2021\19.04 INF.  DE GESTIÓN\HERRAMIENTAS\Doc SIG\04. piezas comunicativas
00. Principios de los auditores internos
01. Correo de Bogotá es TIC - Solicitud elaboración piezas _Principios de los Auditores Internos_
02. 17 06 21 AuditoresMesa de trabajo  (1)
03. 17 06 21 AuditoresMesa de trabajo  (2)
04. 17 06 21 AuditoresMesa de trabajo  (3)
05. 17 06 21 AuditoresMesa de trabajo  (4)
</t>
  </si>
  <si>
    <t xml:space="preserve">Ruta: \\10.216.160.201\control interno\2021\02.01 ACTAS COMITE C. I\04. 22Jun2021
00. 202111200041373 Sol de Info para el CICCI
01. 202111200041613 Sol presentación ejec pptal corte 18Jun2021
02. Correo RTA OAP  Inf. para Comité Institucional de Coordinación - C I CICCI
03. Correo Rta - 202111200041613 - Solicitud presentación de la ejecución presupuestal corte 18 de junio de 2021 –
04. 20210617_Presentacion Resultados FURAG 2020_v3
05. Resumen Riesgos Corte 30 de abril 2021_rvda
06. ACTA DE REUNION - DRH - 19 ABRIL DE 2021
07. ACTA DE REUNION - DUT - 22 ABRIL DE 2021
08. Presentación Ejecución Presupuestal a 18 JUNIO 2021
09. ACTA DE REUNION 05 MAYO DE 2021 COMPLEMENTADA
10. 20210621_Presentación Politica Riesgos_Junio 2021
11. 208-CI-Ft-04 Plan Anual de Auditorías 2021 V3 del 22Jun2021
12. Presentación Comité Control Interno 22Jun2021
13. Grabación CICCI 22Jun2021_1
14. Grabación CICCI 22Jun2021_2
15. Proyección acta 4ta reunión Comité de Control Interno 22Jun2021
16. 202111400048333 Justificación de inasistencia Convocatoria
</t>
  </si>
  <si>
    <t xml:space="preserve">Se solicito mediante Oficio  202111200073691 Solicitud de información DAFP CICCI, con el fin de poder programar la sesión extraordinaria del CICCI donde se llevara acabo la revisión del Informe Final de la Auditoría de Notificaciones. 
Se realizó la convocatoria a la cuarta sesión ordinaria del Comité CICCI mediante correo electrónico del día 10 de junio de 2021 para realizar el Comité el día 22 de junio de 2021.
Se solicitó médiate Memorando 202111200041373 Solicitud de Información para el Comité Institucional de Coordinación de Control Interno CICCI correspondiente al FURAG y el estado de los riesgos de la Entidad.
Se solicitó médiate Memorando 202111200041613 Solicitud presentación de la ejecución presupuestal corte 18 de junio de 2021.
Se realizó la cuarta sesión del Comité Institucional de Coordinación de Control Interno el día 22 de junio de 2021 por la plataforma meet.
Se elaboró la proyección del acta 4ta reunión Comité de Control Interno 22Jun2021 la cual se encuentra en revisión por parte de la Asesora de Control Interno para ser enviada a los integrantes del Comité.
</t>
  </si>
  <si>
    <t xml:space="preserve">Se realizaron las preguntas correspondientes a la evaluación del estatuto y código de ética del auditor </t>
  </si>
  <si>
    <t>Ruta: \\10.216.160.201\control interno\2021\02.01 ACTAS COMITE C. I\00. Plan de trabajo CICCI\Encuesta estat y cod auditor 2021
01. Preguntas evalución estatuto y código de ética</t>
  </si>
  <si>
    <t>Ruta: \\10.216.160.201\control interno\2021\02.01 ACTAS COMITE C. I\05. 07Jul2021</t>
  </si>
  <si>
    <t>Se realizó el Proyecto Convocatoria quinta sesión ordinaria del Comité Institucional de Coordinación de Control Interno - el 07 de julio 2021</t>
  </si>
  <si>
    <t>Se solicitó mediante Memorando 202111200039923 Solicitud Información procesos penales por delitos contra la administración pública o que afecten los intereses patrimoniales del Estado a la Dirección Jurídica</t>
  </si>
  <si>
    <t xml:space="preserve">Ruta: \\10.216.160.201\control interno\2021\19.01 INF.  A  ENTID. DE CONTROL Y VIG\CGR SIRECI\06. May
00. 202111200039923 Solic Inf procesos penales por delitos contra la adm pública
01. MATRIZ DELITOS CONTRA LA ADMINISTRACIÓN P
02. ESCRITO ACUSACIÓN Oscar La Rotha Riaño
</t>
  </si>
  <si>
    <t xml:space="preserve">Se realizó el seguimiento al Plan Anual de Auditorías con corte al 30 de Junio con el fin de poder tener los insumos necesarios para reportar el Formato Unico de Seguimiento Sectorial FUSS y enviarlo a la Dirección de Gestión Corporativa. </t>
  </si>
  <si>
    <t>Oficio 202111200077271- Informe Presupuestal mayo  2021 enviado por correo electrónico a la Personería el 10 de junio  2021</t>
  </si>
  <si>
    <t xml:space="preserve">18Ene: Instancia técnica de bienes inmuebles
28Ene: Comité de seguimiento financiero donde expusieron estados de Tesorería de dic2020; rendimientos financieros bancos; Informe de gestión del comité año 2020; Avance embargo UGPP y cronograma de reuniones CSF 2021.
04Feb: Mesa de trabajo para la gestión de bienes muebles. Temas: Socialización marco normativo de operación de la instancia de apoyo técnico y Presentación del informe de indicios de deterioro de bienes muebles
18Feb: Comité de seguimiento financiero donde expusieron el caso del embargo de la UGPP, estado de tesorería y el informe de excedentes financieros
26Feb: Comité Distrital de Auditoría - CDA : Revisión, priorización y definición de temas a abordar en los CDA durante la vigencia 2021
18Mar: Comité de seguimiento financiero donde se realizó seg a los compromisos adquiridos, se presentó el estado de tesorería de feb e  Info sobre rend finan (comport Tasas de int).
23Abr2021: Participación en el Comité de Seguimiento Financiero..
29Abr2021: Asistencia al primer Comité Técnico de Sostenibilidad Contable de la vigencia 2020.
27May2021:Asistencia al  Comité de Seguimiento Financiero.. 
28jUN2021:Asistencia al  Comité de Seguimiento Financiero.. </t>
  </si>
  <si>
    <t xml:space="preserve">Durante el marzo no se presentaron acrtividades relacionadas con esta actividad. 
1. Correos electrónico del 21, 23 y 27 de abril de 2021 ubicados en la ruta interna: 
\\10.216.160.201\control interno\2021\28.05 PM\INTERNO\04. Aud. Dut Dec 371 2010 Art 3 - Proced
29Jun2021: 4. Ruta interna de calidad: 
\\10.216.160.201\control interno\2021\19.03 INF. AUDITORIAS C. I\INTERNAS\06. MV\03. Dto 371 Art.3 y Proced\2. Ejecución
</t>
  </si>
  <si>
    <t>Esta actividad no se desarrollo durante el mes de marzo 
Abril 2021: Durante la Auditoria Interna a la DUT no se presentaron situaciones de entrega de informaciòn incorrecta o sin las condiciones requeridas. 
31May2021: En mayo de 2021 se documentaron las siguientes actas: 
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
-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
-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
- Charla enfoque hacia la prevención - Subdirección Administrativa - Información remitida con memorando 202117200031423 del 11 de mayo de 2021 “Respuesta memorando 202111200024783 solicitud de soportes y/o evidencias del informe de la Directiva 003 de 2013. (20May2021).
- Se convocó y participó en la “Charla enfoque hacia la prevención – Seguimiento aplicación Marco Normativo Contable I Trimestre 2021” (08Jun2021).
- 2. Se convocó y participo en la “Charla enfoque hacia la prevención - Reunión de presentación de resultados de Auditoria al proceso de MB - Decreto 371 - Articulo 3 (17Jun2021).</t>
  </si>
  <si>
    <t xml:space="preserve">Ruta interna: \\10.216.160.201\control interno\2021\19.04 INF.  DE GESTIÓN\MNC\1er Trim 2021\Sol Info y Rtas
202111200041053 Memorando remisorio seg. MNC I Trim 2021 V2.0
09Jun2021:  Ruta interna de calidad: 
\\10.216.160.201\control interno\2021\19.04 INF.  DE GESTIÓN\MNC\02. 1er Trim 2021\05. Inf. y memorando remisorio
Página oficial de la CVP: 
https://www.cajaviviendapopular.gov.co/sites/default/files/Inf%20I%20Trim%202021%20MNC.pdf
</t>
  </si>
  <si>
    <t xml:space="preserve">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 Solicitud de información a la Subdirección Financiera con memorando 202111200022753 del 12 de abril de 2021.
Se realizaron las siguientes actividades: 
- Se realizó alcance a la solicitud de información extendiendo el plazo de entrega de la misma, con memorando 202111200024013 del 15 de abril de 2021. 
09Jun2021: Se finalizó el informe de seguimiento y evaluación a la aplicación del Marco Normativo Contable de la CVP del primer trimestre de la vigencia
2021.
</t>
  </si>
  <si>
    <t>Informe final remitido a la Directora de Mejoramiento de Barrios con memorando 202111200046743 del 23 de junio de 2021 y publicado en la página oficial de la CVP.</t>
  </si>
  <si>
    <t>Se desarrollaron las fases de planeación, ejecución y conclusiones de la Auditoría Interna al proceso de Mejoramiento de Barrios – Articulo 3 del Decreto 371 de 2010</t>
  </si>
  <si>
    <t xml:space="preserve">Ruta interna de calidad:
\\10.216.160.201\control interno\2021\19.03 INF. AUDITORIAS C. I\INTERNAS\06. MV\03. Dto 371 Art.3 y Proced\2. Ejecución\Solicitudes de Inf. y Rptas
</t>
  </si>
  <si>
    <t xml:space="preserve">Se realizó propuesta de Plan de Auditoría para la Auditoría interna al proceso de Mejoramiento de Barrios – Decreto 371 de 2010 – Articulo 3 - Procedimientos. (24Jun2021).
3. Se solicitó información a la DGC y OAP en el marco de la Auditoría Interna al proceso de Mejoramiento de Vivienda realizando las siguientes actividades:
- Solicitud de información a la Dirección de Gestión Corporativa con memorando 202111200046323 del 22 de junio de 2021.
- Solicitud de información a la Oficina Asesora de Planeación con memorando 202111200046383 del 22 de junio de 2021.
Se recibieron las respuestas y evidencias de la DGC con memorando 202117000046643 del 23 de junio de 2021 y la OAP con memorando 202111300047763 de 24 de junio de 2021.
</t>
  </si>
  <si>
    <r>
      <t xml:space="preserve">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t>
    </r>
    <r>
      <rPr>
        <b/>
        <sz val="9"/>
        <rFont val="Arial"/>
        <family val="2"/>
      </rPr>
      <t>9</t>
    </r>
    <r>
      <rPr>
        <sz val="9"/>
        <rFont val="Arial"/>
        <family val="2"/>
      </rPr>
      <t xml:space="preserve">. Sol 202117000031722 del 16Mar Traslado por  compet.  solicitud  No. 1-2021-06460  DPC-529-21. Se trasladó por orfeo a CID
</t>
    </r>
    <r>
      <rPr>
        <b/>
        <sz val="9"/>
        <rFont val="Arial"/>
        <family val="2"/>
      </rPr>
      <t xml:space="preserve">10. </t>
    </r>
    <r>
      <rPr>
        <sz val="9"/>
        <rFont val="Arial"/>
        <family val="2"/>
      </rPr>
      <t xml:space="preserve">202111200022313 de 09Abr2021, remitido a la Direccion Juridica, dando Respuesta al  memorando de  202116000020083 del 
29mar2021
</t>
    </r>
    <r>
      <rPr>
        <b/>
        <sz val="9"/>
        <rFont val="Arial"/>
        <family val="2"/>
      </rPr>
      <t>11</t>
    </r>
    <r>
      <rPr>
        <sz val="9"/>
        <rFont val="Arial"/>
        <family val="2"/>
      </rPr>
      <t xml:space="preserve">. Oficio N° 202111200045161 del 13Abr2021, remitido a Jhoana Marcela Rodriguez, remitiendo el acta de liquidacion en original para que se proceda con su correspondiente suscripcion.
</t>
    </r>
    <r>
      <rPr>
        <b/>
        <sz val="9"/>
        <rFont val="Arial"/>
        <family val="2"/>
      </rPr>
      <t>12</t>
    </r>
    <r>
      <rPr>
        <sz val="9"/>
        <rFont val="Arial"/>
        <family val="2"/>
      </rPr>
      <t xml:space="preserve">.Memorando 202111200023963 del 15 de abril de 2021, dirigido a la Oficina Asesora de Planeacion Solicitando Solicitud relación PQRS recibidos en el desarrollo de la Audiencia de
Rendición de Cuentas de la CVP. 
</t>
    </r>
    <r>
      <rPr>
        <b/>
        <sz val="9"/>
        <rFont val="Arial"/>
        <family val="2"/>
      </rPr>
      <t xml:space="preserve">13. </t>
    </r>
    <r>
      <rPr>
        <sz val="9"/>
        <rFont val="Arial"/>
        <family val="2"/>
      </rPr>
      <t xml:space="preserve">Memorando  202111200024003 del 15 de abril de 2021,  remite Informe de auditoria  REAS.
</t>
    </r>
    <r>
      <rPr>
        <b/>
        <sz val="9"/>
        <rFont val="Arial"/>
        <family val="2"/>
      </rPr>
      <t>14</t>
    </r>
    <r>
      <rPr>
        <sz val="9"/>
        <rFont val="Arial"/>
        <family val="2"/>
      </rPr>
      <t xml:space="preserve">.  Memorando 202111200023983 del 15 de abril de 2021, remitiendo al Director General, el Informe Final de Auditoría Especial para evaluar la capacidad de la entidad para continuar la operación bajo las nuevas condiciones que le impone la crisis en el marco de notificaciones. 
</t>
    </r>
    <r>
      <rPr>
        <b/>
        <sz val="9"/>
        <rFont val="Arial"/>
        <family val="2"/>
      </rPr>
      <t>15</t>
    </r>
    <r>
      <rPr>
        <sz val="9"/>
        <rFont val="Arial"/>
        <family val="2"/>
      </rPr>
      <t xml:space="preserve">. Memorando  202111200023993 del 15 de abril de 2021  Remite Informe JUR_DUT_CORP
</t>
    </r>
    <r>
      <rPr>
        <b/>
        <sz val="9"/>
        <rFont val="Arial"/>
        <family val="2"/>
      </rPr>
      <t>16.</t>
    </r>
    <r>
      <rPr>
        <sz val="9"/>
        <rFont val="Arial"/>
        <family val="2"/>
      </rPr>
      <t xml:space="preserve"> memorando 202111200026233 del 22abr2021 solicitandole a REAS información  en atención oficio de la Personería radicado N° 2021-EE-0376485 de fecha 09 de febrero de 2021
</t>
    </r>
    <r>
      <rPr>
        <b/>
        <sz val="9"/>
        <rFont val="Arial"/>
        <family val="2"/>
      </rPr>
      <t>17</t>
    </r>
    <r>
      <rPr>
        <sz val="9"/>
        <rFont val="Arial"/>
        <family val="2"/>
      </rPr>
      <t xml:space="preserve">. Memorando 202111200027993 del 28abr2021, remitiendo al Director General el informe de la Audiencia de  rendicion de cuentas.
</t>
    </r>
    <r>
      <rPr>
        <b/>
        <sz val="9"/>
        <rFont val="Arial"/>
        <family val="2"/>
      </rPr>
      <t>18</t>
    </r>
    <r>
      <rPr>
        <sz val="9"/>
        <rFont val="Arial"/>
        <family val="2"/>
      </rPr>
      <t xml:space="preserve">. memorando 202111200027983 del 28abr2021, remitiendo el acta (208-SADM-Ft-06).de la audiencia de rendicion de cuentas a la Oficicina Asesora de Planeacion.
19. Memorando 202111200033223 del 19May2021 Informe de Seguimiento al Sistema de Información de procesos Judiciales de
Bogotá SIPROJ–WEB D.C. para el periodo 1° de enero de 2020 al 28 de febrero
de 2021
</t>
    </r>
    <r>
      <rPr>
        <b/>
        <sz val="9"/>
        <rFont val="Arial"/>
        <family val="2"/>
      </rPr>
      <t>20</t>
    </r>
    <r>
      <rPr>
        <sz val="9"/>
        <rFont val="Arial"/>
        <family val="2"/>
      </rPr>
      <t xml:space="preserve">. 202111200033213
19May2021 dirigido al Drector General Informe de Seguimiento al Sistema de Información de procesos Judiciales de
Bogotá SIPROJ–WEB D.C. para el periodo 1° de enero de 2020 al 28 de febrero
de 2021
</t>
    </r>
    <r>
      <rPr>
        <b/>
        <sz val="9"/>
        <rFont val="Arial"/>
        <family val="2"/>
      </rPr>
      <t>21</t>
    </r>
    <r>
      <rPr>
        <sz val="9"/>
        <rFont val="Arial"/>
        <family val="2"/>
      </rPr>
      <t xml:space="preserve">. Proyeccion de la rta al memorando remitido a la ACI por parte de REAS  radicado N° 202112000025493 del 21 de abril de 2021 (en el correo de la jefe desde el 17JUN2021)
</t>
    </r>
    <r>
      <rPr>
        <b/>
        <sz val="9"/>
        <rFont val="Arial"/>
        <family val="2"/>
      </rPr>
      <t>22.</t>
    </r>
    <r>
      <rPr>
        <sz val="9"/>
        <rFont val="Arial"/>
        <family val="2"/>
      </rPr>
      <t>Proyeccion de la rta al oficio remitido por la Personería de Bogotá el seguimiento realizado desde la Asesoría de Control Interno al requerimiento de radicado Sinproc 2748073-2020. ( en el correo de la jefe desde el 17JUN2021)</t>
    </r>
  </si>
  <si>
    <r>
      <rPr>
        <b/>
        <sz val="9"/>
        <color theme="1"/>
        <rFont val="Arial"/>
        <family val="2"/>
      </rPr>
      <t>25Ene</t>
    </r>
    <r>
      <rPr>
        <sz val="9"/>
        <color theme="1"/>
        <rFont val="Arial"/>
        <family val="2"/>
      </rPr>
      <t xml:space="preserve">: Comité de conciliación ficha 260
</t>
    </r>
    <r>
      <rPr>
        <b/>
        <sz val="9"/>
        <color theme="1"/>
        <rFont val="Arial"/>
        <family val="2"/>
      </rPr>
      <t>29Ene</t>
    </r>
    <r>
      <rPr>
        <sz val="9"/>
        <color theme="1"/>
        <rFont val="Arial"/>
        <family val="2"/>
      </rPr>
      <t>: Comité con lineamientos sobre la estabilidad laboral reforzada de mujeres embarazadas</t>
    </r>
    <r>
      <rPr>
        <b/>
        <sz val="9"/>
        <color theme="1"/>
        <rFont val="Arial"/>
        <family val="2"/>
      </rPr>
      <t xml:space="preserve">
23Feb</t>
    </r>
    <r>
      <rPr>
        <sz val="9"/>
        <color theme="1"/>
        <rFont val="Arial"/>
        <family val="2"/>
      </rPr>
      <t xml:space="preserve">: Comité para presentar la mesa de trabajo del 20May con la Secretaría Jurídica Distrital
</t>
    </r>
    <r>
      <rPr>
        <b/>
        <sz val="9"/>
        <color theme="1"/>
        <rFont val="Arial"/>
        <family val="2"/>
      </rPr>
      <t>26Feb</t>
    </r>
    <r>
      <rPr>
        <sz val="9"/>
        <color theme="1"/>
        <rFont val="Arial"/>
        <family val="2"/>
      </rPr>
      <t xml:space="preserve">: Comité para presentar d enuevo los criterios de selección de los abogados
</t>
    </r>
    <r>
      <rPr>
        <b/>
        <sz val="9"/>
        <color theme="1"/>
        <rFont val="Arial"/>
        <family val="2"/>
      </rPr>
      <t>18Mar</t>
    </r>
    <r>
      <rPr>
        <sz val="9"/>
        <color theme="1"/>
        <rFont val="Arial"/>
        <family val="2"/>
      </rPr>
      <t xml:space="preserve">, participar en el Comité de Conciliación con el propósito de presentar la solicitud de conciliación extrajudicial allegada por la señora Graciela Zabala 
</t>
    </r>
    <r>
      <rPr>
        <b/>
        <sz val="9"/>
        <color theme="1"/>
        <rFont val="Arial"/>
        <family val="2"/>
      </rPr>
      <t>23Mar</t>
    </r>
    <r>
      <rPr>
        <sz val="9"/>
        <color theme="1"/>
        <rFont val="Arial"/>
        <family val="2"/>
      </rPr>
      <t xml:space="preserve"> Asistencia en el Comité de Conciliación de la CVP, el propósito de poner a consideración  la procedencia de iniciar o no la acción de repetición por el pago del ejecutivo mixto en el caso Parque Metropolitano. 
</t>
    </r>
    <r>
      <rPr>
        <b/>
        <sz val="9"/>
        <color theme="1"/>
        <rFont val="Arial"/>
        <family val="2"/>
      </rPr>
      <t xml:space="preserve">12Abr: </t>
    </r>
    <r>
      <rPr>
        <sz val="9"/>
        <color theme="1"/>
        <rFont val="Arial"/>
        <family val="2"/>
      </rPr>
      <t xml:space="preserve">Sesión virtual por correo electrónico Comité de Conciliación - Audiencia de Pacto de Cumplimiento en la Acción Popular 2020-00191-00
</t>
    </r>
    <r>
      <rPr>
        <b/>
        <sz val="9"/>
        <color theme="1"/>
        <rFont val="Arial"/>
        <family val="2"/>
      </rPr>
      <t>14Abr:</t>
    </r>
    <r>
      <rPr>
        <sz val="9"/>
        <color theme="1"/>
        <rFont val="Arial"/>
        <family val="2"/>
      </rPr>
      <t xml:space="preserve"> Presencia en la Sesión ordinaria presencial Comité de Conciliación- Principio de oportunidad proceso penal 2017-33215
</t>
    </r>
    <r>
      <rPr>
        <b/>
        <sz val="9"/>
        <color theme="1"/>
        <rFont val="Arial"/>
        <family val="2"/>
      </rPr>
      <t>20May:</t>
    </r>
    <r>
      <rPr>
        <sz val="9"/>
        <color theme="1"/>
        <rFont val="Arial"/>
        <family val="2"/>
      </rPr>
      <t xml:space="preserve"> Presencia en la Sesión ordinaria presencial Comité de Conciliación
Presentación ficha de conciliación No. 264
Deliberación sobre la procedencia de la conciliación extrajudicial  ficha de conciliación No. 263 
Presentación informe de la demanda de la Acción de Repetición caso Parque Metropolitano.
</t>
    </r>
    <r>
      <rPr>
        <b/>
        <sz val="9"/>
        <color theme="1"/>
        <rFont val="Arial"/>
        <family val="2"/>
      </rPr>
      <t>27May</t>
    </r>
    <r>
      <rPr>
        <sz val="9"/>
        <color theme="1"/>
        <rFont val="Arial"/>
        <family val="2"/>
      </rPr>
      <t xml:space="preserve">: presencia en la sesion ordnaria virtual del comite de Conciliacion  informe de representación judicial de la CVP realizado por la Secretaría Jurídica Distrital en el marco de la mesa de trabajo conjunta llevada a cabo el pasado 20 de mayo.
</t>
    </r>
    <r>
      <rPr>
        <b/>
        <sz val="9"/>
        <color theme="1"/>
        <rFont val="Arial"/>
        <family val="2"/>
      </rPr>
      <t xml:space="preserve">08JUN </t>
    </r>
    <r>
      <rPr>
        <sz val="9"/>
        <color theme="1"/>
        <rFont val="Arial"/>
        <family val="2"/>
      </rPr>
      <t xml:space="preserve">presencial virtual en la sesión ordinaria del Comité de Conciliación con el propósito de presentar la ficha 265 -2021. Tema: Conciliación judicial dentro del proceso de reparación directa No. 2019-00908
</t>
    </r>
    <r>
      <rPr>
        <b/>
        <sz val="9"/>
        <color theme="1"/>
        <rFont val="Arial"/>
        <family val="2"/>
      </rPr>
      <t>29JUN</t>
    </r>
    <r>
      <rPr>
        <sz val="9"/>
        <color theme="1"/>
        <rFont val="Arial"/>
        <family val="2"/>
      </rPr>
      <t xml:space="preserve">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t>
    </r>
  </si>
  <si>
    <r>
      <rPr>
        <b/>
        <sz val="9"/>
        <color theme="1"/>
        <rFont val="Arial"/>
        <family val="2"/>
      </rPr>
      <t>29ABR2021</t>
    </r>
    <r>
      <rPr>
        <sz val="9"/>
        <color theme="1"/>
        <rFont val="Arial"/>
        <family val="2"/>
      </rPr>
      <t>.La información de la auditoría se encuentra en la ruta: \\10.216.160.201\control interno\2021\19.03 INF. AUDITORIAS C. I\INTERNAS\01. DUT</t>
    </r>
    <r>
      <rPr>
        <b/>
        <sz val="9"/>
        <color theme="1"/>
        <rFont val="Arial"/>
        <family val="2"/>
      </rPr>
      <t xml:space="preserve">
09JUN. </t>
    </r>
    <r>
      <rPr>
        <sz val="9"/>
        <color theme="1"/>
        <rFont val="Arial"/>
        <family val="2"/>
      </rPr>
      <t>La información se encuentra en la siguiente ruta</t>
    </r>
    <r>
      <rPr>
        <b/>
        <sz val="9"/>
        <color theme="1"/>
        <rFont val="Arial"/>
        <family val="2"/>
      </rPr>
      <t xml:space="preserve">:
</t>
    </r>
    <r>
      <rPr>
        <sz val="9"/>
        <color theme="1"/>
        <rFont val="Arial"/>
        <family val="2"/>
      </rPr>
      <t>\\10.216.160.201\control interno\2021\28.05 PM\EXTERNO\CONTRALORIA\05. DMV Hallazgo 3.1.3.4 – Acción 1</t>
    </r>
  </si>
  <si>
    <r>
      <t xml:space="preserve">Esta actividad no se desarrollo durante el mes de marzo 
Al </t>
    </r>
    <r>
      <rPr>
        <b/>
        <sz val="9"/>
        <color theme="1"/>
        <rFont val="Arial"/>
        <family val="2"/>
      </rPr>
      <t>29ABR2021</t>
    </r>
    <r>
      <rPr>
        <sz val="9"/>
        <color theme="1"/>
        <rFont val="Arial"/>
        <family val="2"/>
      </rPr>
      <t xml:space="preserve">, Se realizó reunion con los desginados del proceso DUT, indicadoles los hallazgos encontrados en el ejercicio  de auditoría, mismos que se plasmaran en el informe preliminar de auditoria, la evidencia de esta actividad se encuentra en la carpeta de la Auditoria de DUT.
</t>
    </r>
    <r>
      <rPr>
        <b/>
        <sz val="9"/>
        <color theme="1"/>
        <rFont val="Arial"/>
        <family val="2"/>
      </rPr>
      <t xml:space="preserve">09JUN
</t>
    </r>
    <r>
      <rPr>
        <sz val="9"/>
        <color theme="1"/>
        <rFont val="Arial"/>
        <family val="2"/>
      </rPr>
      <t>Se apoyo en la reunion con su con la DMV en razón de su comunicación 202114000033343 del 19 de mayo de 2021 en la cual solicita el cierre de la Acción 1- del Hallazgo 3.1.3.4 – de la Auditoría con código 56.</t>
    </r>
  </si>
  <si>
    <t>Toda la información de la auditoría se encuentra en la siguiente ruta:\\10.216.160.201\control interno\2021\19.03 INF. AUDITORIAS C. I\INTERNAS\05. MB\02. Dto 371 Art. 2\1. Planificación Auditoría
la informacion respecto ed la apertura de la auditoria se encuentra en la siguiente ruta:  \\10.216.160.201\control interno\2021\19.03 INF. AUDITORIAS C. I\INTERNAS\05. MB\02. Dto 371 Art. 2\1. Planificación Auditoría\1.4 Comunicacion de Apertura Aud</t>
  </si>
  <si>
    <r>
      <rPr>
        <b/>
        <sz val="9"/>
        <color theme="1"/>
        <rFont val="Arial"/>
        <family val="2"/>
      </rPr>
      <t>04MAY2021</t>
    </r>
    <r>
      <rPr>
        <sz val="9"/>
        <color theme="1"/>
        <rFont val="Arial"/>
        <family val="2"/>
      </rPr>
      <t xml:space="preserve"> se remitió mediante correo electronico dirigido a la Asesora de Control Interno, el Plan de Auditoría a ejecutar a fin de realizar la evaluacon del cumplimiento del las garantias del Decreto 371 de 2010, por parte de la DMB
</t>
    </r>
    <r>
      <rPr>
        <b/>
        <sz val="9"/>
        <color theme="1"/>
        <rFont val="Arial"/>
        <family val="2"/>
      </rPr>
      <t xml:space="preserve">08JUN2021 </t>
    </r>
    <r>
      <rPr>
        <sz val="9"/>
        <color theme="1"/>
        <rFont val="Arial"/>
        <family val="2"/>
      </rPr>
      <t xml:space="preserve">Mediante memorando de radicado Orfeo N°202111200040643, se le comunico a la Directora de Mejoramiento de Barrios, la apertura de la auditoría a adelantar de conformidad con lo indicado en el Decreto 371 de 2010 - Artículo 2 - de los procesos de contratación en el distrito capital.
</t>
    </r>
    <r>
      <rPr>
        <b/>
        <sz val="9"/>
        <color theme="1"/>
        <rFont val="Arial"/>
        <family val="2"/>
      </rPr>
      <t xml:space="preserve">09JUN2021 </t>
    </r>
    <r>
      <rPr>
        <sz val="9"/>
        <color theme="1"/>
        <rFont val="Arial"/>
        <family val="2"/>
      </rPr>
      <t xml:space="preserve">Se celebró reunion de apertura de la auditoría de seguimiento al Decreto 371 de 2010 - Artículo 2° - de los procesos de contratación en el distrito capital, con la Directora de la Direccion de Mejoramiento de Barrios y los enlaces designados para tal labor.
</t>
    </r>
    <r>
      <rPr>
        <b/>
        <sz val="9"/>
        <color theme="1"/>
        <rFont val="Arial"/>
        <family val="2"/>
      </rPr>
      <t xml:space="preserve">09JUN2021 </t>
    </r>
    <r>
      <rPr>
        <sz val="9"/>
        <color theme="1"/>
        <rFont val="Arial"/>
        <family val="2"/>
      </rPr>
      <t xml:space="preserve">Se proyectó y remitio el memorando N° 202111200041023, mediante el cual se le solicito a a Direccion de Gestion Corporativa y CID., los expedientes contractuales de la DMB, como insumo para la auditoría.
</t>
    </r>
    <r>
      <rPr>
        <b/>
        <sz val="9"/>
        <color theme="1"/>
        <rFont val="Arial"/>
        <family val="2"/>
      </rPr>
      <t xml:space="preserve">11JUN2021 </t>
    </r>
    <r>
      <rPr>
        <sz val="9"/>
        <color theme="1"/>
        <rFont val="Arial"/>
        <family val="2"/>
      </rPr>
      <t>Se recibieron los expedientes virtuales remitidos por la DGC y se da inicio al trabajo de campo, verificando la informacion aportada bajo los criterios del Dto 371 de 2010.</t>
    </r>
  </si>
  <si>
    <t>Toda la información de la auditoría se encuentra en la siguiente ruta: \\10.216.160.201\control interno\2021\19.03 INF. AUDITORIAS C. I\INTERNAS\06. MV\02. Dto 371 Art. 2</t>
  </si>
  <si>
    <r>
      <rPr>
        <b/>
        <sz val="9"/>
        <color theme="1"/>
        <rFont val="Arial"/>
        <family val="2"/>
      </rPr>
      <t xml:space="preserve">3/06/2021 </t>
    </r>
    <r>
      <rPr>
        <sz val="9"/>
        <color theme="1"/>
        <rFont val="Arial"/>
        <family val="2"/>
      </rPr>
      <t xml:space="preserve">se remitio mediante correo electronico dirigido a la Asesora de Control Interno, el Plan de Auditoría a ejecutar a fin de realizar la evaluacon del cumplimiento del las garantias del Decreto 371 de 2010, por parte de la DMV
</t>
    </r>
    <r>
      <rPr>
        <b/>
        <sz val="9"/>
        <color theme="1"/>
        <rFont val="Arial"/>
        <family val="2"/>
      </rPr>
      <t xml:space="preserve">16JUN2021 </t>
    </r>
    <r>
      <rPr>
        <sz val="9"/>
        <color theme="1"/>
        <rFont val="Arial"/>
        <family val="2"/>
      </rPr>
      <t xml:space="preserve">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
</t>
    </r>
    <r>
      <rPr>
        <b/>
        <sz val="9"/>
        <color theme="1"/>
        <rFont val="Arial"/>
        <family val="2"/>
      </rPr>
      <t xml:space="preserve">18JUN2021  </t>
    </r>
    <r>
      <rPr>
        <sz val="9"/>
        <color theme="1"/>
        <rFont val="Arial"/>
        <family val="2"/>
      </rPr>
      <t>Se celebró reunion de apertura de la auditoría de seguimiento al Decreto 371 de 2010 - Artículo 2° - de los procesos de contratación en el distrito capital, con la Directora (e) de la Direccion de Mejoramiento de Vivienda y los enlaces designados para tal labor.</t>
    </r>
    <r>
      <rPr>
        <b/>
        <sz val="9"/>
        <color theme="1"/>
        <rFont val="Arial"/>
        <family val="2"/>
      </rPr>
      <t xml:space="preserve">
18JUN2021</t>
    </r>
    <r>
      <rPr>
        <sz val="9"/>
        <color theme="1"/>
        <rFont val="Arial"/>
        <family val="2"/>
      </rPr>
      <t>Se proyectó y remitio el memorando N° 202111200044613, mediante el cual se le solicitó a a Direccion de Gestion Corporativa y CID., los expedientes contractuales de la DMV, como insumo para la auditoría.</t>
    </r>
    <r>
      <rPr>
        <b/>
        <sz val="9"/>
        <color theme="1"/>
        <rFont val="Arial"/>
        <family val="2"/>
      </rPr>
      <t xml:space="preserve">
22JUN2021 </t>
    </r>
    <r>
      <rPr>
        <sz val="9"/>
        <color theme="1"/>
        <rFont val="Arial"/>
        <family val="2"/>
      </rPr>
      <t>Se recibieron los expedientes virtuales remitidos por la DGC y se da inicio al trabajo de campo, verificando la informacion aportada bajo los criterios del Dto 371 de 2010.</t>
    </r>
  </si>
  <si>
    <t>28JuN2021: Calendario de Google Meet.</t>
  </si>
  <si>
    <t>22Jun2021: Calendario de Google Meet.</t>
  </si>
  <si>
    <t xml:space="preserve">Se realizaron dos actas así: </t>
  </si>
  <si>
    <t xml:space="preserve">1. Charla individual sobre solicitud de información DUT </t>
  </si>
  <si>
    <t>2. Charla individual sobre solicitud de información Subdirección Ficianciera</t>
  </si>
  <si>
    <t>Se realizaron dos reuniones el día 23jun2021 con los procesos Urbanizaciones y Titulación y Gestión Financiera</t>
  </si>
  <si>
    <t>Se está preparando las capacitaciones con los temas:</t>
  </si>
  <si>
    <t>1. Planes de mejoraiento</t>
  </si>
  <si>
    <t>2. Controles de los riesgos</t>
  </si>
  <si>
    <t>Se tiene preparado hacer en julio</t>
  </si>
  <si>
    <t>• Solicitud de información: Memo No. 202111200044703 del 18jun2021
• Consolidación de respuestas
• Matriz de seguimiento 
\\10.216.160.201\control interno\2021\28.05 PM\EXTERNO\CONTRALORIA\07. I SEG 2021</t>
  </si>
  <si>
    <t>Se inició con el seguimiento al plan de mejoramiento externo con memorando No. 202111200044703 del 18jun2021. Se realizó el seguimiento, está en consolidación el informe final.</t>
  </si>
  <si>
    <t>• Solicitud de información: Memo No. 202111200044703 del 18jun2021
• Consolidación de respuestas
• Matriz de seguimiento 
• Informe de seguimiento
\\10.216.160.201\control interno\2021\28.05 PM\INTERNO\07. II_Seg_2021 corte 15Jun</t>
  </si>
  <si>
    <t>• Proyecto de memo de solicitud de información
\\10.216.160.201\control interno\2021\19.04 INF.  DE GESTIÓN\EVALUACION SCI\01. I sem 2021\04. Seguimiento\00. Solicitud de información</t>
  </si>
  <si>
    <t>Se está preparando el memo de solicitud de información y la matriz a enviar.</t>
  </si>
  <si>
    <t xml:space="preserve">Ruta interna de calidad: 
\\10.216.160.201\control interno\2021\19.03 INF. AUDITORIAS C. I\INTERNAS\06. MV\03. Dto 371 Art.3 y Proced\1. Planificación\1.3 Plan de auditoría
Ruta interna de calidad: 
\\10.216.160.201\control interno\2021\19.03 INF. AUDITORIAS C. I\INTERNAS\06. MV\03. Dto 371 Art.3 y Proced\1. Planificación\1.3 Plan de auditoría
</t>
  </si>
  <si>
    <t xml:space="preserve">En relación con la Auditoría Interna al proceso de Mejoramiento de Vivienda realizando las siguientes actividades:
- Solicitud de información a la Dirección de Gestión Corporativa con memorando 202111200046323 del 22 de junio de 2021.
- Solicitud de información a la Oficina Asesora de Planeación con memorando 202111200046383 del 22 de junio de 2021.
Se recibieron las respuestas y evidencias de la DGC con memorando 202117000046643 del 23 de junio de 2021 y la OAP con memorando 202111300047763 de 24 de junio de 2021.
A 30 de junio, se encuentra en proceso de determinación de la muestra de auditoria de auditoria las PQRSD recibidas por MV a 31 de mayo de 2021
Se realizó propuesta de Plan de Auditoría para la Auditoría interna al proceso de Mejoramiento de Vivienda – Decreto 371 de 2010 – Articulo 3 - Procedimientos. (24Jun2021).
</t>
  </si>
  <si>
    <t xml:space="preserve">1. DP: traslado de la Contraloría Dir sectorial Gob sobre líneas de crédito. Se solicitó información a Reas, Vivienda, Financiera y OAP para dar rta el 03Feb2021. 202111200005383 lineas de crédito. Rta Oficio 202111200016191 del 10Feb
2. DP: Solicitud urgencia manifiesta 202117000007502 del 21Ene. Rta 202111200008751 del 25Ene
3. DP: Solicitud urgencia manifiesta 202117000001762 del 07Ene. Rta 202111200002291 del 12Ene
4. DP: Solicitud urgencia manifiesta 202117000003862 del 14Ene. Rta 202111200004361 del 14Ene
5. DP: Solicitud urgencia manifiesta 202117000018762 del 18Feb. Rta 202111200020651 del 19Feb
6. DP: Solicitud urgencia manifiesta 202117000021492 del 15Feb. Rta 202111200023071 del 25Feb
7. DP: 202117000019902 fecha entrega Arbolea Santa Teresita del 22Feb - no se ha contestado
8. DP: Solicitud urgencia manifiesta 202117000026072 del 05Mar. Rta 202111200026231 del 08Mar
9. DP: Solicitud urgencia manifiesta 202117000032542 del 15Mar. Rta 202111200033351 del 18Mar
10. DP: Sol info por correo electrónico sobre el cto 459-2014 San Martín de Loba, La Contraloría hace otra solicitud con oficio  202117000029772 del 12Mar. Se solicita prórroga 202111200029991 y se da Rta con oficio 202115000032861 del 17Mar.
11. Sol por correo electrónico del 10Mar HV ctos Arboleda. COn Rta de mismo modo el 17Mar
12. Sol 202117000034112 del 23Mar preguntas sobre Arboleda. Se solicitó prórroga 202111200034911. Se dio Rta Oficio 202111200038151 del 29Mar
13. Sol por correo electrónico del 25Mar cuadro para la AGR enviado por la contraloría. Se dio Rta del mismo modo el 25Mar
14.Respuesta 1 a solicitud de la Contraloría 2-2021-08702 del 26 de marzo de 2021.
15. Respuesta 2 a solicitud de la Contraloría 2-2021-08702 del 26 de marzo de 2021.
16. Respuesta 3 a solicitud de la Contraloría 2-2021-08702 del 26 de marzo de 2021.
17. Correo electrónico Solicitud cargue del documento electrónico CBN-1001: Programa Anual Mensualizado De Caja - Pac      de la Caja de la vivienda popular código 208 - presupuesto del corte de 31 de marzo de 2021 el día 13 de abril de 2021.
18.Documento Word hojas de vida de contratos relacionados con el proyecto de Arboleda Santa Teresita el día 17 de abril de 2021.
19.Oficio urgencia manifiesta del 13 de abril de 2021 enviado a la Contraloría el 16 de abril 2021
20. Respuesta a la solicitud de información 2 de la Contraloría 2-2021-09814 del 12 de abril de 2021.
21. Respuesta a la solicitud de información 3 de la Contraloría 2-2021-09874 del 13 de abril de 2021.
22. Rta 06. 202111200058761 Rta recursos compras publicas sostenibles CGN.
23. DP: Solicitud urgencia manifiesta 202117000048562 del 29Abr. Rta 202111200055531 del 29Abr.
24. 202111200059631 CUESTIONARIO ACCESO VIVIENDA  BTÁ
25. Rta 202111200067621 a contralorìa dobre contratos de obra pública
26. 202117000053812  UM CVP -  2-2021-12397 - Rta 202111200066231
27. 202117000056502  UM 2-2021-13036 - Rta 202111200068631
28.202117000074592   UM 2-2021-15741 - Rta 202111200083181 </t>
  </si>
  <si>
    <t>28Ene: Comité de seguimiento financiero donde expusieron estados de Tesorería de dic2020; rendimientos financieros bancos; Informe de gestión del comité año 2020; Avance embargo UGPP y cronograma de reuniones CSF 2021.
18Feb: Comité de seguimiento financiero donde expusieron el caso del embargo de la UGPP, estado de tesorería y el informe de excedentes financieros
23Abri:Comité de Seguimiento Financiero – Meet el día 23 de abril de 2021
29Abr: comité técnico de sostenibilidad contable – Meet el día 29 de abril de 2021.
27May: Comité Financiero-Meet el dia 27 de Mayo de 2021.
28Jun:Comité Financiero-Meet el dia 28 de Jun de 2021.</t>
  </si>
  <si>
    <t xml:space="preserve">Ruta: \\10.216.160.201\control interno\2021\19.03 INF. AUDITORIAS C. I\EXTERNAS\01. REG. PAD 2021 - CÓD 55
1. 202111200005433 Memo com DG auditorias 2021 del 31Ene
2. Correo solicitud contraloría plan de acción de auditoría del 19Feb
3. 202117000036272 Present. Equipo Auditor, PVCF-B 2021 - Código N° 55 del 26Mar
4. 202117000036282 solicitud de info auditoría No. 1 del 26Mar. Se realizó reviisón y correo de reparto
- Respuesta 1 a solicitud de la Contraloría 2-2021-08702 del 26 de marzo de 2021.
- Respuesta 2 a solicitud de la Contraloría 2-2021-08702 del 26 de marzo de 2021.
- Respuesta 3 a solicitud de la Contraloría 2-2021-08702 del 26 de marzo de 2021.
-Correo electrónico Solicitud cargue del documento electrónico CBN-1001: Programa Anual Mensualizado De Caja - Pac      de la Caja de la vivienda popular código 208 - presupuesto del corte de 31 de marzo de 2021 el día 13 de abril de 2021.
-Documento Word hojas de vida de contratos relacionados con el proyecto de Arboleda Santa Teresita el día 17 de abril de 2021.
- Oficio urgencia manifiesta del 13 de abril de 2021 enviado a la Contraloría el 16 de abril 2021
- Respuesta a la solicitud de información 2 de la Contraloría 2-2021-09814 del 12 de abril de 2021.
- Respuesta a la solicitud de información 3 de la Contraloría 2-2021-09874 del 13 de abril de 2021.
- Respuesta parcial a la solicitud de información 5 de la Contraloría 2-2021-10375 del 20 de abril de 2021.
- Respuesta parcial a la solicitud de información 6 de la Contraloría 2-2021-10953 del 26 de abril de 2021.
- Respuesta parcial a la solicitud de información 7 de la Contraloría 2-2021-11333 del 29 de abril de 2021.
26. Respuesta a la solicitud de información 8 de la Contraloría 2-2021-11683 del 4 de mayo de 2021. 
27. Respuesta a la solicitud de información 9 de la Contraloría 2-2021-11808 del 6 de mayo de 2021. 
28. Respuesta a la solicitud de información 10 de la Contraloría 2-2021-12003 del 6 de mayo de 2021. 
29. Respuesta a la solicitud de información 11 de la Contraloría 2-2021-12124 del 10 de mayo de 2021.
30. Respuesta a la solicitud de información 12 de la Contraloría 2-2021-12200 del 11 de mayo de 2021.
31. Respuesta a la solicitud de información 13 de la Contraloría 2-2021-12399 del 12 de mayo de 2021.
32. Respuesta a la solicitud de información 15 de la Contraloría 2-2021-12835 del 12 de mayo de 2021.
33. Respuesta a la solicitud de información 17 de la Contraloría 2-2021-13351 del 24 de mayo de 2021.
34.Respuesta a la solicitud de información 18 de la Contraloría 2-2021-13368 del 24 de mayo de 2021.
35. Respuesta a la solicitud de información 19 de la Contraloría 2-2021-13370 del 24 de mayo de 2021.
36. Respuesta a la solicitud de información 20 de la Contraloría 2-2021-13474 del 25 de mayo de 2021.
37.Respuesta a la solicitud de información 23 de la Contraloría 2-2021-14244 del 3 de junio de 2021.
38.Respuesta a la solicitud de información 24 de la Contraloría correo electrónico del 3 de junio de 2021.
39.Respuesta a la solicitud de información 25 de la Contraloría 2-2021-14284 del 3 de junio de 2021.
40.Respuesta a la solicitud de información 26 de la Contraloría correo electrónico del 08 de junio de 2021.
41.Respuesta a la solicitud de información 28 de la Contraloría 2-2021-14721 del 10 de junio de 2021.
42.Respuesta a la solicitud de información 29 de la Contraloría 2-2021-14979 del 15 de junio de 2021.
43.Respuesta a la solicitud de información 30 de la Contraloría 2-2021-15261 del 17 de junio de 2021.
44.Respuesta a la solicitud de información 31 de la Contraloría 2-2021-15352 del 18 de junio de 2021.
45.Respuesta a la solicitud de información 32 de la Contraloría 2-2021-15372 del 18 de junio de 2021.
46.Respuesta a la solicitud de información 33 de la Contraloría 2-2021-15509 del 22 de junio de 2021.
</t>
  </si>
  <si>
    <t>Ruta: \\10.216.160.201\control interno\2021\19.03 INF. AUDITORIAS C. I\EXTERNAS\01. REG. PAD 2021 - CÓD 55
1. 202111200005433 Memo com DG auditorias 2021 del 31Ene
2. Correo solicitud contraloría plan de acción de auditoría del 19Feb
3. 202117000036272 Present. Equipo Auditor, PVCF-B 2021 - Código N° 55 del 26Mar
4. 202117000036282 solicitud de info auditoría No. 1 del 26Mar. Se realizó reviisón y correo de reparto
- Respuesta 1 a solicitud de la Contraloría 2-2021-08702 del 26 de marzo de 2021.
- Respuesta 2 a solicitud de la Contraloría 2-2021-08702 del 26 de marzo de 2021.
- Respuesta 3 a solicitud de la Contraloría 2-2021-08702 del 26 de marzo de 2021.
-Correo electrónico Solicitud cargue del documento electrónico CBN-1001: Programa Anual Mensualizado De Caja - Pac      de la Caja de la vivienda popular código 208 - presupuesto del corte de 31 de marzo de 2021 el día 13 de abril de 2021.
-Documento Word hojas de vida de contratos relacionados con el proyecto de Arboleda Santa Teresita el día 17 de abril de 2021.
- Oficio urgencia manifiesta del 13 de abril de 2021 enviado a la Contraloría el 16 de abril 2021
- Respuesta a la solicitud de información 2 de la Contraloría 2-2021-09814 del 12 de abril de 2021.
- Respuesta a la solicitud de información 3 de la Contraloría 2-2021-09874 del 13 de abril de 2021.
- Respuesta parcial a la solicitud de información 5 de la Contraloría 2-2021-10375 del 20 de abril de 2021.
- Respuesta parcial a la solicitud de información 6 de la Contraloría 2-2021-10953 del 26 de abril de 2021.
- Respuesta parcial a la solicitud de información 7 de la Contraloría 2-2021-11333 del 29 de abril de 2021.
26. Respuesta a la solicitud de información 8 de la Contraloría 2-2021-11683 del 4 de mayo de 2021. 
27. Respuesta a la solicitud de información 9 de la Contraloría 2-2021-11808 del 6 de mayo de 2021. 
28. Respuesta a la solicitud de información 10 de la Contraloría 2-2021-12003 del 6 de mayo de 2021. 
29. Respuesta a la solicitud de información 11 de la Contraloría 2-2021-12124 del 10 de mayo de 2021.
30. Respuesta a la solicitud de información 12 de la Contraloría 2-2021-12200 del 11 de mayo de 2021.
31. Respuesta a la solicitud de información 13 de la Contraloría 2-2021-12399 del 12 de mayo de 2021.
32. Respuesta a la solicitud de información 15 de la Contraloría 2-2021-12835 del 12 de mayo de 2021.
33. Respuesta a la solicitud de información 17 de la Contraloría 2-2021-13351 del 24 de mayo de 2021.
34.Respuesta a la solicitud de información 18 de la Contraloría 2-2021-13368 del 24 de mayo de 2021.
35. Respuesta a la solicitud de información 19 de la Contraloría 2-2021-13370 del 24 de mayo de 2021.
36. Respuesta a la solicitud de información 20 de la Contraloría 2-2021-13474 del 25 de mayo de 2021.
37.Respuesta a la solicitud de información 23 de la Contraloría 2-2021-14244 del 3 de junio de 2021.
38.Respuesta a la solicitud de información 24 de la Contraloría correo electrónico del 3 de junio de 2021.
39.Respuesta a la solicitud de información 25 de la Contraloría 2-2021-14284 del 3 de junio de 2021.
40.Respuesta a la solicitud de información 26 de la Contraloría correo electrónico del 08 de junio de 2021.
41.Respuesta a la solicitud de información 28 de la Contraloría 2-2021-14721 del 10 de junio de 2021.
42.Respuesta a la solicitud de información 29 de la Contraloría 2-2021-14979 del 15 de junio de 2021.
43.Respuesta a la solicitud de información 30 de la Contraloría 2-2021-15261 del 17 de junio de 2021.
44.Respuesta a la solicitud de información 31 de la Contraloría 2-2021-15352 del 18 de junio de 2021.
45.Respuesta a la solicitud de información 32 de la Contraloría 2-2021-15372 del 18 de junio de 2021.
46.Respuesta a la solicitud de información 33 de la Contraloría 2-2021-15509 del 22 de junio de 2021.</t>
  </si>
  <si>
    <t>Se encuentra en etapa de ejecución y en espera de entrega de información realizada a las areas para iniciar trabajo de campo con el Memorando 202111200031033 del 10 de mayo de 2021.
En el mes de junio se encuentra en etapa de ejecución,pero se hizo necesario ampliar la auditoría hasta el 13Jul, en razón a que el proceso de gestión del talento humano entregó la información el 031Jun, se inicio trabajo de campo.</t>
  </si>
  <si>
    <t>Ruta de evidencias del cargue de información de la cuenta mensual del mes de diciembre: \\10.216.160.201\control interno\2021\19.01 INF.  A  ENTID. DE CONTROL Y VIG\SIVICOF\CUENTA MENSUAL\05. mayo 2021</t>
  </si>
  <si>
    <t>Del total de actividades del PAA al 30Jun2021 (186), deberían estar cumplidas 89</t>
  </si>
  <si>
    <t>Están finalizadas 83 de las 89 actividades; están vencidas 6</t>
  </si>
  <si>
    <t>Las 89 acciones cuando estén cumplidas, deberán sumar el 47,025% del total del plan = 100% (en valor absoluto)</t>
  </si>
  <si>
    <t>Las 83 actividades cumplidas suman = 43,400%</t>
  </si>
  <si>
    <t>Las 6 actividades vencidas tienen un avance del 2,824%, siendo que debería ser del 3,625%</t>
  </si>
  <si>
    <r>
      <t xml:space="preserve">El avance total de las 89 actividades es de </t>
    </r>
    <r>
      <rPr>
        <sz val="11"/>
        <color theme="9"/>
        <rFont val="Arial"/>
        <family val="2"/>
      </rPr>
      <t>43,400%</t>
    </r>
    <r>
      <rPr>
        <sz val="11"/>
        <color theme="1"/>
        <rFont val="Arial"/>
        <family val="2"/>
      </rPr>
      <t xml:space="preserve"> +</t>
    </r>
    <r>
      <rPr>
        <sz val="11"/>
        <color theme="6" tint="-0.249977111117893"/>
        <rFont val="Arial"/>
        <family val="2"/>
      </rPr>
      <t xml:space="preserve"> 2,824%</t>
    </r>
    <r>
      <rPr>
        <sz val="11"/>
        <color theme="1"/>
        <rFont val="Arial"/>
        <family val="2"/>
      </rPr>
      <t xml:space="preserve"> = 46,224% </t>
    </r>
  </si>
  <si>
    <t>Existen otras 33 actividades que se iniciaron entre enero, febrero, marzo, abril, mayo y junio pero su fecha de finalización es posterior al 30Jun2021, siendo que de estas 33, no se ha finalizado ninguna.</t>
  </si>
  <si>
    <t>1. DP: La veeduría solicitó diligenciar encuesta sobre los temas a capacitar a los jefes OCI en 2021. Elizabeth e IATC diligenciaron el formulario de google con la información que dieron todos los auditores.
2. Se solicitó concepto al DAFP sobre inquietudes que se tienen de la Evaluación Independiente del Sistema de Control Interno mediante Rad CVP No. 202111200045791 del 14abr2021 y Rad. DAFP No. 20212060190982 del 14abr2021.
3. Se solicitó concepto al DAFP sobre la administración de los riesgos de los proyectos de inversión Rad CVP No. 202111200077481 del 10Jun2021 y Rad DAFP No. 20212060471112 del 11Jun2021, se está de la respuesta.</t>
  </si>
  <si>
    <t>10. DP: Sol info por correo electrónico sobre el cto 459-2014 San Martín de Loba, La Contraloría hace otra solicitud con oficio  202117000029772 del 12Mar. Se solicita prórroga 202111200029991 y se da Rta con oficio 202115000032861 del 17Mar.
11. DP: Solicitud concepto aclaración función del Comité Institucional de Coordinación de Control Interno. Rac CVP No. 202111200073691 del 31May2021. Rad DAFP 20212060475372 del 16Jun2021</t>
  </si>
  <si>
    <t>04Ene: Comité directivo
29Ene: Comité directivo donde se aprobaron los 12 planes del Dec 612
08abr: Comité Institucional de Coordinación de Control Interno
30abr: Comité Institucional de Gestión y Desempeño.
22jun: Cuarta sesión ordinaria del Comité Institucional de Coordinación de Control Interno.
30Jun: Participación en la Segunda sesion del Comité Distrital de Auditoría.</t>
  </si>
  <si>
    <t xml:space="preserve">Durante el marzo no se presentaron acrtividades relacionadas con esta actividad. 
1- Se realizó la revisión del análisis de causas y la formulación del plan de mejoramiento realizado por la DUT sobre el informe final de la Auditoria Interna, realizando las siguientes actividades: 
- Se recibió el análisis causal y la formulación del plan de mejoramiento por correo electrónico el 21 de abril de 2021.
- Se realizó la revisión de la formulación y se solicitaron ajustes a través de correo electrónico a la DUT el 23Abr2021
- Se recibieron los ajustes a la formulación al Plan de Mejoramiento por parte de la DUT el 23Abr2021.
- Se dio conformidad al PM a través de correo electrónico del 23Abr2021. 
- Se recibió correo electrónico de la DUT con memorando 202113000026713 del 27 de abril y matrices de PM y análisis causal definitivas y se remitió a la procesional Kelly Serrano para su respectiva consolidación en el PM interno y posterior seguimiento
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 Se solicitó la formulación del PM de la auditoría a la DMB de las PQRSD con memo 202111200046743, se recibió el PM, se revisó, se solicitiaron ajusts y se recibió la versión final el 29Jun y se remitió a Kelly Serrano para que formara parate de la matriz de PM.
</t>
  </si>
  <si>
    <t>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t>
  </si>
  <si>
    <t>ATRASADA</t>
  </si>
  <si>
    <t>El avance que deberían llevar esas 33 actividades que están en ejecución, corresponde al tiempo transcurrido desde la fecha de inicio de cada una, hasta el 30Jun2021, posteriormente ese tiempo se divide entre el tiempo total de cada actividad. Después, ese porcentaje se multiplicó por el valor de la actividad ponderada. Este valor correspondió al 11,455% del total del PAA (Es el total de lo que debería llevar a la fecha - columna AH) + el % que debería llevar la actividad que ya finalizó (en este periodo ninguna).</t>
  </si>
  <si>
    <t>El avance de estas 33 actividades al 30Jun2021 fue del 11,455% (Aporte al avance del PAA, total de la columna AB)</t>
  </si>
  <si>
    <r>
      <t>El avance Real total del PAA al 30Jun2021 es del</t>
    </r>
    <r>
      <rPr>
        <sz val="11"/>
        <color theme="9"/>
        <rFont val="Arial"/>
        <family val="2"/>
      </rPr>
      <t xml:space="preserve"> 43,400% </t>
    </r>
    <r>
      <rPr>
        <sz val="11"/>
        <color theme="1"/>
        <rFont val="Arial"/>
        <family val="2"/>
      </rPr>
      <t>+</t>
    </r>
    <r>
      <rPr>
        <sz val="11"/>
        <color theme="6" tint="-0.249977111117893"/>
        <rFont val="Arial"/>
        <family val="2"/>
      </rPr>
      <t xml:space="preserve"> 2,824%</t>
    </r>
    <r>
      <rPr>
        <sz val="11"/>
        <color theme="1"/>
        <rFont val="Arial"/>
        <family val="2"/>
      </rPr>
      <t xml:space="preserve"> </t>
    </r>
    <r>
      <rPr>
        <sz val="11"/>
        <rFont val="Arial"/>
        <family val="2"/>
      </rPr>
      <t>+</t>
    </r>
    <r>
      <rPr>
        <sz val="11"/>
        <color rgb="FFFF0000"/>
        <rFont val="Arial"/>
        <family val="2"/>
      </rPr>
      <t xml:space="preserve"> 11,455% </t>
    </r>
    <r>
      <rPr>
        <sz val="11"/>
        <color theme="1"/>
        <rFont val="Arial"/>
        <family val="2"/>
      </rPr>
      <t>= 57,679%</t>
    </r>
  </si>
  <si>
    <r>
      <t>Así las cosas, el avance total del PAA al 30Jun2021 debería ser del</t>
    </r>
    <r>
      <rPr>
        <sz val="11"/>
        <color rgb="FF00B050"/>
        <rFont val="Arial"/>
        <family val="2"/>
      </rPr>
      <t xml:space="preserve"> 47,025% </t>
    </r>
    <r>
      <rPr>
        <sz val="11"/>
        <color theme="1"/>
        <rFont val="Arial"/>
        <family val="2"/>
      </rPr>
      <t xml:space="preserve">+ </t>
    </r>
    <r>
      <rPr>
        <sz val="11"/>
        <color rgb="FF0070C0"/>
        <rFont val="Arial"/>
        <family val="2"/>
      </rPr>
      <t>11,455%</t>
    </r>
    <r>
      <rPr>
        <sz val="11"/>
        <color theme="1"/>
        <rFont val="Arial"/>
        <family val="2"/>
      </rPr>
      <t xml:space="preserve"> = 58,48</t>
    </r>
    <r>
      <rPr>
        <sz val="11"/>
        <rFont val="Arial"/>
        <family val="2"/>
      </rPr>
      <t>%</t>
    </r>
  </si>
  <si>
    <r>
      <t>La eficacia del PAA es del (Avance Real)</t>
    </r>
    <r>
      <rPr>
        <b/>
        <sz val="11"/>
        <color theme="1"/>
        <rFont val="Arial"/>
        <family val="2"/>
      </rPr>
      <t xml:space="preserve"> 57,679%</t>
    </r>
    <r>
      <rPr>
        <sz val="11"/>
        <color theme="1"/>
        <rFont val="Arial"/>
        <family val="2"/>
      </rPr>
      <t xml:space="preserve"> / (lo que debería llevar)</t>
    </r>
    <r>
      <rPr>
        <b/>
        <sz val="11"/>
        <color theme="1"/>
        <rFont val="Arial"/>
        <family val="2"/>
      </rPr>
      <t xml:space="preserve"> 58,48%</t>
    </r>
    <r>
      <rPr>
        <sz val="11"/>
        <color theme="1"/>
        <rFont val="Arial"/>
        <family val="2"/>
      </rPr>
      <t xml:space="preserve"> =</t>
    </r>
    <r>
      <rPr>
        <b/>
        <sz val="11"/>
        <color theme="1"/>
        <rFont val="Arial"/>
        <family val="2"/>
      </rPr>
      <t xml:space="preserve"> 98,63%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</si>
</sst>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dd\-mmm\-yyyy"/>
    <numFmt numFmtId="170" formatCode="0.000%"/>
    <numFmt numFmtId="171" formatCode="0.00000"/>
  </numFmts>
  <fonts count="4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FF0000"/>
      <name val="Arial"/>
      <family val="2"/>
    </font>
    <font>
      <sz val="11"/>
      <color theme="9"/>
      <name val="Arial"/>
      <family val="2"/>
    </font>
    <font>
      <sz val="11"/>
      <color rgb="FF7030A0"/>
      <name val="Arial"/>
      <family val="2"/>
    </font>
    <font>
      <sz val="11"/>
      <color theme="6" tint="-0.499984740745262"/>
      <name val="Arial"/>
      <family val="2"/>
    </font>
    <font>
      <sz val="8"/>
      <name val="Calibri"/>
      <family val="2"/>
      <scheme val="minor"/>
    </font>
    <font>
      <sz val="11"/>
      <color theme="6" tint="-0.249977111117893"/>
      <name val="Arial"/>
      <family val="2"/>
    </font>
    <font>
      <sz val="11"/>
      <color rgb="FF0070C0"/>
      <name val="Arial"/>
      <family val="2"/>
    </font>
    <font>
      <b/>
      <sz val="9"/>
      <color indexed="81"/>
      <name val="Tahoma"/>
      <family val="2"/>
    </font>
    <font>
      <sz val="9"/>
      <color indexed="81"/>
      <name val="Tahoma"/>
      <family val="2"/>
    </font>
    <font>
      <b/>
      <sz val="9"/>
      <color rgb="FFFFFF00"/>
      <name val="Arial"/>
      <family val="2"/>
    </font>
    <font>
      <b/>
      <sz val="9"/>
      <color rgb="FF000000"/>
      <name val="Tahoma"/>
      <family val="2"/>
    </font>
    <font>
      <sz val="9"/>
      <color rgb="FF000000"/>
      <name val="Tahoma"/>
      <family val="2"/>
    </font>
    <font>
      <b/>
      <i/>
      <sz val="9"/>
      <color theme="1"/>
      <name val="Arial"/>
      <family val="2"/>
    </font>
    <font>
      <b/>
      <sz val="9"/>
      <color theme="0"/>
      <name val="Arial"/>
      <family val="2"/>
    </font>
    <font>
      <b/>
      <sz val="9"/>
      <name val="Arial"/>
      <family val="2"/>
    </font>
    <font>
      <sz val="8"/>
      <color theme="1"/>
      <name val="Arial"/>
      <family val="2"/>
    </font>
    <font>
      <b/>
      <sz val="9"/>
      <color theme="4" tint="-0.499984740745262"/>
      <name val="Arial"/>
      <family val="2"/>
    </font>
    <font>
      <sz val="9"/>
      <color theme="1"/>
      <name val="Calibri"/>
      <family val="2"/>
      <scheme val="minor"/>
    </font>
  </fonts>
  <fills count="34">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FF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CC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99FF"/>
        <bgColor indexed="64"/>
      </patternFill>
    </fill>
    <fill>
      <patternFill patternType="solid">
        <fgColor rgb="FFCCFFCC"/>
        <bgColor indexed="64"/>
      </patternFill>
    </fill>
    <fill>
      <patternFill patternType="solid">
        <fgColor rgb="FF92D050"/>
        <bgColor indexed="64"/>
      </patternFill>
    </fill>
    <fill>
      <patternFill patternType="solid">
        <fgColor theme="6" tint="0.59999389629810485"/>
        <bgColor rgb="FFD9D9D9"/>
      </patternFill>
    </fill>
    <fill>
      <patternFill patternType="solid">
        <fgColor theme="6" tint="0.59999389629810485"/>
        <bgColor indexed="64"/>
      </patternFill>
    </fill>
    <fill>
      <patternFill patternType="solid">
        <fgColor rgb="FF7030A0"/>
        <bgColor indexed="64"/>
      </patternFill>
    </fill>
    <fill>
      <patternFill patternType="solid">
        <fgColor rgb="FFFF0000"/>
        <bgColor indexed="64"/>
      </patternFill>
    </fill>
    <fill>
      <patternFill patternType="solid">
        <fgColor theme="0"/>
        <bgColor indexed="64"/>
      </patternFill>
    </fill>
    <fill>
      <patternFill patternType="solid">
        <fgColor rgb="FFFF66FF"/>
        <bgColor indexed="64"/>
      </patternFill>
    </fill>
    <fill>
      <patternFill patternType="solid">
        <fgColor theme="0" tint="-0.14999847407452621"/>
        <bgColor rgb="FFD9D9D9"/>
      </patternFill>
    </fill>
    <fill>
      <patternFill patternType="solid">
        <fgColor theme="6" tint="0.39997558519241921"/>
        <bgColor theme="4" tint="0.79998168889431442"/>
      </patternFill>
    </fill>
    <fill>
      <patternFill patternType="solid">
        <fgColor theme="9"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4">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11" fillId="0" borderId="0"/>
    <xf numFmtId="165"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0" borderId="0"/>
    <xf numFmtId="0" fontId="6" fillId="0" borderId="0"/>
    <xf numFmtId="0" fontId="12" fillId="0" borderId="0"/>
    <xf numFmtId="0" fontId="6"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6" fillId="0" borderId="0"/>
    <xf numFmtId="0" fontId="6" fillId="0" borderId="0"/>
    <xf numFmtId="164" fontId="6" fillId="0" borderId="0" applyFont="0" applyFill="0" applyBorder="0" applyAlignment="0" applyProtection="0"/>
    <xf numFmtId="0" fontId="6" fillId="0" borderId="0"/>
    <xf numFmtId="0" fontId="12" fillId="0" borderId="0"/>
    <xf numFmtId="0" fontId="6" fillId="0" borderId="0"/>
    <xf numFmtId="165"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6" fillId="0" borderId="0"/>
    <xf numFmtId="0" fontId="6" fillId="0" borderId="0"/>
    <xf numFmtId="0" fontId="6" fillId="0" borderId="0"/>
    <xf numFmtId="0" fontId="12"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43" fontId="6" fillId="0" borderId="0" applyFont="0" applyFill="0" applyBorder="0" applyAlignment="0" applyProtection="0"/>
    <xf numFmtId="0" fontId="11" fillId="0" borderId="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cellStyleXfs>
  <cellXfs count="299">
    <xf numFmtId="0" fontId="0" fillId="0" borderId="0" xfId="0"/>
    <xf numFmtId="0" fontId="13" fillId="0" borderId="0" xfId="0" applyFont="1"/>
    <xf numFmtId="0" fontId="14" fillId="0" borderId="0" xfId="0" applyFont="1"/>
    <xf numFmtId="0" fontId="9" fillId="0" borderId="0" xfId="0" applyFont="1"/>
    <xf numFmtId="0" fontId="16" fillId="0" borderId="1" xfId="0" applyFont="1" applyBorder="1" applyAlignment="1">
      <alignment horizontal="left" vertical="center" indent="1"/>
    </xf>
    <xf numFmtId="0" fontId="7" fillId="0" borderId="0" xfId="0" applyFont="1"/>
    <xf numFmtId="0" fontId="0" fillId="0" borderId="0" xfId="0" applyAlignment="1">
      <alignment wrapText="1"/>
    </xf>
    <xf numFmtId="9" fontId="0" fillId="0" borderId="0" xfId="0" applyNumberFormat="1"/>
    <xf numFmtId="0" fontId="18" fillId="4" borderId="1" xfId="13" applyFont="1" applyFill="1" applyBorder="1" applyAlignment="1">
      <alignment horizontal="center" vertical="center"/>
    </xf>
    <xf numFmtId="0" fontId="19" fillId="5" borderId="1" xfId="13" applyFont="1" applyFill="1" applyBorder="1" applyAlignment="1">
      <alignment vertical="center" wrapText="1"/>
    </xf>
    <xf numFmtId="0" fontId="19" fillId="6" borderId="1" xfId="13" applyFont="1" applyFill="1" applyBorder="1" applyAlignment="1">
      <alignment horizontal="left" vertical="center" wrapText="1"/>
    </xf>
    <xf numFmtId="0" fontId="19" fillId="6" borderId="1" xfId="13" applyFont="1" applyFill="1" applyBorder="1" applyAlignment="1">
      <alignment horizontal="left" vertical="center" wrapText="1" readingOrder="1"/>
    </xf>
    <xf numFmtId="0" fontId="20" fillId="6" borderId="1" xfId="7" applyFont="1" applyFill="1" applyBorder="1" applyAlignment="1">
      <alignment vertical="center" wrapText="1"/>
    </xf>
    <xf numFmtId="0" fontId="19" fillId="7" borderId="1" xfId="13" applyFont="1" applyFill="1" applyBorder="1" applyAlignment="1">
      <alignment vertical="center" wrapText="1"/>
    </xf>
    <xf numFmtId="0" fontId="19" fillId="8" borderId="1" xfId="13" applyFont="1" applyFill="1" applyBorder="1" applyAlignment="1">
      <alignment horizontal="left" vertical="center" wrapText="1" readingOrder="1"/>
    </xf>
    <xf numFmtId="0" fontId="20" fillId="8" borderId="1" xfId="7" applyFont="1" applyFill="1" applyBorder="1" applyAlignment="1">
      <alignment vertical="center"/>
    </xf>
    <xf numFmtId="0" fontId="20" fillId="8" borderId="1" xfId="7" applyFont="1" applyFill="1" applyBorder="1" applyAlignment="1">
      <alignment vertical="center" wrapText="1"/>
    </xf>
    <xf numFmtId="0" fontId="19" fillId="3" borderId="1" xfId="13" applyFont="1" applyFill="1" applyBorder="1" applyAlignment="1">
      <alignment vertical="center" wrapText="1"/>
    </xf>
    <xf numFmtId="0" fontId="20" fillId="2" borderId="1" xfId="7" applyFont="1" applyFill="1" applyBorder="1" applyAlignment="1">
      <alignment vertical="center"/>
    </xf>
    <xf numFmtId="0" fontId="19" fillId="2" borderId="1" xfId="13" applyFont="1" applyFill="1" applyBorder="1" applyAlignment="1">
      <alignment horizontal="left" vertical="center" wrapText="1" readingOrder="1"/>
    </xf>
    <xf numFmtId="0" fontId="20" fillId="2" borderId="1" xfId="7" applyFont="1" applyFill="1" applyBorder="1" applyAlignment="1">
      <alignment vertical="center" wrapText="1"/>
    </xf>
    <xf numFmtId="0" fontId="21" fillId="0" borderId="1" xfId="0" applyFont="1" applyBorder="1" applyAlignment="1">
      <alignment vertical="center" wrapText="1"/>
    </xf>
    <xf numFmtId="0" fontId="13" fillId="0" borderId="0" xfId="0" applyFont="1" applyFill="1"/>
    <xf numFmtId="0" fontId="13" fillId="0" borderId="0" xfId="0" applyFont="1" applyBorder="1"/>
    <xf numFmtId="0" fontId="23" fillId="0" borderId="9" xfId="0" applyFont="1" applyBorder="1"/>
    <xf numFmtId="0" fontId="0" fillId="0" borderId="0" xfId="0" applyFill="1"/>
    <xf numFmtId="0" fontId="7" fillId="0" borderId="0" xfId="0" applyFont="1" applyFill="1"/>
    <xf numFmtId="9" fontId="0" fillId="0" borderId="0" xfId="0" applyNumberFormat="1"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10" fontId="13" fillId="0" borderId="0" xfId="1" applyNumberFormat="1" applyFont="1"/>
    <xf numFmtId="0" fontId="0" fillId="0" borderId="0" xfId="0" pivotButton="1"/>
    <xf numFmtId="0" fontId="0" fillId="0" borderId="0" xfId="0" applyAlignment="1">
      <alignment horizontal="left"/>
    </xf>
    <xf numFmtId="0" fontId="7" fillId="18" borderId="13" xfId="0" applyFont="1" applyFill="1" applyBorder="1" applyAlignment="1">
      <alignment horizontal="left"/>
    </xf>
    <xf numFmtId="0" fontId="0" fillId="0" borderId="0" xfId="0" applyNumberFormat="1"/>
    <xf numFmtId="10" fontId="0" fillId="0" borderId="0" xfId="0" applyNumberFormat="1"/>
    <xf numFmtId="10" fontId="7" fillId="18" borderId="13" xfId="1" applyNumberFormat="1" applyFont="1" applyFill="1" applyBorder="1"/>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22" fillId="17"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protection locked="0"/>
    </xf>
    <xf numFmtId="0" fontId="7" fillId="18" borderId="14" xfId="0" applyFont="1" applyFill="1" applyBorder="1"/>
    <xf numFmtId="10" fontId="9" fillId="0" borderId="0" xfId="1" applyNumberFormat="1" applyFont="1"/>
    <xf numFmtId="0" fontId="13" fillId="0" borderId="0" xfId="0" applyFont="1" applyBorder="1" applyAlignment="1">
      <alignment vertical="center"/>
    </xf>
    <xf numFmtId="0" fontId="11" fillId="0" borderId="0" xfId="0" applyFont="1"/>
    <xf numFmtId="0" fontId="26" fillId="0" borderId="0" xfId="0" applyFont="1"/>
    <xf numFmtId="0" fontId="15" fillId="10" borderId="1" xfId="2" applyFont="1" applyFill="1" applyBorder="1" applyAlignment="1">
      <alignment horizontal="center" vertical="center"/>
    </xf>
    <xf numFmtId="0" fontId="15" fillId="9" borderId="1" xfId="2" applyFont="1" applyFill="1" applyBorder="1" applyAlignment="1">
      <alignment horizontal="center" vertical="center" wrapText="1"/>
    </xf>
    <xf numFmtId="0" fontId="15" fillId="12" borderId="1" xfId="2"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167" fontId="0" fillId="0" borderId="0" xfId="0" applyNumberFormat="1"/>
    <xf numFmtId="10" fontId="9" fillId="0" borderId="0" xfId="1" applyNumberFormat="1" applyFont="1" applyFill="1"/>
    <xf numFmtId="0" fontId="13" fillId="0" borderId="0" xfId="0" applyFont="1" applyFill="1" applyBorder="1"/>
    <xf numFmtId="10" fontId="0" fillId="0" borderId="0" xfId="1" applyNumberFormat="1" applyFont="1" applyFill="1"/>
    <xf numFmtId="10" fontId="0" fillId="0" borderId="0" xfId="0" applyNumberFormat="1" applyFill="1"/>
    <xf numFmtId="14" fontId="9" fillId="0" borderId="1" xfId="0" applyNumberFormat="1" applyFont="1" applyFill="1" applyBorder="1" applyAlignment="1" applyProtection="1">
      <alignment horizontal="center" vertical="center" wrapText="1"/>
      <protection locked="0"/>
    </xf>
    <xf numFmtId="14" fontId="28" fillId="0" borderId="0" xfId="0" applyNumberFormat="1" applyFont="1"/>
    <xf numFmtId="0" fontId="0" fillId="0" borderId="0" xfId="0" applyFont="1"/>
    <xf numFmtId="10" fontId="9" fillId="0" borderId="1" xfId="1" applyNumberFormat="1" applyFont="1" applyFill="1" applyBorder="1" applyAlignment="1" applyProtection="1">
      <alignment horizontal="center" vertical="center"/>
    </xf>
    <xf numFmtId="0" fontId="13" fillId="0" borderId="0" xfId="0" applyFont="1" applyAlignment="1">
      <alignment wrapText="1"/>
    </xf>
    <xf numFmtId="0" fontId="9" fillId="0" borderId="1"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protection locked="0"/>
    </xf>
    <xf numFmtId="9" fontId="9" fillId="0" borderId="0" xfId="1" applyFont="1"/>
    <xf numFmtId="10" fontId="13" fillId="0" borderId="0" xfId="1" applyNumberFormat="1" applyFont="1" applyAlignment="1">
      <alignment vertical="center"/>
    </xf>
    <xf numFmtId="10" fontId="23" fillId="0" borderId="0" xfId="1" applyNumberFormat="1" applyFont="1"/>
    <xf numFmtId="0" fontId="13" fillId="0" borderId="0" xfId="0" applyFont="1" applyBorder="1" applyAlignment="1">
      <alignment vertical="center" wrapText="1"/>
    </xf>
    <xf numFmtId="168" fontId="0" fillId="0" borderId="0" xfId="0" applyNumberFormat="1"/>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13" borderId="1" xfId="0" applyFont="1" applyFill="1" applyBorder="1" applyAlignment="1" applyProtection="1">
      <alignment horizontal="center" vertical="center"/>
      <protection locked="0"/>
    </xf>
    <xf numFmtId="10" fontId="25" fillId="0" borderId="0" xfId="0" applyNumberFormat="1" applyFont="1" applyBorder="1"/>
    <xf numFmtId="0" fontId="0" fillId="0" borderId="0" xfId="0" applyAlignment="1">
      <alignment horizontal="center" vertical="center"/>
    </xf>
    <xf numFmtId="0" fontId="0" fillId="20" borderId="0" xfId="0" applyFill="1" applyAlignment="1">
      <alignment horizontal="left"/>
    </xf>
    <xf numFmtId="10" fontId="0" fillId="0" borderId="0" xfId="0" applyNumberFormat="1"/>
    <xf numFmtId="0" fontId="0" fillId="0" borderId="0" xfId="0" applyAlignment="1">
      <alignment horizontal="center" vertical="center" wrapText="1"/>
    </xf>
    <xf numFmtId="0" fontId="0" fillId="0" borderId="0" xfId="0" pivotButton="1" applyAlignment="1">
      <alignment horizontal="center" vertical="center"/>
    </xf>
    <xf numFmtId="0" fontId="4" fillId="0" borderId="0" xfId="0" applyFont="1"/>
    <xf numFmtId="0" fontId="0" fillId="0" borderId="0" xfId="0" applyAlignment="1">
      <alignment vertical="center"/>
    </xf>
    <xf numFmtId="0" fontId="9" fillId="0" borderId="0" xfId="0" applyFont="1" applyAlignment="1">
      <alignment vertical="top"/>
    </xf>
    <xf numFmtId="0" fontId="9" fillId="0" borderId="0" xfId="0" applyFont="1" applyBorder="1"/>
    <xf numFmtId="10" fontId="13" fillId="0" borderId="0" xfId="1" applyNumberFormat="1" applyFont="1" applyBorder="1"/>
    <xf numFmtId="10" fontId="29" fillId="0" borderId="0" xfId="1" applyNumberFormat="1" applyFont="1" applyBorder="1"/>
    <xf numFmtId="10" fontId="32" fillId="0" borderId="0" xfId="1" applyNumberFormat="1" applyFont="1" applyBorder="1"/>
    <xf numFmtId="10" fontId="23" fillId="0" borderId="0" xfId="1" applyNumberFormat="1" applyFont="1" applyBorder="1"/>
    <xf numFmtId="10" fontId="13" fillId="0" borderId="0" xfId="0" applyNumberFormat="1" applyFont="1" applyBorder="1"/>
    <xf numFmtId="10" fontId="31" fillId="0" borderId="0" xfId="1" applyNumberFormat="1" applyFont="1" applyBorder="1"/>
    <xf numFmtId="10" fontId="33" fillId="0" borderId="0" xfId="1" applyNumberFormat="1" applyFont="1" applyBorder="1"/>
    <xf numFmtId="10" fontId="30" fillId="0" borderId="0" xfId="1" applyNumberFormat="1" applyFont="1" applyBorder="1"/>
    <xf numFmtId="10" fontId="24" fillId="19" borderId="12" xfId="1" applyNumberFormat="1" applyFont="1" applyFill="1" applyBorder="1" applyAlignment="1" applyProtection="1">
      <alignment horizontal="center" vertical="center"/>
    </xf>
    <xf numFmtId="0" fontId="9" fillId="0" borderId="0" xfId="0" applyFont="1" applyFill="1"/>
    <xf numFmtId="10" fontId="13" fillId="0" borderId="0" xfId="1" applyNumberFormat="1" applyFont="1" applyFill="1"/>
    <xf numFmtId="10" fontId="5" fillId="0" borderId="0" xfId="0" applyNumberFormat="1" applyFont="1" applyAlignment="1">
      <alignment vertical="center" wrapText="1"/>
    </xf>
    <xf numFmtId="0" fontId="13" fillId="0" borderId="0" xfId="0" applyFont="1" applyAlignment="1">
      <alignment vertical="center" wrapText="1"/>
    </xf>
    <xf numFmtId="10" fontId="13" fillId="0" borderId="0" xfId="0" applyNumberFormat="1" applyFont="1" applyFill="1"/>
    <xf numFmtId="0" fontId="13" fillId="0" borderId="0" xfId="0" applyFont="1" applyAlignment="1">
      <alignment vertical="top"/>
    </xf>
    <xf numFmtId="0" fontId="27" fillId="0" borderId="0" xfId="0" applyFont="1" applyBorder="1" applyAlignment="1">
      <alignment vertical="center" wrapText="1"/>
    </xf>
    <xf numFmtId="0" fontId="13" fillId="0" borderId="9" xfId="0" applyFont="1" applyBorder="1"/>
    <xf numFmtId="0" fontId="15" fillId="11" borderId="11" xfId="2" applyFont="1" applyFill="1" applyBorder="1" applyAlignment="1">
      <alignment horizontal="center" vertical="top" wrapText="1"/>
    </xf>
    <xf numFmtId="0" fontId="15" fillId="11" borderId="11" xfId="2" applyFont="1" applyFill="1" applyBorder="1" applyAlignment="1">
      <alignment vertical="top" wrapText="1"/>
    </xf>
    <xf numFmtId="0" fontId="9" fillId="0" borderId="0" xfId="0" applyFont="1" applyFill="1" applyAlignment="1">
      <alignment vertical="top"/>
    </xf>
    <xf numFmtId="0" fontId="15" fillId="12" borderId="11" xfId="2" applyFont="1" applyFill="1" applyBorder="1" applyAlignment="1">
      <alignment horizontal="center" vertical="top" wrapText="1"/>
    </xf>
    <xf numFmtId="0" fontId="9" fillId="0" borderId="8" xfId="0" applyFont="1" applyBorder="1" applyAlignment="1" applyProtection="1">
      <alignment vertical="center" wrapText="1"/>
      <protection locked="0"/>
    </xf>
    <xf numFmtId="0" fontId="10" fillId="0" borderId="6" xfId="0" applyFont="1" applyBorder="1" applyAlignment="1">
      <alignment vertical="top"/>
    </xf>
    <xf numFmtId="0" fontId="13" fillId="0" borderId="0" xfId="0" applyFont="1" applyFill="1" applyAlignment="1">
      <alignment vertical="center" wrapText="1"/>
    </xf>
    <xf numFmtId="0" fontId="9" fillId="0" borderId="0" xfId="0" applyFont="1" applyAlignment="1">
      <alignment vertical="center" wrapText="1"/>
    </xf>
    <xf numFmtId="0" fontId="13" fillId="0" borderId="10" xfId="0" applyFont="1" applyBorder="1"/>
    <xf numFmtId="0" fontId="0" fillId="22" borderId="0" xfId="0" applyFill="1"/>
    <xf numFmtId="9" fontId="0" fillId="22" borderId="0" xfId="0" applyNumberFormat="1" applyFill="1"/>
    <xf numFmtId="0" fontId="0" fillId="19" borderId="0" xfId="0" applyFill="1"/>
    <xf numFmtId="9" fontId="0" fillId="19" borderId="0" xfId="0" applyNumberFormat="1" applyFill="1"/>
    <xf numFmtId="0" fontId="9" fillId="0" borderId="1" xfId="0" applyFont="1" applyBorder="1" applyAlignment="1" applyProtection="1">
      <alignment horizontal="justify" vertical="center" wrapText="1"/>
      <protection locked="0"/>
    </xf>
    <xf numFmtId="169" fontId="9" fillId="0"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justify" vertical="top" wrapText="1"/>
      <protection locked="0"/>
    </xf>
    <xf numFmtId="169" fontId="9" fillId="0" borderId="2"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0" fillId="0" borderId="0" xfId="0" applyFont="1" applyFill="1"/>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22" fillId="17"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9" fillId="23" borderId="1" xfId="0" applyFont="1" applyFill="1" applyBorder="1" applyAlignment="1" applyProtection="1">
      <alignment horizontal="justify" vertical="center" wrapText="1"/>
      <protection locked="0"/>
    </xf>
    <xf numFmtId="10" fontId="9" fillId="24" borderId="1" xfId="1" applyNumberFormat="1" applyFont="1" applyFill="1" applyBorder="1" applyAlignment="1" applyProtection="1">
      <alignment horizontal="center" vertical="center"/>
    </xf>
    <xf numFmtId="10" fontId="0" fillId="0" borderId="0" xfId="1" applyNumberFormat="1" applyFont="1"/>
    <xf numFmtId="0" fontId="25" fillId="0" borderId="0" xfId="0" applyFont="1" applyBorder="1" applyAlignment="1">
      <alignment vertical="center" wrapText="1"/>
    </xf>
    <xf numFmtId="0" fontId="0" fillId="0" borderId="0" xfId="0" applyAlignment="1">
      <alignment vertical="center" wrapText="1"/>
    </xf>
    <xf numFmtId="10" fontId="9" fillId="17" borderId="1" xfId="1" applyNumberFormat="1" applyFont="1" applyFill="1" applyBorder="1" applyAlignment="1" applyProtection="1">
      <alignment horizontal="center" vertical="center"/>
    </xf>
    <xf numFmtId="10" fontId="0" fillId="0" borderId="0" xfId="0" applyNumberFormat="1" applyAlignment="1">
      <alignment vertical="center" wrapText="1"/>
    </xf>
    <xf numFmtId="0" fontId="9" fillId="23" borderId="1" xfId="0" applyFont="1" applyFill="1" applyBorder="1" applyAlignment="1" applyProtection="1">
      <alignment horizontal="center" vertical="center" wrapText="1"/>
      <protection locked="0"/>
    </xf>
    <xf numFmtId="10" fontId="0" fillId="0" borderId="0" xfId="50" applyNumberFormat="1" applyFont="1"/>
    <xf numFmtId="0" fontId="3" fillId="0" borderId="0" xfId="0" applyFont="1" applyAlignment="1">
      <alignment horizontal="left" vertical="top"/>
    </xf>
    <xf numFmtId="0" fontId="3" fillId="0" borderId="0" xfId="0" applyFont="1"/>
    <xf numFmtId="0" fontId="29" fillId="0" borderId="0" xfId="0" applyFont="1" applyAlignment="1">
      <alignment horizontal="left" vertical="center"/>
    </xf>
    <xf numFmtId="0" fontId="31" fillId="0" borderId="0" xfId="0" applyFont="1" applyAlignment="1">
      <alignment horizontal="left" vertical="center"/>
    </xf>
    <xf numFmtId="0" fontId="3" fillId="0" borderId="0" xfId="0" applyFont="1" applyAlignment="1">
      <alignment horizontal="left" vertical="center"/>
    </xf>
    <xf numFmtId="0" fontId="35" fillId="0" borderId="0" xfId="0" applyFont="1" applyAlignment="1">
      <alignment horizontal="left" vertical="center"/>
    </xf>
    <xf numFmtId="10" fontId="3" fillId="0" borderId="0" xfId="1" applyNumberFormat="1" applyFont="1" applyBorder="1"/>
    <xf numFmtId="0" fontId="3" fillId="0" borderId="15" xfId="0" applyFont="1" applyBorder="1"/>
    <xf numFmtId="10" fontId="29" fillId="0" borderId="16" xfId="1" applyNumberFormat="1" applyFont="1" applyBorder="1"/>
    <xf numFmtId="10" fontId="26" fillId="0" borderId="16" xfId="1" applyNumberFormat="1" applyFont="1" applyBorder="1"/>
    <xf numFmtId="10" fontId="3" fillId="0" borderId="0" xfId="1" applyNumberFormat="1" applyFont="1"/>
    <xf numFmtId="10" fontId="36" fillId="0" borderId="0" xfId="1" applyNumberFormat="1" applyFont="1" applyBorder="1"/>
    <xf numFmtId="10" fontId="3" fillId="0" borderId="0" xfId="0" applyNumberFormat="1" applyFont="1"/>
    <xf numFmtId="0" fontId="0" fillId="0" borderId="7" xfId="0" applyBorder="1"/>
    <xf numFmtId="10" fontId="31" fillId="0" borderId="16" xfId="1" applyNumberFormat="1" applyFont="1" applyBorder="1"/>
    <xf numFmtId="0" fontId="3" fillId="0" borderId="0" xfId="0" applyFont="1" applyAlignment="1">
      <alignment vertical="top"/>
    </xf>
    <xf numFmtId="0" fontId="3" fillId="0" borderId="0" xfId="0" applyFont="1" applyAlignment="1">
      <alignment vertical="top" wrapText="1"/>
    </xf>
    <xf numFmtId="10" fontId="32" fillId="0" borderId="16" xfId="1" applyNumberFormat="1" applyFont="1" applyBorder="1"/>
    <xf numFmtId="10" fontId="30" fillId="0" borderId="16" xfId="1" applyNumberFormat="1" applyFont="1" applyBorder="1"/>
    <xf numFmtId="0" fontId="3" fillId="0" borderId="16" xfId="0" applyFont="1" applyBorder="1"/>
    <xf numFmtId="10" fontId="23" fillId="24" borderId="18" xfId="0" applyNumberFormat="1" applyFont="1" applyFill="1" applyBorder="1"/>
    <xf numFmtId="0" fontId="2" fillId="0" borderId="0" xfId="0" applyFont="1"/>
    <xf numFmtId="0" fontId="2" fillId="23" borderId="0" xfId="0" applyFont="1" applyFill="1" applyAlignment="1">
      <alignment wrapText="1"/>
    </xf>
    <xf numFmtId="10" fontId="25" fillId="0" borderId="0" xfId="0" applyNumberFormat="1" applyFont="1"/>
    <xf numFmtId="169" fontId="9" fillId="19" borderId="1" xfId="0" applyNumberFormat="1" applyFont="1" applyFill="1" applyBorder="1" applyAlignment="1" applyProtection="1">
      <alignment horizontal="center" vertical="center"/>
      <protection locked="0"/>
    </xf>
    <xf numFmtId="0" fontId="15" fillId="25" borderId="1" xfId="2" applyFont="1" applyFill="1" applyBorder="1" applyAlignment="1">
      <alignment horizontal="center" vertical="center" wrapText="1"/>
    </xf>
    <xf numFmtId="0" fontId="9" fillId="24" borderId="1" xfId="0" applyFont="1" applyFill="1" applyBorder="1" applyAlignment="1">
      <alignment horizontal="center" vertical="center" wrapText="1"/>
    </xf>
    <xf numFmtId="169" fontId="10" fillId="26" borderId="1" xfId="0" applyNumberFormat="1" applyFont="1" applyFill="1" applyBorder="1" applyAlignment="1" applyProtection="1">
      <alignment horizontal="center" vertical="center"/>
      <protection locked="0"/>
    </xf>
    <xf numFmtId="0" fontId="9" fillId="17" borderId="1" xfId="0" applyFont="1" applyFill="1" applyBorder="1" applyAlignment="1">
      <alignment horizontal="center" vertical="center" wrapText="1"/>
    </xf>
    <xf numFmtId="16" fontId="13" fillId="0" borderId="0" xfId="0" applyNumberFormat="1" applyFont="1"/>
    <xf numFmtId="9" fontId="1" fillId="0" borderId="0" xfId="0" applyNumberFormat="1" applyFont="1"/>
    <xf numFmtId="0" fontId="39" fillId="27" borderId="1" xfId="0" applyFont="1" applyFill="1" applyBorder="1" applyAlignment="1">
      <alignment horizontal="center" vertical="center" wrapText="1"/>
    </xf>
    <xf numFmtId="0" fontId="0" fillId="0" borderId="0" xfId="0" applyBorder="1"/>
    <xf numFmtId="0" fontId="0" fillId="0" borderId="0" xfId="0" applyAlignment="1">
      <alignment horizontal="center" vertical="center"/>
    </xf>
    <xf numFmtId="170" fontId="9" fillId="0" borderId="1" xfId="1" applyNumberFormat="1" applyFont="1" applyFill="1" applyBorder="1" applyAlignment="1" applyProtection="1">
      <alignment horizontal="center" vertical="center"/>
      <protection locked="0"/>
    </xf>
    <xf numFmtId="169" fontId="9" fillId="0" borderId="1" xfId="0" applyNumberFormat="1" applyFont="1" applyFill="1" applyBorder="1" applyAlignment="1" applyProtection="1">
      <alignment horizontal="center" vertical="center" wrapText="1"/>
      <protection locked="0"/>
    </xf>
    <xf numFmtId="170" fontId="9" fillId="0" borderId="1" xfId="0" applyNumberFormat="1" applyFont="1" applyFill="1" applyBorder="1" applyAlignment="1" applyProtection="1">
      <alignment horizontal="center" vertical="center"/>
      <protection locked="0"/>
    </xf>
    <xf numFmtId="170" fontId="24" fillId="19" borderId="12" xfId="1" applyNumberFormat="1" applyFont="1" applyFill="1" applyBorder="1" applyAlignment="1" applyProtection="1">
      <alignment horizontal="center" vertical="center"/>
    </xf>
    <xf numFmtId="0" fontId="1" fillId="0" borderId="0" xfId="0" applyFont="1" applyAlignment="1">
      <alignment horizontal="left" vertical="top"/>
    </xf>
    <xf numFmtId="0" fontId="1" fillId="0" borderId="0" xfId="0" applyFont="1" applyAlignment="1">
      <alignment vertical="top"/>
    </xf>
    <xf numFmtId="0" fontId="9" fillId="19" borderId="1" xfId="0" applyFont="1" applyFill="1" applyBorder="1" applyAlignment="1" applyProtection="1">
      <alignment horizontal="justify" vertical="center" wrapText="1"/>
      <protection locked="0"/>
    </xf>
    <xf numFmtId="0" fontId="43" fillId="28" borderId="1" xfId="0" applyFont="1" applyFill="1" applyBorder="1" applyAlignment="1">
      <alignment horizontal="center" vertical="center" wrapText="1"/>
    </xf>
    <xf numFmtId="41" fontId="9" fillId="0" borderId="1" xfId="74" applyFont="1" applyFill="1" applyBorder="1" applyAlignment="1">
      <alignment horizontal="center" vertical="center" wrapText="1"/>
    </xf>
    <xf numFmtId="41" fontId="9" fillId="0" borderId="1" xfId="74" applyFont="1" applyBorder="1" applyAlignment="1">
      <alignment horizontal="center" vertical="center" wrapText="1"/>
    </xf>
    <xf numFmtId="10" fontId="9" fillId="0" borderId="1" xfId="1" applyNumberFormat="1" applyFont="1" applyBorder="1" applyAlignment="1">
      <alignment horizontal="center" vertical="center" wrapText="1"/>
    </xf>
    <xf numFmtId="10" fontId="9" fillId="21"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10" fontId="9" fillId="28" borderId="1" xfId="1" applyNumberFormat="1" applyFont="1" applyFill="1" applyBorder="1" applyAlignment="1" applyProtection="1">
      <alignment horizontal="center" vertical="center"/>
    </xf>
    <xf numFmtId="170" fontId="9" fillId="28" borderId="1" xfId="1" applyNumberFormat="1" applyFont="1" applyFill="1" applyBorder="1" applyAlignment="1" applyProtection="1">
      <alignment horizontal="center" vertical="center"/>
    </xf>
    <xf numFmtId="170" fontId="9" fillId="24" borderId="1" xfId="1" applyNumberFormat="1" applyFont="1" applyFill="1" applyBorder="1" applyAlignment="1" applyProtection="1">
      <alignment horizontal="center" vertical="center"/>
    </xf>
    <xf numFmtId="0" fontId="1" fillId="0" borderId="15" xfId="0" applyFont="1" applyBorder="1"/>
    <xf numFmtId="0" fontId="9" fillId="29" borderId="1" xfId="0" applyFont="1" applyFill="1" applyBorder="1" applyAlignment="1" applyProtection="1">
      <alignment horizontal="justify" vertical="center" wrapText="1"/>
      <protection locked="0"/>
    </xf>
    <xf numFmtId="0" fontId="9" fillId="29" borderId="1" xfId="0" applyFont="1" applyFill="1" applyBorder="1" applyAlignment="1" applyProtection="1">
      <alignment horizontal="justify" vertical="top" wrapText="1"/>
      <protection locked="0"/>
    </xf>
    <xf numFmtId="1" fontId="9" fillId="0" borderId="1" xfId="0" applyNumberFormat="1" applyFont="1" applyFill="1" applyBorder="1" applyAlignment="1" applyProtection="1">
      <alignment horizontal="justify" vertical="top" wrapText="1"/>
      <protection locked="0"/>
    </xf>
    <xf numFmtId="170" fontId="36" fillId="0" borderId="16" xfId="1" applyNumberFormat="1" applyFont="1" applyBorder="1"/>
    <xf numFmtId="170" fontId="23" fillId="0" borderId="2" xfId="1" applyNumberFormat="1" applyFont="1" applyBorder="1"/>
    <xf numFmtId="0" fontId="1" fillId="24" borderId="17" xfId="0" applyFont="1" applyFill="1" applyBorder="1"/>
    <xf numFmtId="0" fontId="45" fillId="23" borderId="0" xfId="0" applyFont="1" applyFill="1" applyAlignment="1">
      <alignment wrapText="1"/>
    </xf>
    <xf numFmtId="170" fontId="33" fillId="0" borderId="16" xfId="1" applyNumberFormat="1" applyFont="1" applyBorder="1"/>
    <xf numFmtId="171" fontId="0" fillId="0" borderId="0" xfId="0" applyNumberFormat="1"/>
    <xf numFmtId="10" fontId="25" fillId="19" borderId="0" xfId="0" applyNumberFormat="1" applyFont="1" applyFill="1"/>
    <xf numFmtId="169" fontId="9" fillId="22" borderId="1" xfId="0" applyNumberFormat="1" applyFont="1" applyFill="1" applyBorder="1" applyAlignment="1" applyProtection="1">
      <alignment horizontal="center" vertical="center"/>
      <protection locked="0"/>
    </xf>
    <xf numFmtId="170" fontId="9" fillId="0" borderId="1" xfId="1" applyNumberFormat="1" applyFont="1" applyFill="1" applyBorder="1" applyAlignment="1" applyProtection="1">
      <alignment horizontal="center" vertical="center"/>
    </xf>
    <xf numFmtId="0" fontId="9" fillId="22" borderId="1" xfId="0" applyFont="1" applyFill="1" applyBorder="1" applyAlignment="1" applyProtection="1">
      <alignment horizontal="justify" vertical="center" wrapText="1"/>
      <protection locked="0"/>
    </xf>
    <xf numFmtId="0" fontId="46" fillId="30" borderId="1" xfId="0" applyFont="1" applyFill="1" applyBorder="1" applyAlignment="1">
      <alignment horizontal="center" vertical="center" wrapText="1"/>
    </xf>
    <xf numFmtId="0" fontId="0" fillId="0" borderId="1" xfId="0" applyBorder="1"/>
    <xf numFmtId="0" fontId="9" fillId="0" borderId="0" xfId="0" applyFont="1" applyFill="1" applyBorder="1" applyAlignment="1" applyProtection="1">
      <alignment horizontal="justify" vertical="top" wrapText="1"/>
      <protection locked="0"/>
    </xf>
    <xf numFmtId="0" fontId="15" fillId="31" borderId="1" xfId="2" applyFont="1" applyFill="1" applyBorder="1" applyAlignment="1">
      <alignment horizontal="center" vertical="center" wrapText="1"/>
    </xf>
    <xf numFmtId="0" fontId="15" fillId="31" borderId="1" xfId="2" applyFont="1" applyFill="1" applyBorder="1" applyAlignment="1">
      <alignment vertical="center" wrapText="1"/>
    </xf>
    <xf numFmtId="0" fontId="10" fillId="32" borderId="19"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23" xfId="0" applyNumberFormat="1" applyFont="1" applyBorder="1" applyAlignment="1">
      <alignment horizontal="center" vertical="center" wrapText="1"/>
    </xf>
    <xf numFmtId="0" fontId="9" fillId="0" borderId="24" xfId="0" applyFont="1" applyBorder="1" applyAlignment="1">
      <alignment horizontal="left" vertical="center" wrapText="1"/>
    </xf>
    <xf numFmtId="0" fontId="9" fillId="0" borderId="24" xfId="0" applyNumberFormat="1" applyFont="1" applyBorder="1" applyAlignment="1">
      <alignment horizontal="center" vertical="center" wrapText="1"/>
    </xf>
    <xf numFmtId="0" fontId="9" fillId="0" borderId="25" xfId="0" applyFont="1" applyBorder="1" applyAlignment="1">
      <alignment horizontal="left" vertical="center" wrapText="1"/>
    </xf>
    <xf numFmtId="0" fontId="9" fillId="0" borderId="25" xfId="0" applyNumberFormat="1" applyFont="1" applyBorder="1" applyAlignment="1">
      <alignment horizontal="center" vertical="center" wrapText="1"/>
    </xf>
    <xf numFmtId="0" fontId="10" fillId="32" borderId="19" xfId="0" applyFont="1" applyFill="1" applyBorder="1" applyAlignment="1">
      <alignment horizontal="left" vertical="center" wrapText="1"/>
    </xf>
    <xf numFmtId="0" fontId="10" fillId="32" borderId="19" xfId="0" applyNumberFormat="1" applyFont="1" applyFill="1" applyBorder="1" applyAlignment="1">
      <alignment horizontal="center" vertical="center" wrapText="1"/>
    </xf>
    <xf numFmtId="0" fontId="47" fillId="0" borderId="0" xfId="0" applyFont="1"/>
    <xf numFmtId="170" fontId="25" fillId="0" borderId="0" xfId="0" applyNumberFormat="1" applyFont="1"/>
    <xf numFmtId="170" fontId="25" fillId="19" borderId="0" xfId="0" applyNumberFormat="1" applyFont="1" applyFill="1"/>
    <xf numFmtId="170" fontId="0" fillId="0" borderId="0" xfId="0" applyNumberFormat="1"/>
    <xf numFmtId="0" fontId="0" fillId="0" borderId="26" xfId="0" applyBorder="1"/>
    <xf numFmtId="0" fontId="0" fillId="0" borderId="27" xfId="0" applyBorder="1"/>
    <xf numFmtId="0" fontId="0" fillId="0" borderId="28" xfId="0" applyBorder="1"/>
    <xf numFmtId="0" fontId="0" fillId="0" borderId="29" xfId="0" applyBorder="1"/>
    <xf numFmtId="10" fontId="0" fillId="0" borderId="0" xfId="0" applyNumberFormat="1" applyBorder="1"/>
    <xf numFmtId="10" fontId="0" fillId="0" borderId="30" xfId="1" applyNumberFormat="1" applyFont="1" applyBorder="1"/>
    <xf numFmtId="0" fontId="0" fillId="0" borderId="29" xfId="0" applyBorder="1" applyAlignment="1">
      <alignment vertical="center"/>
    </xf>
    <xf numFmtId="0" fontId="0" fillId="0" borderId="30" xfId="0" applyBorder="1"/>
    <xf numFmtId="0" fontId="0" fillId="0" borderId="31" xfId="0" applyBorder="1"/>
    <xf numFmtId="0" fontId="0" fillId="0" borderId="32" xfId="0" applyBorder="1"/>
    <xf numFmtId="10" fontId="25" fillId="0" borderId="32" xfId="0" applyNumberFormat="1" applyFont="1" applyBorder="1"/>
    <xf numFmtId="0" fontId="0" fillId="0" borderId="33" xfId="0" applyBorder="1"/>
    <xf numFmtId="10" fontId="0" fillId="0" borderId="0" xfId="1" applyNumberFormat="1" applyFont="1" applyBorder="1"/>
    <xf numFmtId="10" fontId="0" fillId="0" borderId="0" xfId="50" applyNumberFormat="1" applyFont="1" applyBorder="1"/>
    <xf numFmtId="9" fontId="13" fillId="0" borderId="0" xfId="1" applyNumberFormat="1" applyFont="1"/>
    <xf numFmtId="0" fontId="9" fillId="0" borderId="1" xfId="0" applyFont="1" applyFill="1" applyBorder="1" applyAlignment="1">
      <alignment vertical="top" wrapText="1"/>
    </xf>
    <xf numFmtId="14" fontId="0" fillId="0" borderId="0" xfId="0" applyNumberFormat="1" applyAlignment="1">
      <alignment horizontal="left" indent="1"/>
    </xf>
    <xf numFmtId="15" fontId="9" fillId="0" borderId="1" xfId="0" applyNumberFormat="1" applyFont="1" applyFill="1" applyBorder="1" applyAlignment="1" applyProtection="1">
      <alignment horizontal="justify" vertical="top" wrapText="1"/>
      <protection locked="0"/>
    </xf>
    <xf numFmtId="0" fontId="9" fillId="29" borderId="1" xfId="0" applyFont="1" applyFill="1" applyBorder="1" applyAlignment="1" applyProtection="1">
      <alignment horizontal="center" vertical="center" wrapText="1"/>
      <protection locked="0"/>
    </xf>
    <xf numFmtId="0" fontId="9" fillId="33" borderId="1" xfId="0" applyFont="1" applyFill="1" applyBorder="1" applyAlignment="1" applyProtection="1">
      <alignment horizontal="justify" vertical="center" wrapText="1"/>
      <protection locked="0"/>
    </xf>
    <xf numFmtId="10" fontId="9" fillId="33" borderId="1" xfId="1" applyNumberFormat="1" applyFont="1" applyFill="1" applyBorder="1" applyAlignment="1" applyProtection="1">
      <alignment horizontal="center" vertical="center"/>
    </xf>
    <xf numFmtId="0" fontId="9" fillId="33" borderId="1" xfId="0" applyFont="1" applyFill="1" applyBorder="1" applyAlignment="1">
      <alignment horizontal="center" vertical="center" wrapText="1"/>
    </xf>
    <xf numFmtId="10" fontId="0" fillId="19" borderId="0" xfId="0" applyNumberFormat="1" applyFill="1"/>
    <xf numFmtId="0" fontId="10" fillId="32" borderId="20" xfId="0" applyFont="1" applyFill="1" applyBorder="1" applyAlignment="1">
      <alignment horizontal="center" vertical="center" wrapText="1"/>
    </xf>
    <xf numFmtId="0" fontId="10" fillId="32" borderId="21" xfId="0" applyFont="1" applyFill="1" applyBorder="1" applyAlignment="1">
      <alignment horizontal="center" vertical="center" wrapText="1"/>
    </xf>
    <xf numFmtId="0" fontId="10" fillId="32" borderId="22" xfId="0" applyFont="1" applyFill="1" applyBorder="1" applyAlignment="1">
      <alignment horizontal="center" vertical="center" wrapText="1"/>
    </xf>
    <xf numFmtId="0" fontId="15" fillId="11" borderId="11" xfId="2" applyFont="1" applyFill="1" applyBorder="1" applyAlignment="1">
      <alignment horizontal="center" vertical="top"/>
    </xf>
    <xf numFmtId="0" fontId="15" fillId="10" borderId="11" xfId="2" applyFont="1" applyFill="1" applyBorder="1" applyAlignment="1">
      <alignment horizontal="center" vertical="top"/>
    </xf>
    <xf numFmtId="0" fontId="15" fillId="9" borderId="11" xfId="2" applyFont="1" applyFill="1" applyBorder="1" applyAlignment="1">
      <alignment horizontal="center" vertical="top"/>
    </xf>
    <xf numFmtId="1" fontId="9" fillId="0" borderId="3" xfId="0" applyNumberFormat="1" applyFont="1" applyBorder="1" applyAlignment="1" applyProtection="1">
      <alignment horizontal="center" vertical="center" wrapText="1"/>
      <protection locked="0"/>
    </xf>
    <xf numFmtId="1" fontId="9" fillId="0" borderId="8"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1" fontId="9" fillId="0" borderId="9" xfId="0" applyNumberFormat="1"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4" fillId="0" borderId="1" xfId="0" applyFont="1" applyBorder="1" applyAlignment="1">
      <alignment horizontal="center"/>
    </xf>
    <xf numFmtId="0" fontId="24" fillId="0" borderId="1" xfId="0" applyFont="1" applyBorder="1" applyAlignment="1">
      <alignment horizontal="center" vertical="center" wrapText="1"/>
    </xf>
    <xf numFmtId="0" fontId="10" fillId="0" borderId="5" xfId="0" applyFont="1" applyBorder="1" applyAlignment="1">
      <alignment horizontal="left" vertical="top"/>
    </xf>
    <xf numFmtId="0" fontId="10" fillId="0" borderId="10" xfId="0" applyFont="1" applyBorder="1" applyAlignment="1">
      <alignment horizontal="left" vertical="top"/>
    </xf>
    <xf numFmtId="0" fontId="10" fillId="0" borderId="5" xfId="0" applyFont="1" applyBorder="1" applyAlignment="1">
      <alignment vertical="center" wrapText="1"/>
    </xf>
    <xf numFmtId="0" fontId="10" fillId="0" borderId="10" xfId="0" applyFont="1" applyBorder="1" applyAlignment="1">
      <alignment vertical="center" wrapText="1"/>
    </xf>
    <xf numFmtId="0" fontId="9" fillId="0" borderId="4"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14" fontId="16" fillId="0" borderId="1" xfId="0" applyNumberFormat="1" applyFont="1" applyBorder="1" applyAlignment="1">
      <alignment horizontal="center" vertical="center" wrapText="1"/>
    </xf>
    <xf numFmtId="0" fontId="10" fillId="0" borderId="6" xfId="0" applyFont="1" applyBorder="1" applyAlignment="1">
      <alignment vertical="center" wrapText="1"/>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10" fillId="0" borderId="6" xfId="0" applyFont="1" applyBorder="1" applyAlignment="1">
      <alignment horizontal="left" vertical="top"/>
    </xf>
    <xf numFmtId="0" fontId="9" fillId="0" borderId="3"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indent="3"/>
      <protection locked="0"/>
    </xf>
    <xf numFmtId="0" fontId="9" fillId="0" borderId="9" xfId="0" applyFont="1" applyBorder="1" applyAlignment="1" applyProtection="1">
      <alignment horizontal="left" vertical="center" indent="3"/>
      <protection locked="0"/>
    </xf>
    <xf numFmtId="0" fontId="17" fillId="13" borderId="3" xfId="0" applyFont="1" applyFill="1" applyBorder="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0" fillId="0" borderId="5" xfId="0" applyFont="1" applyBorder="1" applyAlignment="1">
      <alignment horizontal="center" vertical="top"/>
    </xf>
    <xf numFmtId="0" fontId="10" fillId="0" borderId="6" xfId="0" applyFont="1" applyBorder="1" applyAlignment="1">
      <alignment horizontal="center" vertical="top"/>
    </xf>
    <xf numFmtId="0" fontId="32" fillId="0" borderId="0" xfId="0" applyFont="1" applyAlignment="1">
      <alignment vertical="center" wrapText="1"/>
    </xf>
    <xf numFmtId="0" fontId="0" fillId="0" borderId="0" xfId="0" applyAlignment="1">
      <alignment vertical="center" wrapText="1"/>
    </xf>
    <xf numFmtId="0" fontId="36" fillId="0" borderId="0" xfId="0" applyFont="1" applyAlignment="1">
      <alignment vertical="center" wrapText="1"/>
    </xf>
    <xf numFmtId="0" fontId="30" fillId="0" borderId="0" xfId="0" applyFont="1" applyAlignment="1">
      <alignment horizontal="left" vertical="top" wrapText="1"/>
    </xf>
    <xf numFmtId="0" fontId="9" fillId="0" borderId="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7" xfId="0" applyFont="1" applyBorder="1" applyAlignment="1">
      <alignment horizontal="left" vertical="top"/>
    </xf>
    <xf numFmtId="169" fontId="9" fillId="0" borderId="4" xfId="0" applyNumberFormat="1" applyFont="1" applyBorder="1" applyAlignment="1" applyProtection="1">
      <alignment horizontal="center" vertical="center"/>
      <protection locked="0"/>
    </xf>
    <xf numFmtId="169" fontId="9" fillId="0" borderId="8"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14" fontId="10" fillId="0" borderId="5" xfId="0" applyNumberFormat="1" applyFont="1" applyBorder="1" applyAlignment="1" applyProtection="1">
      <alignment horizontal="center" vertical="center" wrapText="1"/>
      <protection locked="0"/>
    </xf>
    <xf numFmtId="14" fontId="10" fillId="0" borderId="6" xfId="0" applyNumberFormat="1"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cellXfs>
  <cellStyles count="84">
    <cellStyle name="Euro" xfId="5"/>
    <cellStyle name="Euro 2" xfId="32"/>
    <cellStyle name="Euro 2 2" xfId="63"/>
    <cellStyle name="Euro 3" xfId="46"/>
    <cellStyle name="Millares [0]" xfId="74" builtinId="6"/>
    <cellStyle name="Millares [0] 2" xfId="73"/>
    <cellStyle name="Millares [0] 2 2" xfId="82"/>
    <cellStyle name="Millares [0] 3" xfId="83"/>
    <cellStyle name="Millares 17" xfId="28"/>
    <cellStyle name="Millares 17 2" xfId="61"/>
    <cellStyle name="Millares 17 2 2" xfId="76"/>
    <cellStyle name="Millares 2" xfId="10"/>
    <cellStyle name="Millares 2 2" xfId="33"/>
    <cellStyle name="Millares 2 2 2" xfId="64"/>
    <cellStyle name="Millares 2 2 2 2" xfId="77"/>
    <cellStyle name="Millares 2 3" xfId="34"/>
    <cellStyle name="Millares 2 3 2" xfId="65"/>
    <cellStyle name="Millares 2 4" xfId="51"/>
    <cellStyle name="Millares 3" xfId="11"/>
    <cellStyle name="Millares 3 2" xfId="35"/>
    <cellStyle name="Millares 3 2 2" xfId="66"/>
    <cellStyle name="Millares 3 2 2 2" xfId="78"/>
    <cellStyle name="Millares 3 3" xfId="52"/>
    <cellStyle name="Millares 4" xfId="12"/>
    <cellStyle name="Millares 4 2" xfId="36"/>
    <cellStyle name="Millares 4 2 2" xfId="67"/>
    <cellStyle name="Millares 4 2 2 2" xfId="79"/>
    <cellStyle name="Millares 4 3" xfId="53"/>
    <cellStyle name="Millares 4 3 2" xfId="75"/>
    <cellStyle name="Millares 5" xfId="37"/>
    <cellStyle name="Millares 5 2" xfId="68"/>
    <cellStyle name="Millares 5 2 2" xfId="80"/>
    <cellStyle name="Millares 6" xfId="38"/>
    <cellStyle name="Millares 6 2" xfId="69"/>
    <cellStyle name="Millares 6 2 2" xfId="81"/>
    <cellStyle name="Normal" xfId="0" builtinId="0"/>
    <cellStyle name="Normal 10" xfId="4"/>
    <cellStyle name="Normal 2" xfId="2"/>
    <cellStyle name="Normal 2 2" xfId="7"/>
    <cellStyle name="Normal 2 2 2" xfId="48"/>
    <cellStyle name="Normal 2 3" xfId="6"/>
    <cellStyle name="Normal 2 3 2" xfId="47"/>
    <cellStyle name="Normal 3" xfId="13"/>
    <cellStyle name="Normal 3 2" xfId="25"/>
    <cellStyle name="Normal 3 2 2" xfId="60"/>
    <cellStyle name="Normal 4" xfId="14"/>
    <cellStyle name="Normal 4 2" xfId="19"/>
    <cellStyle name="Normal 4 2 2" xfId="20"/>
    <cellStyle name="Normal 4 2 2 2" xfId="57"/>
    <cellStyle name="Normal 4 3" xfId="26"/>
    <cellStyle name="Normal 4 4" xfId="54"/>
    <cellStyle name="Normal 5" xfId="18"/>
    <cellStyle name="Normal 5 2" xfId="21"/>
    <cellStyle name="Normal 5 2 2" xfId="39"/>
    <cellStyle name="Normal 5 3" xfId="29"/>
    <cellStyle name="Normal 5 3 2" xfId="40"/>
    <cellStyle name="Normal 5 4" xfId="41"/>
    <cellStyle name="Normal 5 5" xfId="56"/>
    <cellStyle name="Normal 6" xfId="22"/>
    <cellStyle name="Normal 6 2" xfId="30"/>
    <cellStyle name="Normal 6 2 2" xfId="62"/>
    <cellStyle name="Normal 7" xfId="27"/>
    <cellStyle name="Normal 7 2" xfId="31"/>
    <cellStyle name="Normal 8" xfId="42"/>
    <cellStyle name="Normal 8 2" xfId="70"/>
    <cellStyle name="Normal 9" xfId="43"/>
    <cellStyle name="Porcentaje" xfId="1" builtinId="5"/>
    <cellStyle name="Porcentaje 2" xfId="3"/>
    <cellStyle name="Porcentaje 2 2" xfId="9"/>
    <cellStyle name="Porcentaje 2 2 2" xfId="50"/>
    <cellStyle name="Porcentaje 3" xfId="17"/>
    <cellStyle name="Porcentaje 3 2" xfId="44"/>
    <cellStyle name="Porcentaje 3 2 2" xfId="71"/>
    <cellStyle name="Porcentaje 4" xfId="8"/>
    <cellStyle name="Porcentaje 4 2" xfId="49"/>
    <cellStyle name="Porcentual 2" xfId="15"/>
    <cellStyle name="Porcentual 2 2" xfId="23"/>
    <cellStyle name="Porcentual 2 2 2" xfId="58"/>
    <cellStyle name="Porcentual 2 3" xfId="55"/>
    <cellStyle name="Porcentual 3" xfId="16"/>
    <cellStyle name="Porcentual 3 2" xfId="24"/>
    <cellStyle name="Porcentual 3 2 2" xfId="59"/>
    <cellStyle name="Porcentual 4" xfId="45"/>
    <cellStyle name="Porcentual 4 2" xfId="72"/>
  </cellStyles>
  <dxfs count="1639">
    <dxf>
      <alignment horizontal="center" readingOrder="0"/>
    </dxf>
    <dxf>
      <alignment vertical="center" readingOrder="0"/>
    </dxf>
    <dxf>
      <numFmt numFmtId="14" formatCode="0.00%"/>
    </dxf>
    <dxf>
      <numFmt numFmtId="14" formatCode="0.00%"/>
    </dxf>
    <dxf>
      <numFmt numFmtId="171" formatCode="0.00000"/>
    </dxf>
    <dxf>
      <numFmt numFmtId="168" formatCode="0.0000"/>
    </dxf>
    <dxf>
      <numFmt numFmtId="167" formatCode="0.000"/>
    </dxf>
    <dxf>
      <numFmt numFmtId="2" formatCode="0.00"/>
    </dxf>
    <dxf>
      <numFmt numFmtId="173" formatCode="0.0"/>
    </dxf>
    <dxf>
      <numFmt numFmtId="2" formatCode="0.00"/>
    </dxf>
    <dxf>
      <numFmt numFmtId="172" formatCode="0.000000"/>
    </dxf>
    <dxf>
      <numFmt numFmtId="171" formatCode="0.00000"/>
    </dxf>
    <dxf>
      <numFmt numFmtId="168" formatCode="0.0000"/>
    </dxf>
    <dxf>
      <numFmt numFmtId="167" formatCode="0.000"/>
    </dxf>
    <dxf>
      <numFmt numFmtId="2" formatCode="0.00"/>
    </dxf>
    <dxf>
      <numFmt numFmtId="167" formatCode="0.000"/>
    </dxf>
    <dxf>
      <numFmt numFmtId="168" formatCode="0.0000"/>
    </dxf>
    <dxf>
      <alignment wrapText="1" readingOrder="0"/>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numFmt numFmtId="14" formatCode="0.00%"/>
    </dxf>
    <dxf>
      <numFmt numFmtId="14" formatCode="0.00%"/>
    </dxf>
    <dxf>
      <numFmt numFmtId="171" formatCode="0.00000"/>
    </dxf>
    <dxf>
      <numFmt numFmtId="168" formatCode="0.0000"/>
    </dxf>
    <dxf>
      <numFmt numFmtId="167" formatCode="0.000"/>
    </dxf>
    <dxf>
      <numFmt numFmtId="2" formatCode="0.00"/>
    </dxf>
    <dxf>
      <numFmt numFmtId="173" formatCode="0.0"/>
    </dxf>
    <dxf>
      <numFmt numFmtId="2" formatCode="0.00"/>
    </dxf>
    <dxf>
      <numFmt numFmtId="172" formatCode="0.000000"/>
    </dxf>
    <dxf>
      <numFmt numFmtId="171" formatCode="0.00000"/>
    </dxf>
    <dxf>
      <numFmt numFmtId="168" formatCode="0.0000"/>
    </dxf>
    <dxf>
      <numFmt numFmtId="167" formatCode="0.000"/>
    </dxf>
    <dxf>
      <numFmt numFmtId="2" formatCode="0.00"/>
    </dxf>
    <dxf>
      <numFmt numFmtId="167" formatCode="0.000"/>
    </dxf>
    <dxf>
      <numFmt numFmtId="168" formatCode="0.0000"/>
    </dxf>
    <dxf>
      <alignment wrapText="1" readingOrder="0"/>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numFmt numFmtId="14" formatCode="0.00%"/>
    </dxf>
    <dxf>
      <numFmt numFmtId="14" formatCode="0.00%"/>
    </dxf>
    <dxf>
      <numFmt numFmtId="171" formatCode="0.00000"/>
    </dxf>
    <dxf>
      <numFmt numFmtId="168" formatCode="0.0000"/>
    </dxf>
    <dxf>
      <numFmt numFmtId="167" formatCode="0.000"/>
    </dxf>
    <dxf>
      <numFmt numFmtId="2" formatCode="0.00"/>
    </dxf>
    <dxf>
      <numFmt numFmtId="173" formatCode="0.0"/>
    </dxf>
    <dxf>
      <numFmt numFmtId="2" formatCode="0.00"/>
    </dxf>
    <dxf>
      <numFmt numFmtId="172" formatCode="0.000000"/>
    </dxf>
    <dxf>
      <numFmt numFmtId="171" formatCode="0.00000"/>
    </dxf>
    <dxf>
      <numFmt numFmtId="168" formatCode="0.0000"/>
    </dxf>
    <dxf>
      <numFmt numFmtId="167" formatCode="0.000"/>
    </dxf>
    <dxf>
      <numFmt numFmtId="2" formatCode="0.00"/>
    </dxf>
    <dxf>
      <numFmt numFmtId="167" formatCode="0.000"/>
    </dxf>
    <dxf>
      <numFmt numFmtId="168" formatCode="0.0000"/>
    </dxf>
    <dxf>
      <alignment wrapText="1" readingOrder="0"/>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vertical="center" readingOrder="0"/>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patternType="solid">
          <fgColor rgb="FFCCFFCC"/>
          <bgColor rgb="FF000000"/>
        </patternFill>
      </fill>
    </dxf>
    <dxf>
      <alignment vertical="center" readingOrder="0"/>
    </dxf>
    <dxf>
      <alignment horizont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1" formatCode="0.00000"/>
    </dxf>
    <dxf>
      <numFmt numFmtId="172" formatCode="0.000000"/>
    </dxf>
    <dxf>
      <numFmt numFmtId="2" formatCode="0.00"/>
    </dxf>
    <dxf>
      <numFmt numFmtId="173" formatCode="0.0"/>
    </dxf>
    <dxf>
      <numFmt numFmtId="2" formatCode="0.00"/>
    </dxf>
    <dxf>
      <numFmt numFmtId="167" formatCode="0.000"/>
    </dxf>
    <dxf>
      <numFmt numFmtId="168" formatCode="0.0000"/>
    </dxf>
    <dxf>
      <numFmt numFmtId="171" formatCode="0.00000"/>
    </dxf>
    <dxf>
      <numFmt numFmtId="14" formatCode="0.00%"/>
    </dxf>
    <dxf>
      <numFmt numFmtId="14" formatCode="0.00%"/>
    </dxf>
    <dxf>
      <alignment vertical="center" readingOrder="0"/>
    </dxf>
    <dxf>
      <alignment horizontal="center" readingOrder="0"/>
    </dxf>
  </dxfs>
  <tableStyles count="0" defaultTableStyle="TableStyleMedium2" defaultPivotStyle="PivotStyleLight16"/>
  <colors>
    <mruColors>
      <color rgb="FF33CCFF"/>
      <color rgb="FFFFCCFF"/>
      <color rgb="FFCC99FF"/>
      <color rgb="FF66FFFF"/>
      <color rgb="FF00FFFF"/>
      <color rgb="FFFF66FF"/>
      <color rgb="FFFF99FF"/>
      <color rgb="FFFF9999"/>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0</xdr:row>
      <xdr:rowOff>38100</xdr:rowOff>
    </xdr:from>
    <xdr:to>
      <xdr:col>1</xdr:col>
      <xdr:colOff>3055142</xdr:colOff>
      <xdr:row>2</xdr:row>
      <xdr:rowOff>272029</xdr:rowOff>
    </xdr:to>
    <xdr:pic>
      <xdr:nvPicPr>
        <xdr:cNvPr id="4" name="Imagen 3">
          <a:extLst>
            <a:ext uri="{FF2B5EF4-FFF2-40B4-BE49-F238E27FC236}">
              <a16:creationId xmlns:a16="http://schemas.microsoft.com/office/drawing/2014/main" id="{EC9ED8CC-70F3-4B3E-8704-E4925505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38100"/>
          <a:ext cx="2505075" cy="80542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onne Andrea Torres Cruz" refreshedDate="44379.660759606479" createdVersion="6" refreshedVersion="6" minRefreshableVersion="3" recordCount="209">
  <cacheSource type="worksheet">
    <worksheetSource ref="A18:AJ227" sheet="PAA 2021 Versión 3"/>
  </cacheSource>
  <cacheFields count="38">
    <cacheField name="Roles _x000a_Decreto 948 de 2017" numFmtId="0">
      <sharedItems count="8">
        <s v="Informes de Ley"/>
        <s v="Evaluación de la Gestión del Riesgo"/>
        <s v="Enfoque hacia la Prevención"/>
        <s v="Liderazgo Estratégico"/>
        <s v="Relación con entes de control externos"/>
        <s v="Adicionales"/>
        <s v="Seguimiento a Planes de Mejoramiento"/>
        <s v="Auditoría"/>
      </sharedItems>
    </cacheField>
    <cacheField name="Actividad" numFmtId="0">
      <sharedItems longText="1"/>
    </cacheField>
    <cacheField name="Proceso" numFmtId="0">
      <sharedItems containsBlank="1" count="15">
        <s v="Gestión Financiera"/>
        <s v="Evaluación de la Gestión"/>
        <s v="Todos los Procesos"/>
        <s v="Prevención del Daño Antijurídico y Representación Judicial"/>
        <s v="Gestión Administrativa"/>
        <s v="Servicio al Ciudadano "/>
        <s v="Mejoramiento de Barrios"/>
        <s v="Adquisición de Bienes y Servicios"/>
        <s v="Gestión Estratégica"/>
        <s v="Gestión Tecnología de la Información y Comunicaciones"/>
        <s v="Urbanizaciones y Titulación"/>
        <s v="Mejoramiento de Vivienda"/>
        <s v="Gestión del Talento Humano"/>
        <s v="Reasentamientos Humanos"/>
        <m u="1"/>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69">
      <sharedItems containsNonDate="0" containsDate="1" containsString="0" containsBlank="1" minDate="2020-12-09T00:00:00" maxDate="2021-12-30T00:00:00"/>
    </cacheField>
    <cacheField name="Fecha Fin" numFmtId="169">
      <sharedItems containsNonDate="0" containsDate="1" containsString="0" containsBlank="1" minDate="2021-01-05T00:00:00" maxDate="2022-01-13T00:00:00" count="105">
        <d v="2021-01-08T00:00:00"/>
        <d v="2021-01-21T00:00:00"/>
        <d v="2021-01-05T00:00:00"/>
        <d v="2021-01-14T00:00:00"/>
        <d v="2021-01-22T00:00:00"/>
        <d v="2021-01-06T00:00:00"/>
        <d v="2021-01-07T00:00:00"/>
        <d v="2021-01-12T00:00:00"/>
        <d v="2021-01-13T00:00:00"/>
        <d v="2021-01-18T00:00:00"/>
        <d v="2021-12-10T00:00:00"/>
        <d v="2021-01-27T00:00:00"/>
        <d v="2021-02-26T00:00:00"/>
        <d v="2021-03-26T00:00:00"/>
        <d v="2021-01-28T00:00:00"/>
        <d v="2021-02-08T00:00:00"/>
        <d v="2021-03-12T00:00:00"/>
        <d v="2021-02-15T00:00:00"/>
        <d v="2021-01-26T00:00:00"/>
        <d v="2021-02-02T00:00:00"/>
        <d v="2021-02-04T00:00:00"/>
        <d v="2021-02-09T00:00:00"/>
        <d v="2021-02-22T00:00:00"/>
        <d v="2021-02-24T00:00:00"/>
        <d v="2021-03-05T00:00:00"/>
        <d v="2021-03-02T00:00:00"/>
        <d v="2021-03-25T00:00:00"/>
        <d v="2021-03-04T00:00:00"/>
        <d v="2021-03-09T00:00:00"/>
        <d v="2021-03-17T00:00:00"/>
        <d v="2021-04-09T00:00:00"/>
        <d v="2021-04-15T00:00:00"/>
        <d v="2021-04-28T00:00:00"/>
        <d v="2021-03-19T00:00:00"/>
        <d v="2021-04-05T00:00:00"/>
        <d v="2021-04-08T00:00:00"/>
        <d v="2021-04-12T00:00:00"/>
        <d v="2021-09-15T00:00:00"/>
        <d v="2021-04-16T00:00:00"/>
        <d v="2021-03-30T00:00:00"/>
        <d v="2021-05-03T00:00:00"/>
        <d v="2021-04-06T00:00:00"/>
        <d v="2021-07-29T00:00:00"/>
        <d v="2021-04-13T00:00:00"/>
        <d v="2021-04-23T00:00:00"/>
        <d v="2021-04-30T00:00:00"/>
        <d v="2021-04-20T00:00:00"/>
        <d v="2021-05-13T00:00:00"/>
        <d v="2021-05-14T00:00:00"/>
        <d v="2021-05-04T00:00:00"/>
        <d v="2021-05-06T00:00:00"/>
        <d v="2021-05-11T00:00:00"/>
        <d v="2021-07-13T00:00:00"/>
        <d v="2021-05-15T00:00:00"/>
        <d v="2021-09-30T00:00:00"/>
        <d v="2021-06-02T00:00:00"/>
        <d v="2021-06-04T00:00:00"/>
        <d v="2021-06-10T00:00:00"/>
        <d v="2021-07-15T00:00:00"/>
        <d v="2021-06-25T00:00:00"/>
        <d v="2021-07-16T00:00:00"/>
        <d v="2021-07-30T00:00:00"/>
        <d v="2021-07-09T00:00:00"/>
        <d v="2021-07-28T00:00:00"/>
        <d v="2021-07-02T00:00:00"/>
        <d v="2021-07-07T00:00:00"/>
        <d v="2021-07-08T00:00:00"/>
        <d v="2021-07-12T00:00:00"/>
        <d v="2021-07-23T00:00:00"/>
        <d v="2021-07-26T00:00:00"/>
        <d v="2021-08-13T00:00:00"/>
        <d v="2021-08-20T00:00:00"/>
        <d v="2021-08-03T00:00:00"/>
        <d v="2021-08-11T00:00:00"/>
        <d v="2021-10-26T00:00:00"/>
        <d v="2021-08-05T00:00:00"/>
        <d v="2021-08-10T00:00:00"/>
        <d v="2021-09-29T00:00:00"/>
        <d v="2021-09-14T00:00:00"/>
        <d v="2021-09-02T00:00:00"/>
        <d v="2021-09-06T00:00:00"/>
        <d v="2021-09-09T00:00:00"/>
        <d v="2021-09-21T00:00:00"/>
        <d v="2021-10-15T00:00:00"/>
        <d v="2021-10-04T00:00:00"/>
        <d v="2021-10-06T00:00:00"/>
        <d v="2021-10-07T00:00:00"/>
        <d v="2021-10-11T00:00:00"/>
        <d v="2021-10-28T00:00:00"/>
        <d v="2021-11-16T00:00:00"/>
        <d v="2021-11-26T00:00:00"/>
        <d v="2021-11-09T00:00:00"/>
        <d v="2021-11-12T00:00:00"/>
        <d v="2021-11-08T00:00:00"/>
        <d v="2021-11-03T00:00:00"/>
        <d v="2021-12-31T00:00:00"/>
        <d v="2021-11-05T00:00:00"/>
        <d v="2021-11-10T00:00:00"/>
        <d v="2021-12-02T00:00:00"/>
        <d v="2021-12-22T00:00:00"/>
        <d v="2021-12-06T00:00:00"/>
        <d v="2021-12-15T00:00:00"/>
        <d v="2021-12-27T00:00:00"/>
        <d v="2022-01-12T00:00:00"/>
        <m/>
      </sharedItems>
      <fieldGroup par="37" base="8">
        <rangePr groupBy="months" startDate="2021-01-05T00:00:00" endDate="2022-01-13T00:00:00"/>
        <groupItems count="14">
          <s v="(en blanco)"/>
          <s v="ene"/>
          <s v="feb"/>
          <s v="mar"/>
          <s v="abr"/>
          <s v="may"/>
          <s v="jun"/>
          <s v="jul"/>
          <s v="ago"/>
          <s v="sep"/>
          <s v="oct"/>
          <s v="nov"/>
          <s v="dic"/>
          <s v="&gt;13/01/2022"/>
        </groupItems>
      </fieldGroup>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70">
      <sharedItems containsSemiMixedTypes="0" containsString="0" containsNumber="1" minValue="0" maxValue="0.03"/>
    </cacheField>
    <cacheField name="Fecha  de Cierre de la Actividad " numFmtId="169">
      <sharedItems containsNonDate="0" containsDate="1" containsString="0" containsBlank="1" minDate="2021-01-05T00:00:00" maxDate="2021-06-24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0">
      <sharedItems containsSemiMixedTypes="0" containsString="0" containsNumber="1" minValue="0" maxValue="2.9999999999999995E-2"/>
    </cacheField>
    <cacheField name="diferencia" numFmtId="10">
      <sharedItems containsSemiMixedTypes="0" containsString="0" containsNumber="1" minValue="0" maxValue="0.02"/>
    </cacheField>
    <cacheField name="TERMINA MES" numFmtId="41">
      <sharedItems containsString="0" containsBlank="1" containsNumber="1" containsInteger="1" minValue="1" maxValue="12"/>
    </cacheField>
    <cacheField name="días" numFmtId="41">
      <sharedItems containsString="0" containsBlank="1" containsNumber="1" containsInteger="1" minValue="3" maxValue="340"/>
    </cacheField>
    <cacheField name="30-jun-2021" numFmtId="41">
      <sharedItems containsString="0" containsBlank="1" containsNumber="1" containsInteger="1" minValue="-182" maxValue="177"/>
    </cacheField>
    <cacheField name="%" numFmtId="10">
      <sharedItems containsString="0" containsBlank="1" containsNumber="1" minValue="-50.666666666666664" maxValue="12.5"/>
    </cacheField>
    <cacheField name="lo que debería llevar" numFmtId="10">
      <sharedItems containsString="0" containsBlank="1" containsNumber="1" minValue="-0.16111111111111112" maxValue="7.454545454545454E-2"/>
    </cacheField>
    <cacheField name="Eficacia" numFmtId="10">
      <sharedItems containsString="0" containsBlank="1" containsNumber="1" minValue="-6.6845454545454541E-2" maxValue="0.16111111111111112"/>
    </cacheField>
    <cacheField name="ESTADO" numFmtId="0">
      <sharedItems containsBlank="1" count="7">
        <s v="CUMPLIDA"/>
        <s v="EN EJECUCIÓN"/>
        <s v="VENCIDA"/>
        <s v="ATRASADA"/>
        <s v="SIN SEG"/>
        <s v="SE ELIMINA"/>
        <m u="1"/>
      </sharedItems>
    </cacheField>
    <cacheField name="Trimestres" numFmtId="0" databaseField="0">
      <fieldGroup base="8">
        <rangePr groupBy="quarters" startDate="2021-01-05T00:00:00" endDate="2022-01-13T00:00:00"/>
        <groupItems count="6">
          <s v="&lt;5/01/2021"/>
          <s v="Trim.1"/>
          <s v="Trim.2"/>
          <s v="Trim.3"/>
          <s v="Trim.4"/>
          <s v="&gt;13/01/2022"/>
        </groupItems>
      </fieldGroup>
    </cacheField>
    <cacheField name="Años" numFmtId="0" databaseField="0">
      <fieldGroup base="8">
        <rangePr groupBy="years" startDate="2021-01-05T00:00:00" endDate="2022-01-13T00:00:00"/>
        <groupItems count="4">
          <s v="&lt;5/01/2021"/>
          <s v="2021"/>
          <s v="2022"/>
          <s v="&gt;13/01/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
  <r>
    <x v="0"/>
    <s v="Informe de seguimiento a la Sostenibilidad Contable - Resolución DDC-00003 del 05 de diciembre de 2018 - corte al 30Sep2020"/>
    <x v="0"/>
    <s v="Apoyo"/>
    <s v="Ivonne Andrea Torres Cruz_x000a_Asesora de Control Interno"/>
    <s v="Marcela Urrea Jaramillo"/>
    <s v="Subdirector Financiero"/>
    <d v="2020-12-09T00:00:00"/>
    <x v="0"/>
    <m/>
    <m/>
    <m/>
    <m/>
    <m/>
    <m/>
    <m/>
    <m/>
    <m/>
    <m/>
    <m/>
    <m/>
    <s v="Informe"/>
    <n v="2E-3"/>
    <d v="2021-01-08T00:00:00"/>
    <s v="Memorando 202111200000873 con el cual se hizo entrega del informe._x000a_Informe publicado el 12Ene21 en la página web."/>
    <s v="El informe fue realizado en diciembre y primera semana de enero de 2021 y fue entregado al Director General y a la Subdirección Financiera, este informe contiene 1 observación (hallazgo menor que no requiere formulación de plan de mejoramiento) y 2 recomendaciones para la mejora"/>
    <s v="Informe - Publicación (web,intranet y/o carpeta de calidad)"/>
    <n v="1.9999999999999996E-3"/>
    <n v="0"/>
    <m/>
    <m/>
    <m/>
    <m/>
    <m/>
    <m/>
    <x v="0"/>
  </r>
  <r>
    <x v="1"/>
    <s v="Revisión y formulación 2021 del Plan Anticorrucpión y de Atención al Ciudadano y Mapa de Riesgos por proceso y de corrupción - proceso de Evaluación de la Gestión"/>
    <x v="1"/>
    <s v="Seguimiento y Evaluación"/>
    <s v="Ivonne Andrea Torres Cruz_x000a_Asesora de Control Interno"/>
    <s v="Kelly Serrano Rincón"/>
    <s v="Asesor de Control Interno"/>
    <d v="2020-12-09T00:00:00"/>
    <x v="1"/>
    <m/>
    <m/>
    <m/>
    <m/>
    <m/>
    <m/>
    <m/>
    <m/>
    <m/>
    <m/>
    <m/>
    <m/>
    <s v="Matriz"/>
    <n v="0.01"/>
    <d v="2021-01-21T00:00:00"/>
    <s v="Correo Electrónico del 21Ene2021 de entrega del PAAC y mapa de riesgos formulado"/>
    <s v="Se revisó la caracterización y se modificó, se revisaron los riesgos desde el contexto y también fueron actualizados, se propusieron nuevas actividades de tratamiento de riesgos y en el PAAC"/>
    <s v="Informe - Publicación (web,intranet y/o carpeta de calidad)"/>
    <n v="9.9999999999999985E-3"/>
    <n v="0"/>
    <m/>
    <m/>
    <m/>
    <m/>
    <m/>
    <m/>
    <x v="0"/>
  </r>
  <r>
    <x v="2"/>
    <s v="Seguimiento al Plan de Acción de Gestión - Plan Anual de Auditorías - FUSS - Parágrafo 1, Artículo 38 - Decreto 807 de 2019"/>
    <x v="1"/>
    <s v="Seguimiento y Evaluación"/>
    <s v="Ivonne Andrea Torres Cruz_x000a_Asesora de Control Interno"/>
    <s v="Andrés Farias Pinzón"/>
    <s v="Asesor de Control Interno"/>
    <d v="2020-12-22T00:00:00"/>
    <x v="2"/>
    <m/>
    <m/>
    <m/>
    <m/>
    <m/>
    <m/>
    <m/>
    <m/>
    <m/>
    <m/>
    <m/>
    <m/>
    <s v="Matriz"/>
    <n v="3.0000000000000001E-3"/>
    <d v="2021-01-05T00:00:00"/>
    <s v="1. Ruta seguimiento PAA 2020 con corte a 31Dic2020: \\10.216.160.201\control interno\2020\PAA_x000a_2. Matriz 208-CI-Ft-04 PAA 2020 V2.0 Seg2020 (Corte 31Dic2020) diligenciada"/>
    <s v="Se realizó el último seguimiento del PAA del 2020 dando cumplimiento al 99,54% a sus actividades pactadas por cada uno de sus integrantes. También se solicitó su publicación en la página web"/>
    <s v="Entrega, publicación o socialización de resultados"/>
    <n v="3.0000000000000001E-3"/>
    <n v="0"/>
    <m/>
    <m/>
    <m/>
    <m/>
    <m/>
    <m/>
    <x v="0"/>
  </r>
  <r>
    <x v="1"/>
    <s v="Evaluación Matriz de riesgos de corrupción y por proceso 2020. Decreto 124 de 2016"/>
    <x v="2"/>
    <s v="Todos los Procesos"/>
    <s v="Ivonne Andrea Torres Cruz_x000a_Asesora de Control Interno"/>
    <s v="Kelly Serrano Rincón"/>
    <s v="Líderes de Cada Proceso"/>
    <d v="2020-12-28T00:00:00"/>
    <x v="3"/>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1"/>
    <s v="Evaluación Plan Anticorrupción y de Atención al Ciudadano 2020. Decreto 124 de 2016"/>
    <x v="2"/>
    <s v="Todos los Procesos"/>
    <s v="Ivonne Andrea Torres Cruz_x000a_Asesora de Control Interno"/>
    <s v="Andrés Farias Pinzón"/>
    <s v="Líderes de Cada Proceso"/>
    <d v="2020-12-28T00:00:00"/>
    <x v="3"/>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0-12-29T00:00:00"/>
    <x v="4"/>
    <m/>
    <m/>
    <m/>
    <m/>
    <m/>
    <m/>
    <m/>
    <m/>
    <m/>
    <m/>
    <m/>
    <m/>
    <s v="Matriz"/>
    <n v="1.4999999999999999E-2"/>
    <d v="2021-01-31T00:00:00"/>
    <s v="\\10.216.160.201\control interno\2021\19.04 INF.  DE GESTIÓN\EVALUACION SCI\II sem 2020_x000a_Informe publicado en página web el 01Feb2021_x000a_Se entregó el informe con el memorando 202111200005453 el 31Ene2021"/>
    <s v="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
    <s v="Entrega producto final"/>
    <n v="1.4999999999999999E-2"/>
    <n v="0"/>
    <m/>
    <m/>
    <m/>
    <m/>
    <m/>
    <m/>
    <x v="0"/>
  </r>
  <r>
    <x v="3"/>
    <s v="Elaborar informe de cumplimiento del plan de trabajo del Comité Institucional de Coordinación de Control Interno - CICCI 2020 para entregar a los miembros del comité"/>
    <x v="1"/>
    <s v="Seguimiento y Evaluación"/>
    <s v="Ivonne Andrea Torres Cruz_x000a_Asesora de Control Interno"/>
    <s v="Joan Gaitán Ferrer"/>
    <s v="Asesor de Control Interno"/>
    <d v="2021-01-04T00:00:00"/>
    <x v="5"/>
    <m/>
    <m/>
    <m/>
    <m/>
    <m/>
    <m/>
    <m/>
    <m/>
    <m/>
    <m/>
    <m/>
    <m/>
    <s v="Informe"/>
    <n v="5.0000000000000001E-3"/>
    <d v="2021-01-06T00:00:00"/>
    <s v="Informe entregado con el memorando 202111200000603 del 06Ene2021. Se encuentra en la ruta: \\10.216.160.201\control interno\2020\02.01 ACTAS COMITE C. I\08. Informe cumplimiento PT CICCI"/>
    <s v="Con base en el plan de trabajo del comité, se elaboró y comunicó el informe de los resultados obtenidos en el seguimiento al Plan de Trabajo del Comité Institucional de Coordinación de Control Interno para la vigencia 2020. El informe está publicado en la página web_x000a_"/>
    <s v="Entrega producto final"/>
    <n v="5.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1-04T00:00:00"/>
    <x v="6"/>
    <m/>
    <m/>
    <m/>
    <m/>
    <m/>
    <m/>
    <m/>
    <m/>
    <m/>
    <m/>
    <m/>
    <m/>
    <s v="Correo electrónico"/>
    <n v="1E-3"/>
    <d v="2021-01-07T00:00:00"/>
    <s v="Se remitió la información en dos correos el 07Ene2021 a los destinatarios solicitados por la SHD"/>
    <s v="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
    <s v="Entrega a ente de control y copia en Control Interno"/>
    <n v="1E-3"/>
    <n v="0"/>
    <m/>
    <m/>
    <m/>
    <m/>
    <m/>
    <m/>
    <x v="0"/>
  </r>
  <r>
    <x v="0"/>
    <s v="Revisión del informe de gestión judicial, según los términos del Artículo 30 de la Resolución 104 de 2018"/>
    <x v="3"/>
    <s v="Estratégico"/>
    <s v="Ivonne Andrea Torres Cruz_x000a_Asesora de Control Interno"/>
    <s v="Andrea Sierra Ochoa"/>
    <s v="Director Jurídico "/>
    <d v="2021-01-04T00:00:00"/>
    <x v="0"/>
    <m/>
    <m/>
    <m/>
    <m/>
    <m/>
    <m/>
    <m/>
    <m/>
    <m/>
    <m/>
    <m/>
    <m/>
    <s v="Informe"/>
    <n v="2.5000000000000001E-3"/>
    <d v="2021-01-07T00:00:00"/>
    <s v="Informe de gestión judicial entregado en la Secretaría Jurídica Distrital con radicado 202116000001371 del 07ene2021"/>
    <s v="la Dirección Jurídica remitió el informe para revisión y Vo.Bo., se revisó, se pidieron ajustes y aclaraciones que fueron tenidas en cuenta y se remitió el informe"/>
    <s v="Informe - Publicación (web,intranet y/o carpeta de calidad)"/>
    <n v="2.4999999999999996E-3"/>
    <n v="0"/>
    <m/>
    <m/>
    <m/>
    <m/>
    <m/>
    <m/>
    <x v="0"/>
  </r>
  <r>
    <x v="2"/>
    <s v="Trámite de cuentas de ACI"/>
    <x v="1"/>
    <s v="Seguimiento y Evaluación"/>
    <s v="Ivonne Andrea Torres Cruz_x000a_Asesora de Control Interno"/>
    <s v="Andrés Farias Pinzón"/>
    <s v="Asesor de Control Interno"/>
    <d v="2021-01-04T00:00:00"/>
    <x v="0"/>
    <m/>
    <m/>
    <m/>
    <m/>
    <m/>
    <m/>
    <m/>
    <m/>
    <m/>
    <m/>
    <m/>
    <m/>
    <s v="Reporte"/>
    <n v="3.0000000000000001E-3"/>
    <d v="2021-01-08T00:00:00"/>
    <s v="Cuentas radicadas en el drive de la Subdirección Financiera y en proceso de pago, siendo que al 26 de enero de 2021, ya les habían girado a 6 de los siete contratistas. El 08Feb le giraron a Carlos Andrés por inconvenientes con la planilla de pago en la que iba su giro"/>
    <s v="Se realizó el trámite de cuentas de cobro de contratistas de ACI, del 21 al 30 de diciembre de 2020, donde dicha actividad quedó cumplida en su totalidad de la siguiente manera:_x000a_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1-04T00:00:00"/>
    <x v="7"/>
    <m/>
    <m/>
    <m/>
    <m/>
    <m/>
    <m/>
    <m/>
    <m/>
    <m/>
    <m/>
    <m/>
    <m/>
    <s v="Matriz"/>
    <n v="3.0000000000000001E-3"/>
    <d v="2021-01-08T00:00:00"/>
    <s v="El normograma actualizado fue remitido el 08Ene2021 por correo electrónico a la OAP"/>
    <s v="Se revisó y ajustó el nomograma según las nuevas normas o modificatorias y se entregó cono oportunidad a la OAP"/>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1-04T00:00:00"/>
    <x v="8"/>
    <m/>
    <m/>
    <m/>
    <m/>
    <m/>
    <m/>
    <m/>
    <m/>
    <m/>
    <m/>
    <m/>
    <m/>
    <s v="Certificado"/>
    <n v="1E-3"/>
    <d v="2021-01-19T00:00:00"/>
    <s v="Ruta de evidencias del cargue de información de la cuenta mensual del mes de diciembre: \\10.216.160.201\control interno\2021\19.01 INF.  A  ENTID. DE CONTROL Y VIG\SIVICOF\CUENTA MENSUAL\01. DICIEMBRE 2021"/>
    <s v="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1-04T00:00:00"/>
    <x v="8"/>
    <m/>
    <m/>
    <m/>
    <m/>
    <m/>
    <m/>
    <m/>
    <m/>
    <m/>
    <m/>
    <m/>
    <m/>
    <s v="Informe"/>
    <n v="1E-3"/>
    <d v="2021-01-15T00:00:00"/>
    <s v="Oficio 202111200003991 - Informe Presupuestal diciembre 2020 enviado por correo electrónico a la Personería el 15Ene"/>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Andrés Farias Pinzón"/>
    <s v="Líderes de Cada Proceso"/>
    <d v="2021-01-04T00:00:00"/>
    <x v="9"/>
    <m/>
    <m/>
    <m/>
    <m/>
    <m/>
    <m/>
    <m/>
    <m/>
    <m/>
    <m/>
    <m/>
    <m/>
    <s v="Reporte"/>
    <n v="5.0000000000000001E-3"/>
    <d v="2021-01-18T00:00:00"/>
    <s v="El cuadro se encuentra en al siguiente ruta: \\10.216.160.201\control interno\2021\19.04 INF.  DE GESTIÓN\EVALUACIÓN POR DEPENDENCIAS 2020\05. Mapa de Riesgos"/>
    <s v="Se solicitó la información a la OAP, quien la entregó de manera oportuna y se elaboró el cuadro con las fechas de la oportunidad. Esta información se presentó en la evaluación del PAAC y se empleará también para la evaluación anual por dependencias"/>
    <s v="Informe - Publicación (web,intranet y/o carpeta de calidad)"/>
    <n v="4.9999999999999992E-3"/>
    <n v="0"/>
    <m/>
    <m/>
    <m/>
    <m/>
    <m/>
    <m/>
    <x v="0"/>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ndrea Sierra Ochoa"/>
    <s v="Asesor de Control Interno"/>
    <d v="2021-01-04T00:00:00"/>
    <x v="10"/>
    <m/>
    <m/>
    <m/>
    <m/>
    <m/>
    <m/>
    <m/>
    <m/>
    <m/>
    <m/>
    <m/>
    <m/>
    <s v="Memorandos y/o Oficios"/>
    <n v="2E-3"/>
    <m/>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_x000a_21. Proyeccion de la rta al memorando remitido a la ACI por parte de REAS  radicado N° 202112000025493 del 21 de abril de 2021 (en el correo de la jefe desde el 17JUN2021)_x000a_22.Proyeccion de la rta al oficio remitido por la Personería de Bogotá el seguimiento realizado desde la Asesoría de Control Interno al requerimiento de radicado Sinproc 2748073-2020. ( en el correo de la jefe desde el 17JUN2021)"/>
    <s v="Recolección y Análisis de Información"/>
    <n v="1.1000000000000001E-3"/>
    <n v="8.9999999999999998E-4"/>
    <n v="12"/>
    <n v="340"/>
    <n v="177"/>
    <n v="0.52058823529411768"/>
    <n v="1.0411764705882355E-3"/>
    <n v="5.8823529411764592E-5"/>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Carlos Vargas Hernández"/>
    <s v="Asesor de Control Interno"/>
    <d v="2021-01-04T00:00:00"/>
    <x v="10"/>
    <m/>
    <m/>
    <m/>
    <m/>
    <m/>
    <m/>
    <m/>
    <m/>
    <m/>
    <m/>
    <m/>
    <m/>
    <s v="Memorandos y/o Oficios"/>
    <n v="2E-3"/>
    <m/>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
    <s v="Recolección y Análisis de Información"/>
    <n v="1.1000000000000001E-3"/>
    <n v="8.9999999999999998E-4"/>
    <n v="12"/>
    <n v="340"/>
    <n v="177"/>
    <n v="0.52058823529411768"/>
    <n v="1.0411764705882355E-3"/>
    <n v="5.8823529411764592E-5"/>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Joan Gaitán Ferrer"/>
    <s v="Asesor de Control Interno"/>
    <d v="2021-01-04T00:00:00"/>
    <x v="10"/>
    <m/>
    <m/>
    <m/>
    <m/>
    <m/>
    <m/>
    <m/>
    <m/>
    <m/>
    <m/>
    <m/>
    <m/>
    <s v="Memorandos y/o Oficios"/>
    <n v="2E-3"/>
    <m/>
    <s v="10. DP: Sol info por correo electrónico sobre el cto 459-2014 San Martín de Loba, La Contraloría hace otra solicitud con oficio  202117000029772 del 12Mar. Se solicita prórroga 202111200029991 y se da Rta con oficio 202115000032861 del 17Mar."/>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
    <s v="Recolección y Análisis de Información"/>
    <n v="1.1000000000000001E-3"/>
    <n v="8.9999999999999998E-4"/>
    <n v="12"/>
    <n v="340"/>
    <n v="177"/>
    <n v="0.52058823529411768"/>
    <n v="1.0411764705882355E-3"/>
    <n v="5.8823529411764592E-5"/>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Kelly Serrano Rincón"/>
    <s v="Asesor de Control Interno"/>
    <d v="2021-01-04T00:00:00"/>
    <x v="10"/>
    <m/>
    <m/>
    <m/>
    <m/>
    <m/>
    <m/>
    <m/>
    <m/>
    <m/>
    <m/>
    <m/>
    <m/>
    <s v="Memorandos y/o Oficios"/>
    <n v="2E-3"/>
    <m/>
    <s v="1. DP: La veeduría solicitó diligenciar encuesta sobre los temas a capacitar a los jefes OCI en 2021. Elizabeth e IATC diligenciaron el formulario de google con la información que dieron todos los auditores._x000a_2. \\10.216.160.201\control interno\2021\19.04 INF.  DE GESTIÓN\EVALUACION SCI\I sem 2021"/>
    <s v="1. DP: La veeduría solicitó diligenciar encuesta sobre los temas a capacitar a los jefes OCI en 2021. Elizabeth e IATC diligenciaron el formulario de google con la información que dieron todos los auditores._x000a_2. Se solicitó concepto al DAFP sobre inquietudes que se tienen de la Evaluación Independiente del Sistema de Control Interno mediante Rad CVP No. 202111200045791 del 14abr2021 y Rad. DAFP No. 20212060190982 del 14abr2021._x000a_3. Se solicitó concepto al DAFP sobre la administración de los riesgos de los proyectos de inversión Rad CVP No. 202111200077481 del 10Jun2021 y Rad DAFP No. 20212060471112 del 11Jun2021, se está de la respuesta."/>
    <s v="Recolección y Análisis de Información"/>
    <n v="1.1000000000000001E-3"/>
    <n v="8.9999999999999998E-4"/>
    <n v="12"/>
    <n v="340"/>
    <n v="177"/>
    <n v="0.52058823529411768"/>
    <n v="1.0411764705882355E-3"/>
    <n v="5.8823529411764592E-5"/>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Marcela Urrea Jaramillo"/>
    <s v="Asesor de Control Interno"/>
    <d v="2021-01-04T00:00:00"/>
    <x v="10"/>
    <m/>
    <m/>
    <m/>
    <m/>
    <m/>
    <m/>
    <m/>
    <m/>
    <m/>
    <m/>
    <m/>
    <m/>
    <s v="Memorandos y/o Oficios"/>
    <n v="2E-3"/>
    <m/>
    <s v="1. DP de exfuncionaria, que se le contestó el 31Dic2020, ella dio respuesta el 21ene2021 entregando documentos que están para trámite de entrega en la Subdirección Administrativa. Ruta: \\10.216.160.201\control interno\2020\00. APOYO\10. DP\73. Graciela_x000a_-  Calendario de google del 19 de abril de 2021._x000a_- Calendario de google del 29 de abril de 2021._x000a_- Calendario de google del 30 de abril de 2021._x000a_- Correos electrónicos del 20 y 23 de abril de 2021._x000a_- Soportes del sorteo Mz 55, ubicados en la ruta interna: _x000a_\\10.216.160.201\control interno\2021\00. APOYO\10. Sorteo No 7 Arborizadora Baja Mz 55\22Abr2021_x000a_-Correos electrónicos del 28 de abril y 30 de abril de 2021. _x000a_- Documentos del traslado al operador disciplinario,  ubicados en la ruta interna: _x000a__x000a_\\10.216.160.201\control interno\2021\00. APOYO\08. DP\28. Traslado a CID PQRSD II Sem 2020_x000a_"/>
    <s v="1. DP de exfuncionaria, que se le contestó el 31Dic2020, ella dio respuesta el 21ene2021 entregando documentos que están para trámite de entrega en la Subdirección Administrativa. Ruta: \\10.216.160.201\control interno\2020\00. APOYO\10. DP\73. Graciela_x000a_19Abr202: Participación en la reunión convocada por la DGC y CID en relación con la coordinación de la elaboración del informe de la Directiva 003 de 2013 del periodo 16 de octubre de 2020 al 30 de abril de 2021._x000a_29Abr2021: Participación en reunión con el proceso de Mejoramiento de Vivienda para solventar dudas sobre solicitud de líneas celulares memorando 202114000027293_x000a_30Abr2020: Participación en reunión con los profesionales Kelly Serrano y Joan Gaitán para consolidar comentarios y/o observaciones a la propuesta de ajuste de la Dirección de Mejoramiento de Barrios del PAAC y a la propuesta de Política de Administración del Riesgo._x000a_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_x000a_- Se recibió correo electrónico de asignación de revisión del documento el 20 de abril de 2021._x000a_- Se realizó la revisión del documento y se remitió a la Asesora de Control Interno con las observaciones y/o comentarios el 23Abr2021._x000a_22Abril2020: Se realizó la participación como veedora de las familias seleccionadas para el Sorteo de 12 unidades habitacionales del proyecto Manzana 55 del 22 de abril de 2021 realizando las siguientes actividades:_x000a_ - Revisión de los expedientes físicos de las 12 familias a las cuales se les asignó nomenclatura en sorteo virtual de ese mismo día; se verificó el VUR,copia de cédula de ciudadanía, se verificaron las condiciones de adulto mayor y casos de discapacidad._x000a__x000a_- Verificación de las balotas y participación en el sorteo virtual realizado a través de Facebook Live, sacando las balotas de la urna. _x000a_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_x000a_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_x000a_18May2021: Se remitió correo electrónico a la Asesora de Control Interno con las propuestas, modificaciones y/o observaciones a la propuesta de la Política de Administración del Riesgo remitida por la Oficina Asesor de Planeación. (18 de mayo de 2021)._x000a_05May2021: Se remitió el acta No1 del 12 de abril de 2021 – Subdirección Financiera a la Asesora de Control Interno y la profesional Kelly Serrano para el respectivo seguimiento a los riesgos de la ACI._x000a_06May2021: 3._x0009_Se remitió el acta No1 del 12 de marzo de 2021 – DUT a la Asesora de Control Interno y la profesional Kelly Serrano para el respectivo seguimiento a los riesgos de la ACI._x000a_18May2021: Acta No. 7 del proyecto Arborizadora Baja Manzana 55 suscrita por parte de Control Interno._x000a_31May2021: Acta No. 1 de Comité Técnico de Sostenibilidad Contable celebrado el 29 de abril de 2021 con validación de los ajustes y suscripción. "/>
    <s v="Recolección y Análisis de Información"/>
    <n v="1.1000000000000001E-3"/>
    <n v="8.9999999999999998E-4"/>
    <n v="12"/>
    <n v="340"/>
    <n v="177"/>
    <n v="0.52058823529411768"/>
    <n v="1.0411764705882355E-3"/>
    <n v="5.8823529411764592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Andrea Sierra Ochoa"/>
    <s v="Líderes de Cada Proceso"/>
    <d v="2021-01-04T00:00:00"/>
    <x v="10"/>
    <m/>
    <m/>
    <m/>
    <m/>
    <m/>
    <m/>
    <m/>
    <m/>
    <m/>
    <m/>
    <m/>
    <m/>
    <s v="Acta"/>
    <n v="2.5000000000000001E-3"/>
    <m/>
    <s v="Ruta: \\10.216.160.201\control interno\2021\19.04 INF.  DE GESTIÓN\COM CONCILIACIÓN"/>
    <s v="25Ene: Comité de conciliación ficha 260_x000a_29Ene: Comité con lineamientos sobre la estabilidad laboral reforzada de mujeres embarazadas_x000a_23Feb: Comité para presentar la mesa de trabajo del 20May con la Secretaría Jurídica Distrital_x000a_26Feb: Comité para presentar d enuevo los criterios de selección de los abogados_x000a_18Mar, participar en el Comité de Conciliación con el propósito de presentar la solicitud de conciliación extrajudicial allegada por la señora Graciela Zabala _x000a_23Mar Asistencia en el Comité de Conciliación de la CVP, el propósito de poner a consideración  la procedencia de iniciar o no la acción de repetición por el pago del ejecutivo mixto en el caso Parque Metropolitano. _x000a_12Abr: Sesión virtual por correo electrónico Comité de Conciliación - Audiencia de Pacto de Cumplimiento en la Acción Popular 2020-00191-00_x000a_14Abr: Presencia en la Sesión ordinaria presencial Comité de Conciliación- Principio de oportunidad proceso penal 2017-33215_x000a_20May: Presencia en la Sesión ordinaria presencial Comité de Conciliación_x000a_Presentación ficha de conciliación No. 264_x000a_Deliberación sobre la procedencia de la conciliación extrajudicial  ficha de conciliación No. 263 _x000a_Presentación informe de la demanda de la Acción de Repetición caso Parque Metropolitano._x000a_27May: presencia en la sesion ordnaria virtual del comite de Conciliacion  informe de representación judicial de la CVP realizado por la Secretaría Jurídica Distrital en el marco de la mesa de trabajo conjunta llevada a cabo el pasado 20 de mayo._x000a_08JUN presencial virtual en la sesión ordinaria del Comité de Conciliación con el propósito de presentar la ficha 265 -2021. Tema: Conciliación judicial dentro del proceso de reparación directa No. 2019-00908_x000a_29JUN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
    <s v="Trabajo de campo"/>
    <n v="1.4000000000000002E-3"/>
    <n v="1.0999999999999998E-3"/>
    <n v="12"/>
    <n v="340"/>
    <n v="177"/>
    <n v="0.52058823529411768"/>
    <n v="1.3014705882352943E-3"/>
    <n v="9.852941176470586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Carlos Vargas Hernández"/>
    <s v="Líderes de Cada Proceso"/>
    <d v="2021-01-04T00:00:00"/>
    <x v="10"/>
    <m/>
    <m/>
    <m/>
    <m/>
    <m/>
    <m/>
    <m/>
    <m/>
    <m/>
    <m/>
    <m/>
    <m/>
    <s v="Acta"/>
    <n v="2.5000000000000001E-3"/>
    <m/>
    <m/>
    <s v="28Ene: Comité de seguimiento financiero donde expusieron estados de Tesorería de dic2020; rendimientos financieros bancos; Informe de gestión del comité año 2020; Avance embargo UGPP y cronograma de reuniones CSF 2021._x000a_18Feb: Comité de seguimiento financiero donde expusieron el caso del embargo de la UGPP, estado de tesorería y el informe de excedentes financieros_x000a_23Abri:Comité de Seguimiento Financiero – Meet el día 23 de abril de 2021_x000a_29Abr: comité técnico de sostenibilidad contable – Meet el día 29 de abril de 2021._x000a_27May: Comité Financiero-Meet el dia 27 de Mayo de 2021._x000a_28Jun:Comité Financiero-Meet el dia 28 de Jun de 2021."/>
    <s v="Trabajo de campo"/>
    <n v="1.4000000000000002E-3"/>
    <n v="1.0999999999999998E-3"/>
    <n v="12"/>
    <n v="340"/>
    <n v="177"/>
    <n v="0.52058823529411768"/>
    <n v="1.3014705882352943E-3"/>
    <n v="9.852941176470586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Kelly Serrano Rincón"/>
    <s v="Líderes de Cada Proceso"/>
    <d v="2021-01-04T00:00:00"/>
    <x v="10"/>
    <m/>
    <m/>
    <m/>
    <m/>
    <m/>
    <m/>
    <m/>
    <m/>
    <m/>
    <m/>
    <m/>
    <m/>
    <s v="Acta"/>
    <n v="2.5000000000000001E-3"/>
    <m/>
    <s v="22Jun2021: Calendario de Google Meet."/>
    <s v="04Ene: Comité directivo_x000a_29Ene: Comité directivo donde se aprobaron los 12 planes del Dec 612_x000a_08abr: Comité Institucional de Coordinación de Control Interno_x000a_30abr: Comité Institucional de Gestión y Desempeño._x000a_22jun: Cuarta sesión ordinaria del Comité Institucional de Coordinación de Control Interno._x000a_30Jun: Participación en la Segunda sesion del Comité Distrital de Auditoría."/>
    <s v="Trabajo de campo"/>
    <n v="1.4000000000000002E-3"/>
    <n v="1.0999999999999998E-3"/>
    <n v="12"/>
    <n v="340"/>
    <n v="177"/>
    <n v="0.52058823529411768"/>
    <n v="1.3014705882352943E-3"/>
    <n v="9.852941176470586E-5"/>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Marcela Urrea Jaramillo"/>
    <s v="Líderes de Cada Proceso"/>
    <d v="2021-01-04T00:00:00"/>
    <x v="10"/>
    <m/>
    <m/>
    <m/>
    <m/>
    <m/>
    <m/>
    <m/>
    <m/>
    <m/>
    <m/>
    <m/>
    <m/>
    <s v="Acta"/>
    <n v="2.5000000000000001E-3"/>
    <m/>
    <s v="28JuN2021: Calendario de Google Meet."/>
    <s v="18Ene: Instancia técnica de bienes inmuebles_x000a_28Ene: Comité de seguimiento financiero donde expusieron estados de Tesorería de dic2020; rendimientos financieros bancos; Informe de gestión del comité año 2020; Avance embargo UGPP y cronograma de reuniones CSF 2021._x000a_04Feb: Mesa de trabajo para la gestión de bienes muebles. Temas: Socialización marco normativo de operación de la instancia de apoyo técnico y Presentación del informe de indicios de deterioro de bienes muebles_x000a_18Feb: Comité de seguimiento financiero donde expusieron el caso del embargo de la UGPP, estado de tesorería y el informe de excedentes financieros_x000a_26Feb: Comité Distrital de Auditoría - CDA : Revisión, priorización y definición de temas a abordar en los CDA durante la vigencia 2021_x000a_18Mar: Comité de seguimiento financiero donde se realizó seg a los compromisos adquiridos, se presentó el estado de tesorería de feb e  Info sobre rend finan (comport Tasas de int)._x000a_23Abr2021: Participación en el Comité de Seguimiento Financiero.._x000a_29Abr2021: Asistencia al primer Comité Técnico de Sostenibilidad Contable de la vigencia 2020._x000a_27May2021:Asistencia al  Comité de Seguimiento Financiero.. _x000a_28jUN2021:Asistencia al  Comité de Seguimiento Financiero.. "/>
    <s v="Trabajo de campo"/>
    <n v="1.4000000000000002E-3"/>
    <n v="1.0999999999999998E-3"/>
    <n v="12"/>
    <n v="340"/>
    <n v="177"/>
    <n v="0.52058823529411768"/>
    <n v="1.3014705882352943E-3"/>
    <n v="9.852941176470586E-5"/>
    <x v="1"/>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1-05T00:00:00"/>
    <x v="11"/>
    <m/>
    <m/>
    <m/>
    <m/>
    <m/>
    <m/>
    <m/>
    <m/>
    <m/>
    <m/>
    <m/>
    <m/>
    <s v="Informe"/>
    <n v="7.4999999999999997E-3"/>
    <d v="2021-01-29T00:00:00"/>
    <s v="202111200000613 del 06ene2021 Solicitud Información_x000a_202111200005403 del 29Ene2021 entrega del informe y publicación en la página web de la entidad_x000a_Ruta: \\10.216.160.201\control interno\2021\19.04 INF.  DE GESTIÓN\AUSTERIDAD\IV TRIM 2020"/>
    <s v="Se solicitó la información a la cual dieron respuesta y el informe se elaboró y fue entregado al los destinatarios con el memorando 202111200005403 del 29Ene2021. Se verificó su publicación en la página web de la entidad"/>
    <s v="Informe - Publicación (web,intranet y/o carpeta de calidad)"/>
    <n v="7.4999999999999989E-3"/>
    <n v="0"/>
    <m/>
    <m/>
    <m/>
    <m/>
    <m/>
    <m/>
    <x v="0"/>
  </r>
  <r>
    <x v="0"/>
    <s v="Informe de seguimiento a la Sostenibilidad Contable - Resolución DDC-00003 del 05 de diciembre de 2018 - corte al 31Dic2020"/>
    <x v="0"/>
    <s v="Apoyo"/>
    <s v="Ivonne Andrea Torres Cruz_x000a_Asesora de Control Interno"/>
    <s v="Carlos Vargas Hernández"/>
    <s v="Subdirector Financiero"/>
    <d v="2021-01-05T00:00:00"/>
    <x v="12"/>
    <m/>
    <m/>
    <m/>
    <m/>
    <m/>
    <m/>
    <m/>
    <m/>
    <m/>
    <m/>
    <m/>
    <m/>
    <s v="Informe"/>
    <n v="3.0000000000000001E-3"/>
    <d v="2021-02-26T00:00:00"/>
    <s v="Ruta: \\10.216.160.201\control interno\2021\19.04 INF.  DE GESTIÓN\MNC\4to Trim 2020_x000a_Ruta: \\10.216.160.201\control interno\2021\19.04 INF.  DE GESTIÓN\CONTROL INTERNO CONTABLE\05. Informes"/>
    <s v="Se solicitó información para ser entregada el 20Ene2021, la cual no fue entregada. Se realizó reunión con la Subdirección Financiera y su equipo, quienes indicaron que entregarán parcialmente la información desde el 25Ene2021 (primera entrega parcial a tiempo (202117100003673 Rta dada por Financiera)), sin embargo, el informe solo podrá elaborarse después del 16Feb2021, fecha en la cual harán entrega del resto de la información._x000a_Se cumplió con la misma información de la evaluación del sistema de control interno contable, informe qiue fue entregado al director general y Subdirectora Financiera el 26Feb (202111200010613)"/>
    <s v="Informe - Publicación (web,intranet y/o carpeta de calidad)"/>
    <n v="2.9999999999999996E-3"/>
    <n v="0"/>
    <m/>
    <m/>
    <m/>
    <m/>
    <m/>
    <m/>
    <x v="0"/>
  </r>
  <r>
    <x v="2"/>
    <s v="Elaborar el informe de la Oficina de Control Interno vigencia 2020 - documento CBN 1038"/>
    <x v="1"/>
    <s v="Seguimiento y Evaluación"/>
    <s v="Ivonne Andrea Torres Cruz_x000a_Asesora de Control Interno"/>
    <s v="Joan Gaitán Ferrer"/>
    <s v="Asesor de Control Interno"/>
    <d v="2021-01-06T00:00:00"/>
    <x v="9"/>
    <m/>
    <m/>
    <m/>
    <m/>
    <m/>
    <m/>
    <m/>
    <m/>
    <m/>
    <m/>
    <m/>
    <m/>
    <s v="Informe"/>
    <n v="1.2E-2"/>
    <d v="2021-01-31T00:00:00"/>
    <s v="Informe elaborado y entregado por el profesional el 18Ene2021._x000a_Informe entregado al Director General con memorando 202111200005423 del 31Ene2021 y verificada su publicación en la página web de la entidad_x000a_Ruta: \\10.216.160.201\control interno\2021\19.04 INF.  DE GESTIÓN\DIRECTORES ASESORES Y JEFES\IVONNE ANDREA TORRES CRUZ"/>
    <s v="Informe elaborado y entregado por el profesional el 18Ene2021._x000a_Informe entregado al Director General con memorando 202111200005423 del 31Ene2021 y verificada su publicación en la página web de la entidad_x000a_Ruta: \\10.216.160.201\control interno\2021\19.04 INF.  DE GESTIÓN\DIRECTORES ASESORES Y JEFES\IVONNE ANDREA TORRES CRUZ"/>
    <s v="Entrega, publicación o socialización de resultados"/>
    <n v="1.2E-2"/>
    <n v="0"/>
    <m/>
    <m/>
    <m/>
    <m/>
    <m/>
    <m/>
    <x v="0"/>
  </r>
  <r>
    <x v="3"/>
    <s v="Evaluación anual por dependencias. Artículo 39 Ley 909 de 2005 - Circular 004 de 2005 Consejo Asesor del Gobierno Nacional en Materia de Control Interno"/>
    <x v="2"/>
    <s v="Todos los Procesos"/>
    <s v="Ivonne Andrea Torres Cruz_x000a_Asesora de Control Interno"/>
    <s v="Andrea Sierra Ochoa"/>
    <s v="Líderes de Cada Proceso"/>
    <d v="2021-01-06T00:00:00"/>
    <x v="13"/>
    <m/>
    <m/>
    <m/>
    <m/>
    <m/>
    <m/>
    <m/>
    <m/>
    <m/>
    <m/>
    <m/>
    <m/>
    <s v="Matriz"/>
    <n v="1.4999999999999999E-2"/>
    <d v="2021-05-31T00:00:00"/>
    <s v="Ruta: \\10.216.160.201\control interno\2021\19.04 INF.  DE GESTIÓN\EVALUACIÓN POR DEPENDENCIAS 2020"/>
    <s v="Al 31Ene2021: Se revisó la metodología, se prepararon las diferentes solicitudes de información, las cuales fueron atendidas. Se organizó la carpeta compartida con la información con la que ya se cuenta. No se tiene información del PM interno, por lo que la evaluación no se puede desarrollar._x000a_Al 28Feb2021: Falta que la OAP haga entrega de los reportes de segplan del anterior PDD y que la contratista sea vinculada de nuevo a la entidad, la cual inició actividades el 01Mar2021._x000a_Al 31Mar2021:, se imprimió y analizó la información entregada por las diferentes dependencias. Se realizó el seguimiento al PM por procesos y fue entregado con memorando el 29Mar2021, lo cual permitió incluir la información en la evaluación de dependencias. Se terminó el ejercicio de evaluación de cada uno de los procesos, dejando listas las correspondientes evaluaciones y los memorandos a remitir a cada una de las dependencias, a la Subdirección Administrativa y a la Dirección._x000a_Al 06ABR2021: Se remitieron a las áreas mediante memorando las correspondientes evaluaiones de dependencias. estando pendiente la evaluación de DUT(por encontrar inconsistencias en la información contenida en el PAG). Los resultados de las evaluaciones fueorn presentados en el comité CICCI del 08Abr2021_x000a_Al 29ABR2021: Al no haberse recibido observaciones respecto de las evaluaciones, estas se publicaron en la página web de la entidad."/>
    <s v="Entrega producto final"/>
    <n v="1.4999999999999999E-2"/>
    <n v="0"/>
    <m/>
    <m/>
    <m/>
    <m/>
    <m/>
    <m/>
    <x v="0"/>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1-08T00:00:00"/>
    <x v="14"/>
    <m/>
    <m/>
    <m/>
    <m/>
    <m/>
    <m/>
    <m/>
    <m/>
    <m/>
    <m/>
    <m/>
    <m/>
    <s v="Matriz"/>
    <n v="0.02"/>
    <d v="2021-01-31T00:00:00"/>
    <s v="Ruta: \\10.216.160.201\control interno\2021\28.05 PM\EXTERNO\CONTRALORÍA\01. IV SEG 2020_x000a_El informe se entregó el 31Ene2021 con el memorando 202111200005443 del 31Ene2021 y se verificó su publicación en la página web, junto con la matriz de detalle de seguimiento"/>
    <s v="Se planeó el seguimiento, se realizaron las visitas, se diligenció la matriz y el informe se elaboró y revisó y se entregó el 31Ene2021 con el memorando 202111200005443 del 31Ene2021"/>
    <s v="Informe - Publicación (web,intranet y/o carpeta de calidad)"/>
    <n v="1.9999999999999997E-2"/>
    <n v="0"/>
    <m/>
    <m/>
    <m/>
    <m/>
    <m/>
    <m/>
    <x v="0"/>
  </r>
  <r>
    <x v="3"/>
    <s v="Diseñar el plan de acción de Comité Institucional de Coordinación de Control Interno - CICCI 2021 y entregarlo a los miembros del comité para su revisión y posterior aprobación"/>
    <x v="1"/>
    <s v="Seguimiento y Evaluación"/>
    <s v="Ivonne Andrea Torres Cruz_x000a_Asesora de Control Interno"/>
    <s v="Joan Gaitán Ferrer"/>
    <s v="Asesor de Control Interno"/>
    <d v="2021-01-12T00:00:00"/>
    <x v="9"/>
    <m/>
    <m/>
    <m/>
    <m/>
    <m/>
    <m/>
    <m/>
    <m/>
    <m/>
    <m/>
    <m/>
    <m/>
    <s v="Matriz"/>
    <n v="5.0000000000000001E-3"/>
    <d v="2021-01-26T00:00:00"/>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_x000a_Ruta: \\10.216.160.201\control interno\2021\02.01 ACTAS COMITE C. I\00. Plan de trabajo CICCI"/>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s v="Entrega producto final"/>
    <n v="5.0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1-12T00:00:00"/>
    <x v="15"/>
    <m/>
    <m/>
    <m/>
    <m/>
    <m/>
    <m/>
    <m/>
    <m/>
    <m/>
    <m/>
    <m/>
    <m/>
    <s v="Acta"/>
    <n v="5.0000000000000001E-3"/>
    <d v="2021-02-22T00:00:00"/>
    <s v="Ruta: \\10.216.160.201\control interno\2021\02.01 ACTAS COMITE C. I\01. 26Ene2021"/>
    <s v="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
    <s v="Entrega producto final"/>
    <n v="5.0000000000000001E-3"/>
    <n v="0"/>
    <m/>
    <m/>
    <m/>
    <m/>
    <m/>
    <m/>
    <x v="0"/>
  </r>
  <r>
    <x v="7"/>
    <s v="Informe PQR's - Ley 1474 de 2011 - Decreto 371 de 2010 - segundo semestre 2020_x000a_Auditoría Especial de la prestación del Servicio al Ciudadano en el marco de la situación de calamidad pública en Bogotá, D.C. ordenada en el Decreto 087 del 2020 de la Alcaldía Mayor de Bogotá. Radicado 2020IE8609 del 19 de octubre de 2020"/>
    <x v="5"/>
    <s v="Misional"/>
    <s v="Ivonne Andrea Torres Cruz_x000a_Asesora de Control Interno"/>
    <s v="Marcela Urrea Jaramillo"/>
    <s v="Director de Gestión Corporativa y CID"/>
    <d v="2021-01-12T00:00:00"/>
    <x v="16"/>
    <m/>
    <m/>
    <m/>
    <m/>
    <m/>
    <m/>
    <m/>
    <m/>
    <m/>
    <m/>
    <m/>
    <m/>
    <s v="Informe"/>
    <n v="2.5000000000000001E-3"/>
    <d v="2021-03-23T00:00:00"/>
    <s v="Ruta: \\10.216.160.201\control interno\2021\19.04 INF.  DE GESTIÓN\PQRDS\01. II Sem 2020_x000a__x000a_Ruta: \\10.216.160.201\control interno\2021\19.04 INF.  DE GESTIÓN\PQRDS\01. II Sem 2020\03. Inf. y memorando rem y publicado en:_x000a_https://www.cajaviviendapopular.gov.co/sites/default/files/Informe%20PQRSD%202do%20semestre%202020_0.pdf_x000a_El informe fue remitido a los lÍderes de los procesos con memorando 202111200018773 del 23Mar2021 y publicado en la página web de la Entidad. "/>
    <s v="Se solicitó la información, la cual fue entregada con oportunidad. La contratista quedó sin contrato, por lo que la elaboración del informe se reanudó el 10Feb._x000a_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_x000a_El informe fue remitido a los líderes de los procesos con memorando 202111200018773 del 23Mar2021 y publicado en la página web de la Entidad."/>
    <s v="Informe Final - Publicación (web,intranet y/o carpeta de calidad)"/>
    <n v="2.5000000000000005E-3"/>
    <n v="0"/>
    <m/>
    <m/>
    <m/>
    <m/>
    <m/>
    <m/>
    <x v="0"/>
  </r>
  <r>
    <x v="2"/>
    <s v="Contratación 2021 contratistas ACI: Elaborar los estudios previos de los contratos de control interno, revisión de los documentos de los contratistas, radicación de las carpetas y apoyo en la suscripción de los contratos"/>
    <x v="1"/>
    <s v="Seguimiento y Evaluación"/>
    <s v="Ivonne Andrea Torres Cruz_x000a_Asesora de Control Interno"/>
    <s v="Joan Gaitán Ferrer"/>
    <s v="Asesor de Control Interno"/>
    <d v="2021-01-14T00:00:00"/>
    <x v="12"/>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2"/>
    <s v="Contratación 2021 contratistas ACI: Elaborar los estudios previos de los contratos de control interno, verificación de la entrega y aprobación de la póliza y elaboración de las actas de inicio y cargue en el sistema secop"/>
    <x v="1"/>
    <s v="Seguimiento y Evaluación"/>
    <s v="Ivonne Andrea Torres Cruz_x000a_Asesora de Control Interno"/>
    <s v="Andrea Sierra Ochoa"/>
    <s v="Asesor de Control Interno"/>
    <d v="2021-01-14T00:00:00"/>
    <x v="12"/>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4"/>
    <s v="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
    <x v="2"/>
    <s v="Todos los Procesos"/>
    <s v="Ivonne Andrea Torres Cruz_x000a_Asesora de Control Interno"/>
    <s v="Carlos Vargas Hernández"/>
    <s v="Líderes de Cada Proceso"/>
    <d v="2021-01-15T00:00:00"/>
    <x v="17"/>
    <m/>
    <m/>
    <m/>
    <m/>
    <m/>
    <m/>
    <m/>
    <m/>
    <m/>
    <m/>
    <m/>
    <m/>
    <s v="Certificado"/>
    <n v="0.01"/>
    <d v="2021-02-15T00:00:00"/>
    <s v="Ruta: \\10.216.160.201\control interno\2021\19.01 INF.  A  ENTID. DE CONTROL Y VIG\SIVICOF\CUENTA ANUAL"/>
    <s v="*. Se revisó la norma, se preparó la información a solicitar, se solicitó la información (202111200002383 Solicitud Cuenta anual 2020 del 18Ene2021)._x000a_*. Se solicitó información de Hurtos y pérdidas (202111200002763 del 20Ene2021 para Administrativa) y (202111200002783 del 20Ene2021 para DGC)._x000a_*. Se solicitó información de auditorías externas o seguimientos externos 202111200002743 del 20ene2021._x000a_*. Se solicitó Plan de Contingencia 202111200002773 del 20Ene2021._x000a_*. Se organizó la carpeta compartida con la información que se recibió._x000a_*. Se elaboraron los informes responsabilidad de control interno._x000a_*. Se ajustaron los informes de Excel que así lo requirieron, se validaron en el storm user, se generó el archivo STR respectivo y se firmaron los formatos electrónicos._x000a_*. Se subieron los informes de la cuenta anual y se generó el respectivo certificado."/>
    <s v="Entrega a ente de control y copia en Control Interno"/>
    <n v="0.01"/>
    <n v="0"/>
    <m/>
    <m/>
    <m/>
    <m/>
    <m/>
    <m/>
    <x v="0"/>
  </r>
  <r>
    <x v="0"/>
    <s v="Formulación Plan Anual de Auditorías - Parágrafo 1 Artículo 38 - Decreto 807 de 2019"/>
    <x v="1"/>
    <s v="Seguimiento y Evaluación"/>
    <s v="Ivonne Andrea Torres Cruz_x000a_Asesora de Control Interno"/>
    <s v="Joan Gaitán Ferrer"/>
    <s v="Asesor de Control Interno"/>
    <d v="2021-01-18T00:00:00"/>
    <x v="14"/>
    <m/>
    <m/>
    <m/>
    <m/>
    <m/>
    <m/>
    <m/>
    <m/>
    <m/>
    <m/>
    <m/>
    <m/>
    <s v="Matriz"/>
    <n v="5.0000000000000001E-3"/>
    <d v="2021-01-26T00:00:00"/>
    <s v="Ruta: \\10.216.160.201\control interno\2021\28.03 PAA_x000a_202111200003413 memorando del 22ene2021_x000a_Acta de aprobación del PAA"/>
    <s v="El PAA se elaboró y se envió por memorando 202111200003413 y por correo el 24ene2021 para revisión de los miembros del comité CICCI. El 26ene2021 fue aprobado por todos los miembros del comité y se solicitó su publicación en la página web el 27Ene2021"/>
    <s v="Informe - Publicación (web,intranet y/o carpeta de calidad)"/>
    <n v="4.9999999999999992E-3"/>
    <n v="0"/>
    <m/>
    <m/>
    <m/>
    <m/>
    <m/>
    <m/>
    <x v="0"/>
  </r>
  <r>
    <x v="2"/>
    <s v="Formulación de la Gestión por Procesos - Indicadores de Gestión - FUSS - Proceso Evaluación de la Gestión"/>
    <x v="1"/>
    <s v="Seguimiento y Evaluación"/>
    <s v="Ivonne Andrea Torres Cruz_x000a_Asesora de Control Interno"/>
    <s v="Joan Gaitán Ferrer"/>
    <s v="Asesor de Control Interno"/>
    <d v="2021-01-19T00:00:00"/>
    <x v="18"/>
    <m/>
    <m/>
    <m/>
    <m/>
    <m/>
    <m/>
    <m/>
    <m/>
    <m/>
    <m/>
    <m/>
    <m/>
    <s v="Matriz"/>
    <n v="3.0000000000000001E-3"/>
    <d v="2021-01-27T00:00:00"/>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Entrega, publicación o socialización de resultados"/>
    <n v="3.0000000000000001E-3"/>
    <n v="0"/>
    <m/>
    <m/>
    <m/>
    <m/>
    <m/>
    <m/>
    <x v="0"/>
  </r>
  <r>
    <x v="4"/>
    <s v="Elaborar Informe cuenta anual SIVICOF: CB-0402S - Plan de mejoramiento - Seguimiento Entidad"/>
    <x v="2"/>
    <s v="Todos los Procesos"/>
    <s v="Ivonne Andrea Torres Cruz_x000a_Asesora de Control Interno"/>
    <s v="Carlos Vargas Hernández"/>
    <s v="Líderes de Cada Proceso"/>
    <d v="2021-01-19T00:00:00"/>
    <x v="17"/>
    <m/>
    <m/>
    <m/>
    <m/>
    <m/>
    <m/>
    <m/>
    <m/>
    <m/>
    <m/>
    <m/>
    <m/>
    <s v="Informe"/>
    <n v="2E-3"/>
    <d v="2021-02-15T00:00:00"/>
    <s v="Ruta: \\10.216.160.201\control interno\2021\19.01 INF.  A  ENTID. DE CONTROL Y VIG\SIVICOF\CUENTA ANUAL"/>
    <s v="*. Matriz de seguimiento al PM contraloría con corte al 31Dic2020 elaborada._x000a_*. Se elaboró y ajustó el informe de Excel, se validó en el storm user, se generó el archivo STR respectivo y se firmó el formato electrónico._x000a_*. Se subió el archivo al sivicof y se generó el certificado de recepción de información en el sistema."/>
    <s v="Entrega a ente de control y copia en Control Interno"/>
    <n v="2E-3"/>
    <n v="0"/>
    <m/>
    <m/>
    <m/>
    <m/>
    <m/>
    <m/>
    <x v="0"/>
  </r>
  <r>
    <x v="4"/>
    <s v="Elaborar Informe cuenta anual SIVICOF: CBN-1015 - Informe de Austeridad en el Gasto"/>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Se compiló la información de los 4 trimestres de 2020 y se subió al sistema sivicof."/>
    <s v="Entrega a ente de control y copia en Control Interno"/>
    <n v="2E-3"/>
    <n v="0"/>
    <m/>
    <m/>
    <m/>
    <m/>
    <m/>
    <m/>
    <x v="0"/>
  </r>
  <r>
    <x v="4"/>
    <s v="Elaborar Informe cuenta anual SIVICOF: CBN-1016 - Informe sobre Detrimentos Patrimoniales"/>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 Se solicitó información a los responsables para luego compilar las respuestas. Se solicitó información de Hurtos y pérdidas (202111200002763 del 20Ene2021 para Administrativa) y (202111200002783 del 20Ene2021 para DGC)._x000a_*. Se revisó la información, se compiló y se elaboró el informe._x000a_*. Se subió el sistema sivicof."/>
    <s v="Entrega a ente de control y copia en Control Interno"/>
    <n v="2E-3"/>
    <n v="0"/>
    <m/>
    <m/>
    <m/>
    <m/>
    <m/>
    <m/>
    <x v="0"/>
  </r>
  <r>
    <x v="4"/>
    <s v="Elaborar Informe cuenta anual SIVICOF: CBN-1021 - Informe de Auditoría Externa"/>
    <x v="1"/>
    <s v="Seguimiento y Evaluación"/>
    <s v="Ivonne Andrea Torres Cruz_x000a_Asesora de Control Interno"/>
    <s v="Carlos Vargas Hernández"/>
    <s v="Asesor de Control Interno"/>
    <d v="2021-01-19T00:00:00"/>
    <x v="17"/>
    <m/>
    <m/>
    <m/>
    <m/>
    <m/>
    <m/>
    <m/>
    <m/>
    <m/>
    <m/>
    <m/>
    <m/>
    <s v="Informe"/>
    <n v="2E-3"/>
    <d v="2021-02-15T00:00:00"/>
    <s v="Ruta: \\10.216.160.201\control interno\2021\19.01 INF.  A  ENTID. DE CONTROL Y VIG\SIVICOF\CUENTA ANUAL"/>
    <s v="*. Se solicitó información a los responsables para luego compilar las respuestas. Se solicitó información de auditorías externas o seguimientos externos 202111200002743 del 20ene2021._x000a_*. Se revisó la información, se compiló y se elaboró el informe._x000a_*. Se subió el sistema sivicof."/>
    <s v="Entrega a ente de control y copia en Control Interno"/>
    <n v="2E-3"/>
    <n v="0"/>
    <m/>
    <m/>
    <m/>
    <m/>
    <m/>
    <m/>
    <x v="0"/>
  </r>
  <r>
    <x v="4"/>
    <s v="Elaborar Informe cuenta anual SIVICOF: CBN-1107 - Plan de Contingencia Institucional"/>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 Se solicitó información a los responsables para luego compilar las respuestas. Se solicitó Plan de Contingencia 202111200002773 del 20Ene2021._x000a_*. Se revisó la información, se compiló y se elaboró el informe._x000a_*. Se subió el sistema sivicof."/>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1-27T00:00:00"/>
    <x v="19"/>
    <m/>
    <m/>
    <m/>
    <m/>
    <m/>
    <m/>
    <m/>
    <m/>
    <m/>
    <m/>
    <m/>
    <m/>
    <s v="Matriz"/>
    <n v="3.0000000000000001E-3"/>
    <d v="2021-02-03T00:00:00"/>
    <s v="Ruta del FUSS: \\10.216.160.201\control interno\2021\19.04 INF.  DE GESTIÓN\HERRAMIENTAS\FUSS- P I 7696_x000a_Ruta del PAA: \\10.216.160.201\control interno\2021\28.03 PAA"/>
    <s v="Se formuló el PAA, se aprobó el 26ene2021 por el comité CICCI y se alimenta la matriz con el seguimiento semanal para entregar a tiempo la información._x000a_Se reprogramaron los porcentajes del FUSS y fueron entregados nuevamente con el memorando 202111200004633 del 27ene2021. Se realizó el primer seguimiento con corte al 31Ene y se envió por correo electrónico el 03Feb"/>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1-28T00:00:00"/>
    <x v="19"/>
    <m/>
    <m/>
    <m/>
    <m/>
    <m/>
    <m/>
    <m/>
    <m/>
    <m/>
    <m/>
    <m/>
    <m/>
    <s v="Correo electrónico"/>
    <n v="1E-3"/>
    <d v="2021-02-02T00:00:00"/>
    <s v="Ruta: \\10.216.160.201\control interno\2021\19.01 INF.  A  ENTID. DE CONTROL Y VIG\CGR SIRECI\02. Ene"/>
    <s v="Se revisó la información y no se encontraron obras inconclusas, ni recursos del SGP, ni de regalías y tampoco hay suscrito PM con la CGN, por lo que se elaboró el reporte y se dejó programado para su envío el 02Feb2021. Se incluyó correo en la carpeta compartida."/>
    <s v="Entrega a ente de control y copia en Control Interno"/>
    <n v="1E-3"/>
    <n v="0"/>
    <m/>
    <m/>
    <m/>
    <m/>
    <m/>
    <m/>
    <x v="0"/>
  </r>
  <r>
    <x v="2"/>
    <s v="Trámite de cuentas de ACI"/>
    <x v="1"/>
    <s v="Seguimiento y Evaluación"/>
    <s v="Ivonne Andrea Torres Cruz_x000a_Asesora de Control Interno"/>
    <s v="Andrés Farias Pinzón"/>
    <s v="Asesor de Control Interno"/>
    <d v="2021-02-01T00:00:00"/>
    <x v="20"/>
    <m/>
    <m/>
    <m/>
    <m/>
    <m/>
    <m/>
    <m/>
    <m/>
    <m/>
    <m/>
    <m/>
    <m/>
    <s v="Reporte"/>
    <n v="3.0000000000000001E-3"/>
    <d v="2021-02-04T00:00:00"/>
    <s v="Cuentas radicadas en el drive de la Subdirección Financiera y en proceso de pago, siendo que al 22Feb, ya les habían girado a los seis contratistas."/>
    <s v="Se realizó el trámite de cuentas de cobro de contratistas de ACI, del 01 al 18 de enero de 2021, Carlos Andrés hasta el 27Ene y Kelly hasta el 28Ene, donde dicha actividad quedó cumplida en su totalidad de la siguiente manera:_x000a_Cuentas de cobro de contratistas: Andrea Sierra, Marcela Urrea, Joan Gaitán, Carlos Vargas, Kelly Serrano y Andrés Farias del mes de enero 2021 radicadas en carpeta compartida en DRIVE establecida por la Subdirección Financiera."/>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2-01T00:00:00"/>
    <x v="21"/>
    <m/>
    <m/>
    <m/>
    <m/>
    <m/>
    <m/>
    <m/>
    <m/>
    <m/>
    <m/>
    <m/>
    <m/>
    <s v="Certificado"/>
    <n v="1E-3"/>
    <d v="2021-02-10T00:00:00"/>
    <s v="Ruta de evidencias del cargue de información de la cuenta mensual del mes de diciembre: \\10.216.160.201\control interno\2021\19.01 INF.  A  ENTID. DE CONTROL Y VIG\SIVICOF\CUENTA MENSUAL\01. ENERO"/>
    <s v="Se solicitó la información, se recibió, revisó y cargó al sistema sivicof. Se solicitó prórroga de un día porque la internet se fue en la entidad el último día del cargue.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2-01T00:00:00"/>
    <x v="21"/>
    <m/>
    <m/>
    <m/>
    <m/>
    <m/>
    <m/>
    <m/>
    <m/>
    <m/>
    <m/>
    <m/>
    <m/>
    <s v="Informe"/>
    <n v="1E-3"/>
    <d v="2021-02-10T00:00:00"/>
    <s v="Oficio 202111200016231 - Informe Presupuestal enero 2021 enviado por correo electrónico a la Personería el 10Feb"/>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s v="Asesoría en la formulación de planes de mejoramiento internos y en la modificación de las acciones ya propuestas"/>
    <x v="1"/>
    <s v="Seguimiento y Evaluación"/>
    <s v="Ivonne Andrea Torres Cruz_x000a_Asesora de Control Interno"/>
    <s v="Kelly Serrano Rincón"/>
    <s v="Asesor de Control Interno"/>
    <d v="2021-02-01T00:00:00"/>
    <x v="10"/>
    <m/>
    <m/>
    <m/>
    <m/>
    <m/>
    <m/>
    <m/>
    <m/>
    <m/>
    <m/>
    <m/>
    <m/>
    <s v="Matriz"/>
    <n v="7.4999999999999997E-3"/>
    <m/>
    <s v="Ruta: \\10.216.160.201\control interno\2021\28.05 PM\INTERNO\02. I_Seg_2021 corte 28 feb\4. Alcance informe"/>
    <s v="Se realizó una reunión el 6/04/2021 con personal de la Dirección Jurídica en la que en el punto No. 2 del acta se estupuló: Asesoría en la formulación de planes de mejoramiento internos y en la modificación de las acciones ya propuestas"/>
    <s v="Trabajo de campo - Recolección de Información"/>
    <n v="3.6749999999999999E-3"/>
    <n v="3.8249999999999998E-3"/>
    <n v="12"/>
    <n v="312"/>
    <n v="149"/>
    <n v="0.47756410256410259"/>
    <n v="3.5817307692307693E-3"/>
    <n v="9.3269230769230538E-5"/>
    <x v="1"/>
  </r>
  <r>
    <x v="6"/>
    <s v="Asesoría en la formulación de planes de mejoramiento internos y en la modificación de las acciones ya propuestas"/>
    <x v="1"/>
    <s v="Seguimiento y Evaluación"/>
    <s v="Ivonne Andrea Torres Cruz_x000a_Asesora de Control Interno"/>
    <s v="Marcela Urrea Jaramillo"/>
    <s v="Asesor de Control Interno"/>
    <d v="2021-02-01T00:00:00"/>
    <x v="10"/>
    <m/>
    <m/>
    <m/>
    <m/>
    <m/>
    <m/>
    <m/>
    <m/>
    <m/>
    <m/>
    <m/>
    <m/>
    <s v="Matriz"/>
    <n v="7.4999999999999997E-3"/>
    <m/>
    <s v="Durante el marzo no se presentaron acrtividades relacionadas con esta actividad. _x000a_1. Correos electrónico del 21, 23 y 27 de abril de 2021 ubicados en la ruta interna: _x000a_\\10.216.160.201\control interno\2021\28.05 PM\INTERNO\04. Aud. Dut Dec 371 2010 Art 3 - Proced_x000a_29Jun2021: 4. Ruta interna de calidad: _x000a_\\10.216.160.201\control interno\2021\19.03 INF. AUDITORIAS C. I\INTERNAS\06. MV\03. Dto 371 Art.3 y Proced\2. Ejecución_x000a_"/>
    <s v="Durante el marzo no se presentaron acrtividades relacionadas con esta actividad. _x000a__x000a_1- Se realizó la revisión del análisis de causas y la formulación del plan de mejoramiento realizado por la DUT sobre el informe final de la Auditoria Interna, realizando las siguientes actividades: _x000a_- Se recibió el análisis causal y la formulación del plan de mejoramiento por correo electrónico el 21 de abril de 2021._x000a_- Se realizó la revisión de la formulación y se solicitaron ajustes a través de correo electrónico a la DUT el 23Abr2021_x000a_- Se recibieron los ajustes a la formulación al Plan de Mejoramiento por parte de la DUT el 23Abr2021._x000a__x000a_- Se dio conformidad al PM a través de correo electrónico del 23Abr2021. _x000a__x000a_- Se recibió correo electrónico de la DUT con memorando 202113000026713 del 27 de abril y matrices de PM y análisis causal definitivas y se remitió a la procesional Kelly Serrano para su respectiva consolidación en el PM interno y posterior seguimiento_x000a_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_x000a__x000a_- Se solicitó la formulación del PM de la auditoría a la DMB de las PQRSD con memo 202111200046743, se recibió el PM, se revisó, se solicitiaron ajusts y se recibió la versión final el 29Jun y se remitió a Kelly Serrano para que formara parate de la matriz de PM._x000a_"/>
    <s v="Trabajo de campo - Recolección de Información"/>
    <n v="3.6749999999999999E-3"/>
    <n v="3.8249999999999998E-3"/>
    <n v="12"/>
    <n v="312"/>
    <n v="149"/>
    <n v="0.47756410256410259"/>
    <n v="3.5817307692307693E-3"/>
    <n v="9.3269230769230538E-5"/>
    <x v="1"/>
  </r>
  <r>
    <x v="2"/>
    <s v="Realizar evaluación 2020 y concertación 2021 planta fija"/>
    <x v="1"/>
    <s v="Seguimiento y Evaluación"/>
    <s v="Ivonne Andrea Torres Cruz_x000a_Asesora de Control Interno"/>
    <s v="Elizabeth Sáenz Sáenz"/>
    <s v="Asesor de Control Interno"/>
    <d v="2021-02-03T00:00:00"/>
    <x v="22"/>
    <m/>
    <m/>
    <m/>
    <m/>
    <m/>
    <m/>
    <m/>
    <m/>
    <m/>
    <m/>
    <m/>
    <m/>
    <s v="Certificado"/>
    <n v="1E-3"/>
    <d v="2021-02-18T00:00:00"/>
    <s v="01. 202111200008883 Rta a rad. 202117200006473 - Concertación 2021_x000a_02. 202111200008843 Rta a rad. 202117200006473 - Evaluación 2021"/>
    <s v="Se realizó evaluación de los compromisos del 01Feb2020 al 31Ene2021 en el aplicativo destinado de la CNSC para tal fin._x000a_Se elaboró memorando de entrega a la Subdirección Administrativa_x000a_Se realizó concertación de los compromisos del 01Feb2021 al 31Ene2022 en el aplicativo destinado de la CNSC para tal fin._x000a_Se elaboró memorando de entrega a la Subdirección Administrativa"/>
    <s v="Entrega, publicación o socialización de resultados"/>
    <n v="1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Carlos Vargas Hernández"/>
    <s v="Subdirector Financiero"/>
    <d v="2021-02-10T00:00:00"/>
    <x v="23"/>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Marcela Urrea Jaramillo"/>
    <s v="Subdirector Financiero"/>
    <d v="2021-02-10T00:00:00"/>
    <x v="23"/>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2-14T00:00:00"/>
    <x v="24"/>
    <m/>
    <m/>
    <m/>
    <m/>
    <m/>
    <m/>
    <m/>
    <m/>
    <m/>
    <m/>
    <m/>
    <m/>
    <s v="Acta"/>
    <n v="5.0000000000000001E-3"/>
    <d v="2021-04-07T00:00:00"/>
    <s v="Ruta: \\10.216.160.201\control interno\2021\02.01 ACTAS COMITE C. I\02. 24Feb2021"/>
    <s v="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_x000a_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_x000a_"/>
    <s v="Entrega producto final"/>
    <n v="5.0000000000000001E-3"/>
    <n v="0"/>
    <m/>
    <m/>
    <m/>
    <m/>
    <m/>
    <m/>
    <x v="0"/>
  </r>
  <r>
    <x v="4"/>
    <s v="Informe cuenta anual SIVICOF. Cargue del informe de control interno contable - CBN - 1019"/>
    <x v="0"/>
    <s v="Apoyo"/>
    <s v="Ivonne Andrea Torres Cruz_x000a_Asesora de Control Interno"/>
    <s v="Carlos Vargas Hernández"/>
    <s v="Subdirector Financiero"/>
    <d v="2021-02-23T00:00:00"/>
    <x v="12"/>
    <m/>
    <m/>
    <m/>
    <m/>
    <m/>
    <m/>
    <m/>
    <m/>
    <m/>
    <m/>
    <m/>
    <m/>
    <s v="Certificado"/>
    <n v="2E-3"/>
    <d v="2021-02-26T00:00:00"/>
    <s v="Ruta: \\10.216.160.201\control interno\2021\19.01 INF.  A  ENTID. DE CONTROL Y VIG\SIVICOF\CUENTA ANUAL\06. Control Fiscal"/>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4"/>
    <s v="Subir al CHIP el informe de Evaluación del Sistema de Control Interno Contable CBN - 1019"/>
    <x v="0"/>
    <s v="Apoyo"/>
    <s v="Ivonne Andrea Torres Cruz_x000a_Asesora de Control Interno"/>
    <s v="Carlos Vargas Hernández"/>
    <s v="Subdirector Financiero"/>
    <d v="2021-02-23T00:00:00"/>
    <x v="12"/>
    <m/>
    <m/>
    <m/>
    <m/>
    <m/>
    <m/>
    <m/>
    <m/>
    <m/>
    <m/>
    <m/>
    <m/>
    <s v="Certificado"/>
    <n v="2E-3"/>
    <d v="2021-02-26T00:00:00"/>
    <s v="Ruta: \\10.216.160.201\control interno\2021\19.04 INF.  DE GESTIÓN\FURAG"/>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2-24T00:00:00"/>
    <x v="25"/>
    <m/>
    <m/>
    <m/>
    <m/>
    <m/>
    <m/>
    <m/>
    <m/>
    <m/>
    <m/>
    <m/>
    <m/>
    <s v="Matriz"/>
    <n v="3.0000000000000001E-3"/>
    <d v="2021-03-03T00:00:00"/>
    <s v="Ruta del FUSS: \\10.216.160.201\control interno\2021\19.04 INF.  DE GESTIÓN\HERRAMIENTAS\FUSS- P I 7696_x000a_Ruta del PAA: \\10.216.160.201\control interno\2021\28.03 PAA"/>
    <s v="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2-25T00:00:00"/>
    <x v="25"/>
    <m/>
    <m/>
    <m/>
    <m/>
    <m/>
    <m/>
    <m/>
    <m/>
    <m/>
    <m/>
    <m/>
    <m/>
    <s v="Correo electrónico"/>
    <n v="1E-3"/>
    <d v="2021-03-05T00:00:00"/>
    <s v="Ruta: \\10.216.160.201\control interno\2021\19.01 INF.  A  ENTID. DE CONTROL Y VIG\CGR SIRECI\03. Feb_x000a_01. 202111200008903 solicitud contratos de obra"/>
    <s v="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
    <s v="Entrega a ente de control y copia en Control Interno"/>
    <n v="1E-3"/>
    <n v="0"/>
    <m/>
    <m/>
    <m/>
    <m/>
    <m/>
    <m/>
    <x v="0"/>
  </r>
  <r>
    <x v="0"/>
    <s v="Evaluación del desempeño institucional a través del Furag según lineamientos del DAFP"/>
    <x v="2"/>
    <s v="Todos los Procesos"/>
    <s v="Ivonne Andrea Torres Cruz_x000a_Asesora de Control Interno"/>
    <s v="Joan Gaitán Ferrer"/>
    <s v="Líderes de Cada Proceso"/>
    <d v="2021-02-25T00:00:00"/>
    <x v="26"/>
    <m/>
    <m/>
    <m/>
    <m/>
    <m/>
    <m/>
    <m/>
    <m/>
    <m/>
    <m/>
    <m/>
    <m/>
    <s v="Certificado"/>
    <n v="0.02"/>
    <d v="2021-03-25T00:00:00"/>
    <s v="Ruta: \\10.216.160.201\control interno\2021\19.04 INF.  DE GESTIÓN\FURAG"/>
    <s v="Se asistió a la charla del 08Feb, se verificó la circular que modifica las fechas, se recibió nueva notificación de sesión de preguntas, se solicitó el usuario, ya que el actual no se sabe si funciona._x000a_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
    <s v="Informe - Publicación (web,intranet y/o carpeta de calidad)"/>
    <n v="1.9999999999999997E-2"/>
    <n v="0"/>
    <m/>
    <m/>
    <m/>
    <m/>
    <m/>
    <m/>
    <x v="0"/>
  </r>
  <r>
    <x v="2"/>
    <s v="Trámite de cuentas de ACI"/>
    <x v="1"/>
    <s v="Seguimiento y Evaluación"/>
    <s v="Ivonne Andrea Torres Cruz_x000a_Asesora de Control Interno"/>
    <s v="Joan Gaitán Ferrer"/>
    <s v="Asesor de Control Interno"/>
    <d v="2021-03-02T00:00:00"/>
    <x v="27"/>
    <m/>
    <m/>
    <m/>
    <m/>
    <m/>
    <m/>
    <m/>
    <m/>
    <m/>
    <m/>
    <m/>
    <m/>
    <s v="Reporte"/>
    <n v="3.0000000000000001E-3"/>
    <d v="2021-03-08T00:00:00"/>
    <s v="Ruta: https://drive.google.com/drive/u/1/folders/0AK5YY03jEsvoUk9PVA"/>
    <s v="Se tramitsron las cuentas de tres de los contratistas de la Asesorìa de Control Interno relacionado con el mes de febrero. Se realizaron los SISCOS de cada uno de los contratistas y se radicaron en la carpeta compartida de la Subdirecciòn Financiera."/>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3-02T00:00:00"/>
    <x v="28"/>
    <m/>
    <m/>
    <m/>
    <m/>
    <m/>
    <m/>
    <m/>
    <m/>
    <m/>
    <m/>
    <m/>
    <m/>
    <s v="Certificado"/>
    <n v="1E-3"/>
    <d v="2021-03-09T00:00:00"/>
    <s v="Ruta de evidencias del cargue de información de la cuenta mensual del mes de febrero: \\10.216.160.201\control interno\2021\19.01 INF.  A  ENTID. DE CONTROL Y VIG\SIVICOF\CUENTA MENSUAL\01. febrer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3-02T00:00:00"/>
    <x v="28"/>
    <m/>
    <m/>
    <m/>
    <m/>
    <m/>
    <m/>
    <m/>
    <m/>
    <m/>
    <m/>
    <m/>
    <m/>
    <s v="Informe"/>
    <n v="1E-3"/>
    <d v="2021-03-09T00:00:00"/>
    <s v="Oficio 202111200027481- Informe Presupuestal febrero 2021 enviado por correo electrónico a la Personería el 09Marzo2021"/>
    <s v="Oficio 202111200027481- Informe Presupuestal febrero 2021 enviado por correo electrónico a la Personería el 09Marzo2021"/>
    <s v="Informe - Publicación (web,intranet y/o carpeta de calidad)"/>
    <n v="9.999999999999998E-4"/>
    <n v="0"/>
    <m/>
    <m/>
    <m/>
    <m/>
    <m/>
    <m/>
    <x v="0"/>
  </r>
  <r>
    <x v="6"/>
    <s v="Seguimiento al Plan de Mejoramiento Interno - Artículo 5 del Decreto 371 de 2010"/>
    <x v="2"/>
    <s v="Todos los Procesos"/>
    <s v="Ivonne Andrea Torres Cruz_x000a_Asesora de Control Interno"/>
    <s v="Kelly Serrano Rincón"/>
    <s v="Líderes de Cada Proceso"/>
    <d v="2021-03-02T00:00:00"/>
    <x v="29"/>
    <m/>
    <m/>
    <m/>
    <m/>
    <m/>
    <m/>
    <m/>
    <m/>
    <m/>
    <m/>
    <m/>
    <m/>
    <s v="Matriz"/>
    <n v="0.03"/>
    <d v="2021-03-29T00:00:00"/>
    <s v="Ruta: \\10.216.160.201\control interno\2021\28.05 PM\INTERNO\02. I_Seg_2021 corte 28 feb\3. Informe_x000a__x000a_El informe se entregó el 26mar2021 con el memorando 202111200019723 del 26mar2021 y se verificó su publicación en la página web, junto con la matriz de detalle de seguimiento"/>
    <s v="l. informe se realizó solicitando información, consolidación y seguimiento del mismo a dos cortes 31/12/2020 y 28/02/2021. _x000a_• Para Corte 31/12/2020, se contaba en el plan de mejoramiento con 172  cciones, de las cuales  136 quedaron cerradas (79%), 10 quedaron en ejecución oportuna (6%), 24 quedaron en  ejecución vencida (14%) y 2 sin  eguimiento (1%). Con una eficacia de ejecución del 85,44%._x000a_• Para Corte 28/02/2021, se contaba en el plan de mejoramiento con 172 acciones, de las cuales  144 quedaron cerradas (84%), 9 quedaron en ejecución oportuna (5%) y 19  uedaron en  ejecución vencida (11%). Con una eficacia de ejecución del 88.27%._x000a_• Se solicitó la publicación en la páguna web y en la carpeta compartida."/>
    <s v="Informe - Publicación (web,intranet y/o carpeta de calidad)"/>
    <n v="2.9999999999999995E-2"/>
    <n v="0"/>
    <m/>
    <m/>
    <m/>
    <m/>
    <m/>
    <m/>
    <x v="0"/>
  </r>
  <r>
    <x v="5"/>
    <s v="Apoyar la disposición final de las chaquetas de BMPT"/>
    <x v="4"/>
    <s v="Apoyo"/>
    <s v="Ivonne Andrea Torres Cruz_x000a_Asesora de Control Interno"/>
    <s v="Marcela Urrea Jaramillo"/>
    <s v="Subdirector Administrativo"/>
    <d v="2021-03-02T00:00:00"/>
    <x v="13"/>
    <m/>
    <m/>
    <m/>
    <m/>
    <m/>
    <m/>
    <m/>
    <m/>
    <m/>
    <m/>
    <m/>
    <m/>
    <s v="Acta"/>
    <n v="2.5000000000000001E-3"/>
    <m/>
    <s v="Correos electrónicos del 23 y 30 de abril de 2021."/>
    <s v="*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quot;Uso de la marca Ciudad”, se realiza la eliminación de las chaquetas institucionales entregadas por los funcionarios y contratistas de las diferentes áreas de la entidad a lo largo de la vigencia 2020._x000a_* Se proyectó memorando con las recomendaciones sobre la Destinación final chaquetas distintivas institucionales._x000a_* Pendiente la revisión del memorando con la ACI para definir su entrega a las distintas dependencias._x000a_*. El informe definitivo fue enviado a la ACI el 30Abr2021, el cual se encuentra en revisión_x000a_"/>
    <s v="Elaboración de solicitud"/>
    <n v="2.3750000000000004E-3"/>
    <n v="1.2499999999999968E-4"/>
    <n v="3"/>
    <n v="24"/>
    <n v="120"/>
    <n v="5"/>
    <n v="1.2500000000000001E-2"/>
    <n v="-1.0125E-2"/>
    <x v="2"/>
  </r>
  <r>
    <x v="5"/>
    <s v="Revisión del tema del embargo de la UGPP - tema del comité financiero"/>
    <x v="0"/>
    <s v="Apoyo"/>
    <s v="Ivonne Andrea Torres Cruz_x000a_Asesora de Control Interno"/>
    <s v="Marcela Urrea Jaramillo"/>
    <s v="Subdirector Financiero"/>
    <d v="2021-03-02T00:00:00"/>
    <x v="30"/>
    <m/>
    <m/>
    <m/>
    <m/>
    <m/>
    <m/>
    <m/>
    <m/>
    <m/>
    <m/>
    <m/>
    <m/>
    <s v="Acta"/>
    <n v="2.5000000000000001E-3"/>
    <d v="2021-04-23T00:00:00"/>
    <s v="Ruta: \\10.216.160.201\control interno\2021\00. APOYO\01. Corr. Interna\202111200012533 Solic.inf. - UPGG_x000a_5. Correo electrónico del 21 de abril de 2021."/>
    <s v="Se realizó solicitud de información a la Subdirección Administrativa y Dirección Jurídica con mem 202111200012533 del 05Mar2021._x000a_Se recibió respuesta de la Dirección Jurídica - memorando 202116000018193 del 19Mar2021 y de la Subdirección Administrativa con memorando 202117200019183 del 24 de marzo de 2021. _x000a_Pendiente realizar el analisis de la información. _x000a_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
    <s v="Actividad ejecutada (revisada y entregada a solicitante)"/>
    <n v="2.5000000000000001E-3"/>
    <n v="0"/>
    <m/>
    <m/>
    <m/>
    <m/>
    <m/>
    <m/>
    <x v="0"/>
  </r>
  <r>
    <x v="1"/>
    <s v="Revisar la formulación de las actividades del PAAC en el primer seguimiento y generar las alertas respectivas."/>
    <x v="2"/>
    <s v="Todos los Procesos"/>
    <s v="Ivonne Andrea Torres Cruz_x000a_Asesora de Control Interno"/>
    <s v="Kelly Serrano Rincón"/>
    <s v="Líderes de Cada Proceso"/>
    <d v="2021-03-02T00:00:00"/>
    <x v="31"/>
    <m/>
    <m/>
    <m/>
    <m/>
    <m/>
    <m/>
    <m/>
    <m/>
    <m/>
    <m/>
    <m/>
    <m/>
    <s v="Informe"/>
    <n v="5.0000000000000001E-3"/>
    <d v="2021-05-31T00:00:00"/>
    <s v="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_x000a_Mapas de Riesgos de Gestión y de Corrupción con corte al 30 de abril de 2021 mediante memo No.037933 del 31 may 2021 que contiene el capítulo &quot;REVISIÓN DE LA FORMULACIÓN DEL PAAC&quot;"/>
    <s v="Informe - Publicación (web,intranet y/o carpeta de calidad)"/>
    <n v="4.9999999999999992E-3"/>
    <n v="0"/>
    <m/>
    <m/>
    <m/>
    <m/>
    <m/>
    <m/>
    <x v="0"/>
  </r>
  <r>
    <x v="0"/>
    <s v="Evaluar el proceso de Rendición de Cuentas (Audiencia Pública u otra alternativa)"/>
    <x v="8"/>
    <s v="Estratégico"/>
    <s v="Ivonne Andrea Torres Cruz_x000a_Asesora de Control Interno"/>
    <s v="Andrea Sierra Ochoa"/>
    <s v="Jefe Oficina Asesora de Planeación "/>
    <d v="2021-03-02T00:00:00"/>
    <x v="32"/>
    <m/>
    <m/>
    <m/>
    <m/>
    <m/>
    <m/>
    <m/>
    <m/>
    <m/>
    <m/>
    <m/>
    <m/>
    <s v="Informe"/>
    <n v="0.01"/>
    <d v="2021-04-28T00:00:00"/>
    <s v="Ruta interna: \\10.216.160.201\control interno\2021\19.04 INF.  DE GESTIÓN\RENDICIÓN DE CUENTAS"/>
    <s v="Se han venido realizando actividades de revisión de la página web y de la información publicada por la OAP disponible para las partes interesadas. La audiencia de rendición de cuentas se llevó a cabo el 26Mar y el informe se elaborará a partir del 15Abr_x000a_al 28ABR2021. mediante memorando de radicado 202111200027993, se remitio el informe de la audiencia de la rendicion de cuentas al director general de la CVP. _x000a_Al 29ABR2021, se solicito la publicacion del informe en la pagina web de la entidad. "/>
    <s v="Informe - Publicación (web,intranet y/o carpeta de calidad)"/>
    <n v="9.9999999999999985E-3"/>
    <n v="0"/>
    <m/>
    <m/>
    <m/>
    <m/>
    <m/>
    <m/>
    <x v="0"/>
  </r>
  <r>
    <x v="0"/>
    <s v="Reportar la información sobre la utilización del software a través del aplicativo que disponga la Dirección Nacional de Derechos de Autor - DNDA. Directivas presidenciales 01 de 1999 y 02 de 2002; Circular 17 de 2011 de la DNDA"/>
    <x v="9"/>
    <s v="Estratégico"/>
    <s v="Ivonne Andrea Torres Cruz_x000a_Asesora de Control Interno"/>
    <s v="Andrea Sierra Ochoa"/>
    <s v="Jefe Oficina de Tecnologías de la Información y las Comunicaciones"/>
    <d v="2021-03-08T00:00:00"/>
    <x v="33"/>
    <m/>
    <m/>
    <m/>
    <m/>
    <m/>
    <m/>
    <m/>
    <m/>
    <m/>
    <m/>
    <m/>
    <m/>
    <s v="Reporte"/>
    <n v="5.0000000000000001E-3"/>
    <d v="2021-03-15T00:00:00"/>
    <s v="\\10.216.160.201\control interno\2021\19.04 INF.  DE GESTIÓN\DNDA"/>
    <s v="Mediante memorando de radicado 202111200011463 de fecha 02 de marzo de 2021, se solicitó a la Direccion General (teniendo en cuenta que no hay jefe TIC) la información que servirá de insumo para la presentación del informe de la DNDA._x000a_* con Memorando de radicado N° 202111600015753 de fecha 12 de marzo de 2021, el jefe Encargado de la oficina TIC remitió la información requerida para el informe DNDA_x000a_* El día 15 de marzo de 2021 se cargó en la página de la Dirección Nacional de Derechos de Autor, el informe de conformidad con lo establecido en la circular 017 de 2011,"/>
    <s v="Informe - Publicación (web,intranet y/o carpeta de calidad)"/>
    <n v="4.9999999999999992E-3"/>
    <n v="0"/>
    <m/>
    <m/>
    <m/>
    <m/>
    <m/>
    <m/>
    <x v="0"/>
  </r>
  <r>
    <x v="2"/>
    <s v="Revisión y mantenimiento al botón de transparencia - Ley 1712 de 2014 numeral 7 a cargo de control interno"/>
    <x v="1"/>
    <s v="Seguimiento y Evaluación"/>
    <s v="Ivonne Andrea Torres Cruz_x000a_Asesora de Control Interno"/>
    <s v="Joan Gaitán Ferrer"/>
    <s v="Asesor de Control Interno"/>
    <d v="2021-03-08T00:00:00"/>
    <x v="33"/>
    <m/>
    <m/>
    <m/>
    <m/>
    <m/>
    <m/>
    <m/>
    <m/>
    <m/>
    <m/>
    <m/>
    <m/>
    <s v="Reporte"/>
    <n v="5.0000000000000001E-3"/>
    <d v="2021-04-22T00:00:00"/>
    <s v="Ruta: https://www.cajaviviendapopular.gov.co/?q=71-informes-de-gesti%C3%B3n-evaluaci%C3%B3n-y-auditor%C3%Adas"/>
    <s v="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_x000a_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
    <s v="Entrega, publicación o socialización de resultados"/>
    <n v="5.0000000000000001E-3"/>
    <n v="0"/>
    <m/>
    <m/>
    <m/>
    <m/>
    <m/>
    <m/>
    <x v="0"/>
  </r>
  <r>
    <x v="7"/>
    <s v="Auditoría Proceso de Urbanizaciones y Titulación_x000a_Revisión de Riesgos"/>
    <x v="10"/>
    <s v="Misional"/>
    <s v="Ivonne Andrea Torres Cruz_x000a_Asesora de Control Interno"/>
    <s v="Kelly Serrano Rincón"/>
    <s v="Director de Urbanizaciones y Titulación"/>
    <d v="2021-03-15T00:00:00"/>
    <x v="26"/>
    <m/>
    <m/>
    <m/>
    <m/>
    <m/>
    <m/>
    <m/>
    <m/>
    <m/>
    <m/>
    <m/>
    <m/>
    <s v="Informe"/>
    <n v="3.7499999999999999E-3"/>
    <m/>
    <s v="Ruta: \\10.216.160.201\control interno\2021\19.03 INF. AUDITORIAS C. I\INTERNAS\01. DUT\01. Controles riesgos\3. Resultados"/>
    <s v="Se inició la auditoría, se realizaron pruebas sustantivas en sitio, como se observa en el acta, se inició con la consolidación del informe Preliminar, se aplazó debido a la elaboración de otros informes, el plazo quedó ajustado para entrega del informe final el 13abr2021._x000a_El informe Preliminar se socializó mediante memorando No. 202111200022203 del 09abr2021, se realizó el acta de reunión de cierre el 15abr2021."/>
    <s v="Informe Final - Comunicación de envío"/>
    <n v="3.5625000000000006E-3"/>
    <n v="1.874999999999993E-4"/>
    <n v="3"/>
    <n v="10"/>
    <n v="107"/>
    <n v="10.7"/>
    <n v="4.0124999999999994E-2"/>
    <n v="-3.6562499999999991E-2"/>
    <x v="2"/>
  </r>
  <r>
    <x v="7"/>
    <s v="Auditoría Proceso de Urbanizaciones y Titulación_x000a_Decreto 371 de 2010 - Artículo 2 - de los procesos de contratación en el distrito capital"/>
    <x v="7"/>
    <s v="Apoyo"/>
    <s v="Ivonne Andrea Torres Cruz_x000a_Asesora de Control Interno"/>
    <s v="Andrea Sierra Ochoa"/>
    <s v="Director de Gestión Corporativa y CID"/>
    <d v="2021-03-15T00:00:00"/>
    <x v="34"/>
    <m/>
    <m/>
    <m/>
    <m/>
    <m/>
    <m/>
    <m/>
    <m/>
    <m/>
    <m/>
    <m/>
    <m/>
    <s v="Informe"/>
    <n v="5.0000000000000001E-3"/>
    <m/>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10MAY2021,mediante correo electronico e le remito a la Asesora de Control Interno el informe preliminar de la auditoria del Dto 371 de 2010 realizada al DTU"/>
    <s v="Informe preliminar - Revisado por ACI"/>
    <n v="3.8500000000000001E-3"/>
    <n v="1.15E-3"/>
    <n v="4"/>
    <n v="21"/>
    <n v="107"/>
    <n v="5.0952380952380949"/>
    <n v="2.5476190476190475E-2"/>
    <n v="-2.1626190476190476E-2"/>
    <x v="2"/>
  </r>
  <r>
    <x v="7"/>
    <s v="Auditoría Proceso de Urbanizaciones y Titulación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3-15T00:00:00"/>
    <x v="35"/>
    <m/>
    <m/>
    <m/>
    <m/>
    <m/>
    <m/>
    <m/>
    <m/>
    <m/>
    <m/>
    <m/>
    <m/>
    <s v="Informe"/>
    <n v="2.5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2.5000000000000005E-3"/>
    <n v="0"/>
    <m/>
    <m/>
    <m/>
    <m/>
    <m/>
    <m/>
    <x v="0"/>
  </r>
  <r>
    <x v="7"/>
    <s v="Auditoría Proceso de Urbanizaciones y Titulación_x000a_Expedientes del proceso - procedimientos del proceso"/>
    <x v="10"/>
    <s v="Misional"/>
    <s v="Ivonne Andrea Torres Cruz_x000a_Asesora de Control Interno"/>
    <s v="Marcela Urrea Jaramillo"/>
    <s v="Director de Urbanizaciones y Titulación"/>
    <d v="2021-03-15T00:00:00"/>
    <x v="35"/>
    <m/>
    <m/>
    <m/>
    <m/>
    <m/>
    <m/>
    <m/>
    <m/>
    <m/>
    <m/>
    <m/>
    <m/>
    <s v="Informe"/>
    <n v="5.0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5.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3-15T00:00:00"/>
    <x v="36"/>
    <m/>
    <m/>
    <m/>
    <m/>
    <m/>
    <m/>
    <m/>
    <m/>
    <m/>
    <m/>
    <m/>
    <m/>
    <s v="Acta"/>
    <n v="5.0000000000000001E-3"/>
    <d v="2021-05-03T00:00:00"/>
    <s v="Ruta: \\10.216.160.201\control interno\2021\02.01 ACTAS COMITE C. I\03. 08Abr2021_x000a_Correo de convocatoria_x000a_2021112000200 Sol de info de ejecución pptal_x000a_Evidencias de cumplimiento de compromisos_x000a_Presentación para el comité"/>
    <s v="Se convocó a la tercera sesión ordinaria el 17Mar para el 25Mar. Fecha que fue reprogramada por el Director General para el 07Abr y de nuevo el 05Abr reprogramó para el 08Abr._x000a_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_x000a_"/>
    <s v="Entrega producto final"/>
    <n v="5.0000000000000001E-3"/>
    <n v="0"/>
    <m/>
    <m/>
    <m/>
    <m/>
    <m/>
    <m/>
    <x v="0"/>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ndrea Sierra Ochoa"/>
    <s v="Asesor de Control Interno"/>
    <d v="2021-03-15T00:00:00"/>
    <x v="37"/>
    <m/>
    <m/>
    <m/>
    <m/>
    <m/>
    <m/>
    <m/>
    <m/>
    <m/>
    <m/>
    <m/>
    <m/>
    <s v="Acta"/>
    <n v="3.0000000000000001E-3"/>
    <m/>
    <s v="29ABR2021.La información de la auditoría se encuentra en la ruta: \\10.216.160.201\control interno\2021\19.03 INF. AUDITORIAS C. I\INTERNAS\01. DUT_x000a_09JUN. La información se encuentra en la siguiente ruta:_x000a_\\10.216.160.201\control interno\2021\28.05 PM\EXTERNO\CONTRALORIA\05. DMV Hallazgo 3.1.3.4 – Acción 1"/>
    <s v="Esta actividad no se desarrollo durante el mes de marzo _x000a_Al 29ABR2021, Se realizó reunion con los desginados del proceso DUT, indicadoles los hallazgos encontrados en el ejercicio  de auditoría, mismos que se plasmaran en el informe preliminar de auditoria, la evidencia de esta actividad se encuentra en la carpeta de la Auditoria de DUT._x000a_09JUN_x000a_Se apoyo en la reunion con su con la DMV en razón de su comunicación 202114000033343 del 19 de mayo de 2021 en la cual solicita el cierre de la Acción 1- del Hallazgo 3.1.3.4 – de la Auditoría con código 56."/>
    <s v="Ejecución de la acción planteada"/>
    <n v="2.3999999999999998E-3"/>
    <n v="6.0000000000000027E-4"/>
    <n v="9"/>
    <n v="184"/>
    <n v="107"/>
    <n v="0.58152173913043481"/>
    <n v="1.7445652173913044E-3"/>
    <n v="6.5543478260869539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Carlos Vargas Hernández"/>
    <s v="Asesor de Control Interno"/>
    <d v="2021-03-15T00:00:00"/>
    <x v="37"/>
    <m/>
    <m/>
    <m/>
    <m/>
    <m/>
    <m/>
    <m/>
    <m/>
    <m/>
    <m/>
    <m/>
    <m/>
    <s v="Acta"/>
    <n v="3.0000000000000001E-3"/>
    <m/>
    <s v="Ruta: \\10.216.160.201\control interno\2021\19.03 INF. AUDITORIAS C. I\INTERNAS\02. CAJA MENOR cierre 2020\4. Eje. AudRuta \\10.216.160.201\control interno\2021\19.03 INF. AUDITORIAS C. I\INTERNAS\07. Incapacidades DUT\2. Ejecucion\2.1 Solicitudes de Inf. y Rptas"/>
    <s v="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
    <s v="Ejecución de la acción planteada"/>
    <n v="2.3999999999999998E-3"/>
    <n v="6.0000000000000027E-4"/>
    <n v="9"/>
    <n v="184"/>
    <n v="107"/>
    <n v="0.58152173913043481"/>
    <n v="1.7445652173913044E-3"/>
    <n v="6.5543478260869539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Kelly Serrano Rincón"/>
    <s v="Asesor de Control Interno"/>
    <d v="2021-03-15T00:00:00"/>
    <x v="37"/>
    <m/>
    <m/>
    <m/>
    <m/>
    <m/>
    <m/>
    <m/>
    <m/>
    <m/>
    <m/>
    <m/>
    <m/>
    <s v="Acta"/>
    <n v="3.0000000000000001E-3"/>
    <m/>
    <s v="Se realizaron dos actas así: "/>
    <s v="Se realizaron dos reuniones el día 23jun2021 con los procesos Urbanizaciones y Titulación y Gestión Financiera"/>
    <s v="Ejecución de la acción planteada"/>
    <n v="2.3999999999999998E-3"/>
    <n v="6.0000000000000027E-4"/>
    <n v="9"/>
    <n v="184"/>
    <n v="107"/>
    <n v="0.58152173913043481"/>
    <n v="1.7445652173913044E-3"/>
    <n v="6.5543478260869539E-4"/>
    <x v="3"/>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Marcela Urrea Jaramillo"/>
    <s v="Asesor de Control Interno"/>
    <d v="2021-03-15T00:00:00"/>
    <x v="37"/>
    <m/>
    <m/>
    <m/>
    <m/>
    <m/>
    <m/>
    <m/>
    <m/>
    <m/>
    <m/>
    <m/>
    <m/>
    <s v="Acta"/>
    <n v="3.0000000000000001E-3"/>
    <m/>
    <m/>
    <s v="Esta actividad no se desarrollo durante el mes de marzo _x000a_Abril 2021: Durante la Auditoria Interna a la DUT no se presentaron situaciones de entrega de informaciòn incorrecta o sin las condiciones requeridas. _x000a_31May2021: En mayo de 2021 se documentaron las siguientes actas: _x000a_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_x000a_-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_x000a_-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_x000a_- Charla enfoque hacia la prevención - Subdirección Administrativa - Información remitida con memorando 202117200031423 del 11 de mayo de 2021 “Respuesta memorando 202111200024783 solicitud de soportes y/o evidencias del informe de la Directiva 003 de 2013. (20May2021)._x000a_- Se convocó y participó en la “Charla enfoque hacia la prevención – Seguimiento aplicación Marco Normativo Contable I Trimestre 2021” (08Jun2021)._x000a_- 2. Se convocó y participo en la “Charla enfoque hacia la prevención - Reunión de presentación de resultados de Auditoria al proceso de MB - Decreto 371 - Articulo 3 (17Jun2021)."/>
    <s v="Ejecución de la acción planteada"/>
    <n v="2.3999999999999998E-3"/>
    <n v="6.0000000000000027E-4"/>
    <n v="9"/>
    <n v="184"/>
    <n v="107"/>
    <n v="0.58152173913043481"/>
    <n v="1.7445652173913044E-3"/>
    <n v="6.5543478260869539E-4"/>
    <x v="1"/>
  </r>
  <r>
    <x v="7"/>
    <s v="Verificar el cierre de 2020 de la caja menor de la Caja de la Vivienda Popular, en lo relacionado con la delegación de gastos y el manejo de los mismos."/>
    <x v="4"/>
    <s v="Apoyo"/>
    <s v="Ivonne Andrea Torres Cruz_x000a_Asesora de Control Interno"/>
    <s v="Carlos Vargas Hernández"/>
    <s v="Subdirector Administrativo"/>
    <d v="2021-03-19T00:00:00"/>
    <x v="38"/>
    <m/>
    <m/>
    <m/>
    <m/>
    <m/>
    <m/>
    <m/>
    <m/>
    <m/>
    <m/>
    <m/>
    <m/>
    <s v="Informe"/>
    <n v="5.0000000000000001E-3"/>
    <d v="2021-05-31T00:00:00"/>
    <s v="1. Charla individual sobre solicitud de información DUT "/>
    <s v="Toda la información de la auditoría se encuentra en la ruta: \2021\19.03 INF. AUDITORIAS C. I\INTERNAS\02. CAJA MENOR cierre 2020_x000a_\\10.216.160.201\control interno\2021\19.03 INF. AUDITORIAS C. I\INTERNAS\02. CAJA MENOR cierre 2020\5. Resultados de la Auditoría_x000a_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_x000a_202111200030933 Informe Final de Auditoría del 10 de mayo_x000a_Publicación en página web el 01Jun2021_x000a_"/>
    <s v="Informe Final - Publicación (web,intranet y/o carpeta de calidad)"/>
    <n v="5.000000000000001E-3"/>
    <n v="0"/>
    <m/>
    <m/>
    <m/>
    <m/>
    <m/>
    <m/>
    <x v="0"/>
  </r>
  <r>
    <x v="4"/>
    <s v="Recibir, analizar y dar trámite a las solicitudes de modificación de las acciones del plan de mejoramiento de la contraloría"/>
    <x v="1"/>
    <s v="Seguimiento y Evaluación"/>
    <s v="Ivonne Andrea Torres Cruz_x000a_Asesora de Control Interno"/>
    <s v="Carlos Vargas Hernández"/>
    <s v="Asesor de Control Interno"/>
    <d v="2021-03-23T00:00:00"/>
    <x v="39"/>
    <m/>
    <m/>
    <m/>
    <m/>
    <m/>
    <m/>
    <m/>
    <m/>
    <m/>
    <m/>
    <m/>
    <m/>
    <s v="Certificado"/>
    <n v="2E-3"/>
    <d v="2021-03-30T00:00:00"/>
    <m/>
    <s v="1. Con memo 202116000007863 del 15Feb2021 se realizó solicitud de modificación de acción de la Dir. Jurídica, la cual se tramitó y subió al sivicof el 19Feb2021._x000a_2. Con memo 202112000010013 del 24Feb2021 se realizó solicitud de modificación de 2 acciones de la Dirección de Reasentamientos cód Aud 56 y 70, la cual se tramitó y subió al sivicof el 05Mar2021._x000a_3. Con memo 202112000016473 del 15Mar2021 se realizó solicitud de modificación de 2 acciones de la Dirección de Reasentamientos, la cual se tramitó y subió al sivicof el 19Mar2021._x000a_Todas las evidencias se encuentran en la carpeta compartida en el servidor."/>
    <s v="Entrega a ente de control y copia en Control Interno"/>
    <n v="2E-3"/>
    <n v="0"/>
    <m/>
    <m/>
    <m/>
    <m/>
    <m/>
    <m/>
    <x v="0"/>
  </r>
  <r>
    <x v="7"/>
    <s v="Auditoría Proceso de Mejoramiento de Barrios_x000a_Revisión de Riesgos"/>
    <x v="6"/>
    <s v="Misional"/>
    <s v="Ivonne Andrea Torres Cruz_x000a_Asesora de Control Interno"/>
    <s v="Kelly Serrano Rincón"/>
    <s v="Director de Mejoramiento de Barrios"/>
    <d v="2021-03-26T00:00:00"/>
    <x v="35"/>
    <m/>
    <m/>
    <m/>
    <m/>
    <m/>
    <m/>
    <m/>
    <m/>
    <m/>
    <m/>
    <m/>
    <m/>
    <s v="Informe"/>
    <n v="0.01"/>
    <m/>
    <s v="2. Charla individual sobre solicitud de información Subdirección Ficianciera"/>
    <s v="El informe Preliminar se socializó mediante memorando No. 202111200027223 del 26abr2021, se recibieron las observaciones al informe preliminar el 28abr2021 mediante memorandos No. 202115000028253 y 202111300028173."/>
    <s v="Informe preliminar - Reunión de validación de hallazgos"/>
    <n v="8.3000000000000001E-3"/>
    <n v="1.7000000000000001E-3"/>
    <n v="4"/>
    <n v="13"/>
    <n v="96"/>
    <n v="7.384615384615385"/>
    <n v="7.3846153846153853E-2"/>
    <n v="-6.5546153846153851E-2"/>
    <x v="2"/>
  </r>
  <r>
    <x v="7"/>
    <s v="Seguimiento a los procesos judiciales - SIPROJ - del 01Ene2020 al 28Feb2021"/>
    <x v="3"/>
    <s v="Estratégico"/>
    <s v="Ivonne Andrea Torres Cruz_x000a_Asesora de Control Interno"/>
    <s v="Andrea Sierra Ochoa"/>
    <s v="Director Jurídico "/>
    <d v="2021-03-26T00:00:00"/>
    <x v="40"/>
    <m/>
    <m/>
    <m/>
    <m/>
    <m/>
    <m/>
    <m/>
    <m/>
    <m/>
    <m/>
    <m/>
    <m/>
    <s v="Informe"/>
    <n v="5.0000000000000001E-3"/>
    <d v="2021-05-19T00:00:00"/>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Informe Final - Publicación (web,intranet y/o carpeta de calidad)"/>
    <n v="5.00000000000000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3-29T00:00:00"/>
    <x v="41"/>
    <m/>
    <m/>
    <m/>
    <m/>
    <m/>
    <m/>
    <m/>
    <m/>
    <m/>
    <m/>
    <m/>
    <m/>
    <s v="Matriz"/>
    <n v="3.0000000000000001E-3"/>
    <d v="2021-04-06T00:00:00"/>
    <s v="Ruta de la información: \\10.216.160.201\control interno\2021\28.03 PAA_x000a_Se solicitó por correo el diligenciamiento del archivo del PAA"/>
    <s v="Se ha realizado seguimiento mensual a las actividades del PAA. Se realizó reprogramación de actividades, se incluyeron adicionales y se retiraron actividades. Se envió por correo a Juan David Solano el respectivo seguimiento con cumplimiento (eficacia) del 97.04%"/>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3-30T00:00:00"/>
    <x v="41"/>
    <m/>
    <m/>
    <m/>
    <m/>
    <m/>
    <m/>
    <m/>
    <m/>
    <m/>
    <m/>
    <m/>
    <m/>
    <s v="Correo electrónico"/>
    <n v="1E-3"/>
    <d v="2021-04-06T00:00:00"/>
    <s v="Ruta: \\10.216.160.201\control interno\2021\19.01 INF.  A  ENTID. DE CONTROL Y VIG\CGR SIRECI"/>
    <s v="Se revisó la información y no se encontraron obras inconclusas, ni recursos del SGP, ni de regalías y tampoco hay suscrito PM con la CGN, por lo que se elaboró el reporte y se envió el 06Abr2021. Se incluyó correo en la carpeta compartida."/>
    <s v="Entrega a ente de control y copia en Control Interno"/>
    <n v="1E-3"/>
    <n v="0"/>
    <m/>
    <m/>
    <m/>
    <m/>
    <m/>
    <m/>
    <x v="0"/>
  </r>
  <r>
    <x v="4"/>
    <s v="Atención Auditoría de Regularidad: Cód 55: Evaluar la gestión fiscal vigencia 2020"/>
    <x v="2"/>
    <s v="Todos los Procesos"/>
    <s v="Ivonne Andrea Torres Cruz_x000a_Asesora de Control Interno"/>
    <s v="Carlos Vargas Hernández"/>
    <s v="Líderes de Cada Proceso"/>
    <d v="2021-03-31T00:00:00"/>
    <x v="42"/>
    <m/>
    <m/>
    <m/>
    <m/>
    <m/>
    <m/>
    <m/>
    <m/>
    <m/>
    <m/>
    <m/>
    <m/>
    <s v="Correo electrónico - Oficios"/>
    <n v="0.02"/>
    <m/>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_x000a__x000a__x000a_"/>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
    <s v="Revisión de respuesta y soportes"/>
    <n v="1.6E-2"/>
    <n v="4.0000000000000001E-3"/>
    <n v="7"/>
    <n v="120"/>
    <n v="91"/>
    <n v="0.7583333333333333"/>
    <n v="1.5166666666666667E-2"/>
    <n v="8.333333333333335E-4"/>
    <x v="1"/>
  </r>
  <r>
    <x v="2"/>
    <s v="Trámite de cuentas de ACI"/>
    <x v="1"/>
    <s v="Seguimiento y Evaluación"/>
    <s v="Ivonne Andrea Torres Cruz_x000a_Asesora de Control Interno"/>
    <s v="Joan Gaitán Ferrer"/>
    <s v="Asesor de Control Interno"/>
    <d v="2021-04-05T00:00:00"/>
    <x v="35"/>
    <m/>
    <m/>
    <m/>
    <m/>
    <m/>
    <m/>
    <m/>
    <m/>
    <m/>
    <m/>
    <m/>
    <m/>
    <s v="Reporte"/>
    <n v="3.0000000000000001E-3"/>
    <d v="2021-04-08T00:00:00"/>
    <s v="Ruta: \\10.216.160.201\control interno\2021\00. APOYO\03. Contratación\SISCOS 2021"/>
    <s v="Se realizó el trámite de cuentas de cobro de contratistas de ACI, del 01 al 30 de marzo de 2021, donde dicha actividad quedó cumplida en su totalidad de la siguiente manera:_x000a_Cuentas de cobro de contratistas: Andrea Sierra, Marcela Urrea, Joan Gaitán, Carlos Vargas, Kelly Serrano del mes de marzo 2021 radicadas en carpeta compartida en DRIVE establecida por la Subdirección Financiera._x000a_"/>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4-05T00:00:00"/>
    <x v="30"/>
    <m/>
    <m/>
    <m/>
    <m/>
    <m/>
    <m/>
    <m/>
    <m/>
    <m/>
    <m/>
    <m/>
    <m/>
    <s v="Matriz"/>
    <n v="3.0000000000000001E-3"/>
    <d v="2021-04-09T00:00:00"/>
    <s v="Toda la informacion relacionada con esta actividad se encuentra en la siguiente ruta:\\10.216.160.201\control interno\2021\00. APOYO\09. Normograma\1. ENE_FEB_MAR"/>
    <s v="09Abril2021. mediante correo electronico dirigido a la ACI, se remitio la actualizacion del normograma del proceso de evaluacion de la gestión. Cumpliendo con esta actividad"/>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4-05T00:00:00"/>
    <x v="43"/>
    <m/>
    <m/>
    <m/>
    <m/>
    <m/>
    <m/>
    <m/>
    <m/>
    <m/>
    <m/>
    <m/>
    <m/>
    <s v="Certificado"/>
    <n v="1E-3"/>
    <d v="2021-04-13T00:00:00"/>
    <s v="Ruta de evidencias del cargue de información de la cuenta mensual del mes de diciembre: \\10.216.160.201\control interno\2021\19.01 INF.  A  ENTID. DE CONTROL Y VIG\SIVICOF\CUENTA MENSUAL\03. marzo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4-05T00:00:00"/>
    <x v="43"/>
    <m/>
    <m/>
    <m/>
    <m/>
    <m/>
    <m/>
    <m/>
    <m/>
    <m/>
    <m/>
    <m/>
    <m/>
    <s v="Informe"/>
    <n v="1E-3"/>
    <d v="2021-04-13T00:00:00"/>
    <s v="Oficio 202111200045291- Informe Presupuestal marzo 2021 enviado por correo electrónico a la Personería el 09Marzo2021"/>
    <s v="Oficio 202111200045291- Informe Presupuestal marzo 2021 enviado por correo electrónico a la Personería el 09Marzo2021"/>
    <s v="Informe - Publicación (web,intranet y/o carpeta de calidad)"/>
    <n v="9.999999999999998E-4"/>
    <n v="0"/>
    <m/>
    <m/>
    <m/>
    <m/>
    <m/>
    <m/>
    <x v="0"/>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4-05T00:00:00"/>
    <x v="44"/>
    <m/>
    <m/>
    <m/>
    <m/>
    <m/>
    <m/>
    <m/>
    <m/>
    <m/>
    <m/>
    <m/>
    <m/>
    <s v="Informe"/>
    <n v="7.4999999999999997E-3"/>
    <d v="2021-05-10T00:00:00"/>
    <s v="Ruta\\10.216.160.201\control interno\2021\19.04 INF.  DE GESTIÓN\AUSTERIDAD\I TRIM 2021"/>
    <s v="Se encuentra en la etapa de elaboración del informe, el que se espera sea entregado la primera semana de mayo._x000a__x000a_Se entrego informe final el dia 10 de mayo de 2021_x000a__x000a_"/>
    <s v="Informe - Publicación (web,intranet y/o carpeta de calidad)"/>
    <n v="7.4999999999999989E-3"/>
    <n v="0"/>
    <m/>
    <m/>
    <m/>
    <m/>
    <m/>
    <m/>
    <x v="0"/>
  </r>
  <r>
    <x v="0"/>
    <s v="Informe de seguimiento a la Sostenibilidad Contable - Resolución DDC-00003 del 05 de diciembre de 2018 - corte al 31Mar2021"/>
    <x v="0"/>
    <s v="Apoyo"/>
    <s v="Ivonne Andrea Torres Cruz_x000a_Asesora de Control Interno"/>
    <s v="Marcela Urrea Jaramillo"/>
    <s v="Subdirector Financiero"/>
    <d v="2021-04-05T00:00:00"/>
    <x v="45"/>
    <m/>
    <m/>
    <m/>
    <m/>
    <m/>
    <m/>
    <m/>
    <m/>
    <m/>
    <m/>
    <m/>
    <m/>
    <s v="Informe"/>
    <n v="3.0000000000000001E-3"/>
    <d v="2021-06-09T00:00:00"/>
    <s v="Ruta interna: \\10.216.160.201\control interno\2021\19.04 INF.  DE GESTIÓN\MNC\1er Trim 2021\Sol Info y Rtas_x000a_202111200041053 Memorando remisorio seg. MNC I Trim 2021 V2.0_x000a_09Jun2021:  Ruta interna de calidad: _x000a_\\10.216.160.201\control interno\2021\19.04 INF.  DE GESTIÓN\MNC\02. 1er Trim 2021\05. Inf. y memorando remisorio_x000a_Página oficial de la CVP: _x000a_https://www.cajaviviendapopular.gov.co/sites/default/files/Inf%20I%20Trim%202021%20MNC.pdf_x000a_"/>
    <s v="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_x000a_- Solicitud de información a la Subdirección Financiera con memorando 202111200022753 del 12 de abril de 2021._x000a_Se realizaron las siguientes actividades: _x000a_- Se realizó alcance a la solicitud de información extendiendo el plazo de entrega de la misma, con memorando 202111200024013 del 15 de abril de 2021. _x000a_09Jun2021: Se finalizó el informe de seguimiento y evaluación a la aplicación del Marco Normativo Contable de la CVP del primer trimestre de la vigencia_x000a_2021._x000a_"/>
    <s v="Informe - Publicación (web,intranet y/o carpeta de calidad)"/>
    <n v="2.9999999999999996E-3"/>
    <n v="0"/>
    <m/>
    <m/>
    <m/>
    <m/>
    <m/>
    <m/>
    <x v="0"/>
  </r>
  <r>
    <x v="7"/>
    <s v="Auditoría Proceso de Mejoramiento de Vivienda_x000a_Revisión de Riesgos"/>
    <x v="11"/>
    <s v="Misional"/>
    <s v="Ivonne Andrea Torres Cruz_x000a_Asesora de Control Interno"/>
    <s v="Kelly Serrano Rincón"/>
    <s v="Director de Mejoramiento de Vivienda"/>
    <d v="2021-04-09T00:00:00"/>
    <x v="46"/>
    <m/>
    <m/>
    <m/>
    <m/>
    <m/>
    <m/>
    <m/>
    <m/>
    <m/>
    <m/>
    <m/>
    <m/>
    <s v="Informe"/>
    <n v="0.01"/>
    <m/>
    <s v="Ruta: \\10.216.160.201\control interno\2021\19.03 INF. AUDITORIAS C. I\INTERNAS\06. MV\01. Controles Riesgos\03. Resultados\00. Informe preliminar"/>
    <s v="Se envió el informe preliminar para revisión el 27abr2021 por correo electrónico para su revisión."/>
    <s v="Informe preliminar - Revisado por ACI"/>
    <n v="7.7000000000000002E-3"/>
    <n v="2.3E-3"/>
    <n v="4"/>
    <n v="11"/>
    <n v="82"/>
    <n v="7.4545454545454541"/>
    <n v="7.454545454545454E-2"/>
    <n v="-6.6845454545454541E-2"/>
    <x v="2"/>
  </r>
  <r>
    <x v="0"/>
    <s v="Informe Directiva 003 de 2013 Alcaldía Mayor de Bogotá"/>
    <x v="4"/>
    <s v="Apoyo"/>
    <s v="Ivonne Andrea Torres Cruz_x000a_Asesora de Control Interno"/>
    <s v="Marcela Urrea Jaramillo"/>
    <s v="Subdirector Administrativo"/>
    <d v="2021-04-13T00:00:00"/>
    <x v="47"/>
    <m/>
    <m/>
    <m/>
    <m/>
    <m/>
    <m/>
    <m/>
    <m/>
    <m/>
    <m/>
    <m/>
    <m/>
    <s v="Informe"/>
    <n v="0.01"/>
    <d v="2021-05-26T00:00:00"/>
    <s v="Documentos ubicados en la ruta: _x000a_\\10.216.160.201\control interno\2021\19.02 INF. A OTROS ORGANISMOS\DIRECTIVA 003 de 2013 (16Oct 2020 al 15Abr2021)\Sol Inf y Rtas_x000a_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_x000a_"/>
    <s v="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
    <s v="Informe - Publicación (web,intranet y/o carpeta de calidad)"/>
    <n v="9.9999999999999985E-3"/>
    <n v="0"/>
    <m/>
    <m/>
    <m/>
    <m/>
    <m/>
    <m/>
    <x v="0"/>
  </r>
  <r>
    <x v="1"/>
    <s v="Seguimiento Matriz de riesgos de corrupción y por proceso 2021"/>
    <x v="2"/>
    <s v="Todos los Procesos"/>
    <s v="Ivonne Andrea Torres Cruz_x000a_Asesora de Control Interno"/>
    <s v="Kelly Serrano Rincón"/>
    <s v="Líderes de Cada Proceso"/>
    <d v="2021-04-26T00:00:00"/>
    <x v="48"/>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1"/>
    <s v="Seguimiento Plan Anticorrupción y de Atención al Ciudadano 2021. Decreto 124 de 2016"/>
    <x v="2"/>
    <s v="Todos los Procesos"/>
    <s v="Ivonne Andrea Torres Cruz_x000a_Asesora de Control Interno"/>
    <s v="Kelly Serrano Rincón"/>
    <s v="Líderes de Cada Proceso"/>
    <d v="2021-04-26T00:00:00"/>
    <x v="48"/>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4-28T00:00:00"/>
    <x v="49"/>
    <m/>
    <m/>
    <m/>
    <m/>
    <m/>
    <m/>
    <m/>
    <m/>
    <m/>
    <m/>
    <m/>
    <m/>
    <s v="Matriz"/>
    <n v="3.0000000000000001E-3"/>
    <d v="2021-05-05T00:00:00"/>
    <s v="Ruta del FUSS: \\10.216.160.201\control interno\2021\19.04 INF.  DE GESTIÓN\HERRAMIENTAS\FUSS- P I 7696_x000a_Ruta del PAA: \\10.216.160.201\control interno\2021\28.03 PAA"/>
    <s v="Se realizó el seguimiento al Plan Anual de Auditorías con corte al 30 de Abril con el fin de poder tener los insumos necesarios para reportar el Formato Unico de Seguimiento Sectorial FUSS y enviarlo a la Dirección de Gestión Corporativa. _x000a_Se envio a la Dirección de Gestión Corporativa y CID el FUSS-Control Interno con corte al 30 de Abril mediante correo electronico, reportando una eficacia del 95,98%."/>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4-29T00:00:00"/>
    <x v="49"/>
    <m/>
    <m/>
    <m/>
    <m/>
    <m/>
    <m/>
    <m/>
    <m/>
    <m/>
    <m/>
    <m/>
    <m/>
    <s v="Correo electrónico"/>
    <n v="1E-3"/>
    <d v="2021-05-04T00:00:00"/>
    <s v="Ruta: \\10.216.160.201\control interno\2021\19.01 INF.  A  ENTID. DE CONTROL Y VIG\CGR SIRECI\05. Abr"/>
    <s v=" Se reviso la información de manera interna, se verificó, se hizo el reporte mediante correo electrónico, de acuerdo con los plazos establecidos en la circular._x000a_Se reporto para el mes de Abril:_x000a_1. Obras inconclusas o sin uso._x000a_3. Sistema General de Participaciones y demás transferencias de origen nacional._x000a_4. Sistema General de Regalías, (Consolida información de las entidades designadas como ejecutoras de estos recursos - Secretaria Distrital de Planeación)._x000a_5. Planes de mejoramiento._x000a__x000a__x000a_"/>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5-03T00:00:00"/>
    <x v="50"/>
    <m/>
    <m/>
    <m/>
    <m/>
    <m/>
    <m/>
    <m/>
    <m/>
    <m/>
    <m/>
    <m/>
    <m/>
    <s v="Reporte"/>
    <n v="3.0000000000000001E-3"/>
    <d v="2021-05-06T00:00:00"/>
    <s v="Ruta: \\10.216.160.201\control interno\2021\00. APOYO\03. Contratación\SISCOS 2021"/>
    <s v="Se realizó el trámite de cuentas de cobro de contratistas de ACI, del 01 al 30 de Abril de 2021, donde dicha actividad quedó cumplida en su totalidad de la siguiente manera:_x000a_Cuentas de cobro de contratistas: Andrea Sierra, Marcela Urrea, Joan Gaitán, Carlos Vargas, Kelly Serrano del mes de abril de 2021 radicadas en carpeta compartida en DRIVE establecida por la Subdirección Financiera._x000a_"/>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5-03T00:00:00"/>
    <x v="51"/>
    <m/>
    <m/>
    <m/>
    <m/>
    <m/>
    <m/>
    <m/>
    <m/>
    <m/>
    <m/>
    <m/>
    <m/>
    <s v="Certificado"/>
    <n v="1E-3"/>
    <d v="2021-05-11T00:00:00"/>
    <s v="Ruta de evidencias del cargue de información de la cuenta mensual del mes de diciembre: \\10.216.160.201\control interno\2021\19.01 INF.  A  ENTID. DE CONTROL Y VIG\SIVICOF\CUENTA MENSUAL\04. abril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5-03T00:00:00"/>
    <x v="51"/>
    <m/>
    <m/>
    <m/>
    <m/>
    <m/>
    <m/>
    <m/>
    <m/>
    <m/>
    <m/>
    <m/>
    <m/>
    <s v="Informe"/>
    <n v="1E-3"/>
    <d v="2021-05-11T00:00:00"/>
    <s v="Oficio 202111200063611- Informe Presupuestal abril 2021 enviado por correo electrónico a la Personería el 11 de mayo 2021"/>
    <s v="Oficio 202111200063611- Informe Presupuestal abril 2021 enviado por correo electrónico a la Personería el 11 de mayo 2021"/>
    <s v="Informe - Publicación (web,intranet y/o carpeta de calidad)"/>
    <n v="9.999999999999998E-4"/>
    <n v="0"/>
    <m/>
    <m/>
    <m/>
    <m/>
    <m/>
    <m/>
    <x v="0"/>
  </r>
  <r>
    <x v="7"/>
    <s v="Auditoría Proceso de Gestión del Talento Humano_x000a_Auditoría a la aplicación de las políticas contables por parte de los procesos de Gestión Financiera y de Urbanizaciones y Titulación en la gestión de Cobro de las Incapacidades reportadas por los funcionarios del proceso de Urbanizaciones y Titulación"/>
    <x v="12"/>
    <s v="Apoyo"/>
    <s v="Ivonne Andrea Torres Cruz_x000a_Asesora de Control Interno"/>
    <s v="Carlos Vargas Hernández"/>
    <s v="Subdirector Administrativo"/>
    <d v="2021-05-03T00:00:00"/>
    <x v="52"/>
    <m/>
    <m/>
    <m/>
    <m/>
    <m/>
    <m/>
    <m/>
    <m/>
    <m/>
    <m/>
    <m/>
    <m/>
    <s v="Informe"/>
    <n v="3.8E-3"/>
    <m/>
    <s v="Ruta \\10.216.160.201\control interno\2021\19.03 INF. AUDITORIAS C. I\INTERNAS\07. Incapacidades DUT\2. Ejecucion"/>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
    <s v="Trabajo de campo - Análisis de Información"/>
    <n v="2.356E-3"/>
    <n v="1.444E-3"/>
    <n v="7"/>
    <n v="71"/>
    <n v="58"/>
    <n v="0.81690140845070425"/>
    <n v="3.1042253521126762E-3"/>
    <n v="-7.4822535211267619E-4"/>
    <x v="1"/>
  </r>
  <r>
    <x v="7"/>
    <s v="Auditoría Proceso de Gestión Financiera_x000a_Auditoría a la aplicación de las políticas contables por parte de los procesos de Gestión Financiera y de Urbanizaciones y Titulación en la gestión de Cobro de las Incapacidades reportadas por los funcionarios del proceso de Urbanizaciones y Titulación"/>
    <x v="0"/>
    <s v="Apoyo"/>
    <s v="Ivonne Andrea Torres Cruz_x000a_Asesora de Control Interno"/>
    <s v="Carlos Vargas Hernández"/>
    <s v="Subdirector Financiero"/>
    <d v="2021-05-03T00:00:00"/>
    <x v="52"/>
    <m/>
    <m/>
    <m/>
    <m/>
    <m/>
    <m/>
    <m/>
    <m/>
    <m/>
    <m/>
    <m/>
    <m/>
    <s v="Informe"/>
    <n v="3.8E-3"/>
    <m/>
    <s v="Ruta \\10.216.160.201\control interno\2021\19.03 INF. AUDITORIAS C. I\INTERNAS\07. Incapacidades DUT\2. Ejecucion"/>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
    <s v="Trabajo de campo - Análisis de Información"/>
    <n v="2.356E-3"/>
    <n v="1.444E-3"/>
    <n v="7"/>
    <n v="71"/>
    <n v="58"/>
    <n v="0.81690140845070425"/>
    <n v="3.1042253521126762E-3"/>
    <n v="-7.4822535211267619E-4"/>
    <x v="1"/>
  </r>
  <r>
    <x v="7"/>
    <s v="Auditoría Proceso de Urbanizaciones y Titulación_x000a_Auditoría a la aplicación de las políticas contables por parte de los procesos de Gestión Financiera y de Urbanizaciones y Titulación en la gestión de Cobro de las Incapacidades reportadas por los funcionarios del proceso de Urbanizaciones y Titulación"/>
    <x v="10"/>
    <s v="Misional"/>
    <s v="Ivonne Andrea Torres Cruz_x000a_Asesora de Control Interno"/>
    <s v="Carlos Vargas Hernández"/>
    <s v="Director de Urbanizaciones y Titulación"/>
    <d v="2021-05-03T00:00:00"/>
    <x v="52"/>
    <m/>
    <m/>
    <m/>
    <m/>
    <m/>
    <m/>
    <m/>
    <m/>
    <m/>
    <m/>
    <m/>
    <m/>
    <s v="Informe"/>
    <n v="3.8E-3"/>
    <m/>
    <s v="Ruta \\10.216.160.201\control interno\2021\19.03 INF. AUDITORIAS C. I\INTERNAS\07. Incapacidades DUT\2. Ejecucion"/>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
    <s v="Trabajo de campo - Análisis de Información"/>
    <n v="2.356E-3"/>
    <n v="1.444E-3"/>
    <n v="7"/>
    <n v="71"/>
    <n v="58"/>
    <n v="0.81690140845070425"/>
    <n v="3.1042253521126762E-3"/>
    <n v="-7.4822535211267619E-4"/>
    <x v="1"/>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5-11T00:00:00"/>
    <x v="53"/>
    <m/>
    <m/>
    <m/>
    <m/>
    <m/>
    <m/>
    <m/>
    <m/>
    <m/>
    <m/>
    <m/>
    <m/>
    <s v="Reporte"/>
    <n v="5.0000000000000001E-3"/>
    <m/>
    <s v="Ruta: \\10.216.160.201\control interno\2021\19.04 INF.  DE GESTIÓN\PAAC\02. II Seg 2021_x000a_02. 202111200048643 Solicitud oportunidad de entrega PAAC_x000a_02. Cuadro Oportunidad entrega PAAC y Seguimiento a la Gestión por Procesos – Indicadores de Gestión 2021_x000a_"/>
    <s v="La actividad no se realizó durante el mes de mayo._x000a_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_x000a_"/>
    <s v="Trabajo de campo - Recolección de Información"/>
    <n v="2.4499999999999999E-3"/>
    <n v="2.5500000000000002E-3"/>
    <n v="5"/>
    <n v="4"/>
    <n v="50"/>
    <n v="12.5"/>
    <n v="6.25E-2"/>
    <n v="-6.0049999999999999E-2"/>
    <x v="2"/>
  </r>
  <r>
    <x v="2"/>
    <s v="Diseño y gestión de capacitaciones para el fortalecimiento y aplicación del principio de autocontrol  "/>
    <x v="2"/>
    <s v="Todos los Procesos"/>
    <s v="Ivonne Andrea Torres Cruz_x000a_Asesora de Control Interno"/>
    <s v="Kelly Serrano Rincón"/>
    <s v="Líderes de Cada Proceso"/>
    <d v="2021-05-18T00:00:00"/>
    <x v="54"/>
    <m/>
    <m/>
    <m/>
    <m/>
    <m/>
    <m/>
    <m/>
    <m/>
    <m/>
    <m/>
    <m/>
    <m/>
    <s v="Presentación"/>
    <n v="1.2E-2"/>
    <m/>
    <m/>
    <s v="Se está preparando las capacitaciones con los temas:"/>
    <s v="Diseño o planeación de la acción"/>
    <n v="1.2000000000000001E-3"/>
    <n v="1.0800000000000001E-2"/>
    <n v="9"/>
    <n v="135"/>
    <n v="43"/>
    <n v="0.31851851851851853"/>
    <n v="3.8222222222222225E-3"/>
    <n v="-2.6222222222222224E-3"/>
    <x v="3"/>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5-26T00:00:00"/>
    <x v="55"/>
    <m/>
    <m/>
    <m/>
    <m/>
    <m/>
    <m/>
    <m/>
    <m/>
    <m/>
    <m/>
    <m/>
    <m/>
    <s v="Matriz"/>
    <n v="3.0000000000000001E-3"/>
    <d v="2021-06-02T00:00:00"/>
    <s v="Ruta del FUSS: \\10.216.160.201\control interno\2021\19.04 INF.  DE GESTIÓN\HERRAMIENTAS\FUSS- P I 7696_x000a_Ruta del PAA: \\10.216.160.201\control interno\2021\28.03 PAA_x000a__x000a_00. Correo - Seguimiento FUSS 7696 – Mayo_x000a_01. FUSS UNCSAP-2021 FOR 7696 mayo_x000a_02. 208-CI-Ft-04 Plan Anual de Auditorías 2021 V2 seg al 31May2021_x000a_03. FUSS UNCSAP-2021 FOR 7696 mayo Control Interno_x000a_04. Correo Re_ Seguimiento FUSS 7696 - Mayo - Control Interno_x000a_"/>
    <s v="1. Planes de mejoraiento"/>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5-28T00:00:00"/>
    <x v="55"/>
    <m/>
    <m/>
    <m/>
    <m/>
    <m/>
    <m/>
    <m/>
    <m/>
    <m/>
    <m/>
    <m/>
    <m/>
    <s v="Correo electrónico"/>
    <n v="1E-3"/>
    <d v="2021-06-02T00:00:00"/>
    <s v="Ruta: \\10.216.160.201\control interno\2021\19.01 INF.  A  ENTID. DE CONTROL Y VIG\CGR SIRECI\06. May_x000a_01. Correo - CVP - Reporte Información “Sistema de Rendición Electrónica de la Cuenta e Informes – SIRECI"/>
    <s v="2. Controles de los riesgos"/>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6-01T00:00:00"/>
    <x v="56"/>
    <m/>
    <m/>
    <m/>
    <m/>
    <m/>
    <m/>
    <m/>
    <m/>
    <m/>
    <m/>
    <m/>
    <m/>
    <s v="Reporte"/>
    <n v="3.0000000000000001E-3"/>
    <d v="2021-06-04T00:00:00"/>
    <s v="Ruta: \\10.216.160.201\control interno\2021\00. APOYO\03. Contratación\SISCOS 2021\5. Mayo_x000a__x000a_SisCo Andrea Sierra Ochoa_x000a_SisCo Carlos Andres Vargas_x000a_SiSco Joan Gaitan Ferrer_1_x000a_SiSco Joan Gaitan Ferrer_2_x000a_SiSco Kelly Serrano Rincón_x000a_SiSco Marcela Urrea Jaramillo_x000a_"/>
    <s v="Se tiene preparado hacer en julio"/>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6-01T00:00:00"/>
    <x v="57"/>
    <m/>
    <m/>
    <m/>
    <m/>
    <m/>
    <m/>
    <m/>
    <m/>
    <m/>
    <m/>
    <m/>
    <m/>
    <s v="Certificado"/>
    <n v="1E-3"/>
    <d v="2021-06-10T00:00:00"/>
    <s v="Ruta de evidencias del cargue de información de la cuenta mensual del mes de diciembre: \\10.216.160.201\control interno\2021\19.01 INF.  A  ENTID. DE CONTROL Y VIG\SIVICOF\CUENTA MENSUAL\05. mayo 2021"/>
    <s v="Se solicitó la información, se recibió, revisó y cargó al sistema sivicof. Se solicitó la publicación en la página web del certificado"/>
    <s v="Entrega a ente de control y copia en Control Interno"/>
    <n v="1E-3"/>
    <n v="0"/>
    <m/>
    <m/>
    <m/>
    <m/>
    <m/>
    <m/>
    <x v="0"/>
  </r>
  <r>
    <x v="2"/>
    <s v="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
    <x v="1"/>
    <s v="Seguimiento y Evaluación"/>
    <s v="Ivonne Andrea Torres Cruz_x000a_Asesora de Control Interno"/>
    <s v="Joan Gaitán Ferrer"/>
    <s v="Asesor de Control Interno"/>
    <d v="2021-06-01T00:00:00"/>
    <x v="58"/>
    <m/>
    <m/>
    <m/>
    <m/>
    <m/>
    <m/>
    <m/>
    <m/>
    <m/>
    <m/>
    <m/>
    <m/>
    <s v="Piezas comunicativas y presentación"/>
    <n v="1.0999999999999999E-2"/>
    <m/>
    <s v="Ruta: \\10.216.160.201\control interno\2021\19.04 INF.  DE GESTIÓN\HERRAMIENTAS\Doc SIG\04. piezas comunicativas_x000a__x000a_00. Principios de los auditores internos_x000a_01. Correo de Bogotá es TIC - Solicitud elaboración piezas _Principios de los Auditores Internos__x000a_02. 17 06 21 AuditoresMesa de trabajo  (1)_x000a_03. 17 06 21 AuditoresMesa de trabajo  (2)_x000a_04. 17 06 21 AuditoresMesa de trabajo  (3)_x000a_05. 17 06 21 AuditoresMesa de trabajo  (4)_x000a_"/>
    <s v="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_x000a__x000a_Adicionalmente, estas piezas serán difundidas en las pantallas de la Entidad. _x000a_"/>
    <s v="Ejecución de la acción planteada"/>
    <n v="8.7999999999999988E-3"/>
    <n v="2.2000000000000006E-3"/>
    <n v="7"/>
    <n v="44"/>
    <n v="29"/>
    <n v="0.65909090909090906"/>
    <n v="7.2499999999999995E-3"/>
    <n v="1.5499999999999993E-3"/>
    <x v="3"/>
  </r>
  <r>
    <x v="0"/>
    <s v="Informe presupuestal a Personería"/>
    <x v="0"/>
    <s v="Apoyo"/>
    <s v="Ivonne Andrea Torres Cruz_x000a_Asesora de Control Interno"/>
    <s v="Elizabeth Sáenz Sáenz"/>
    <s v="Subdirector Financiero"/>
    <d v="2021-06-04T00:00:00"/>
    <x v="57"/>
    <m/>
    <m/>
    <m/>
    <m/>
    <m/>
    <m/>
    <m/>
    <m/>
    <m/>
    <m/>
    <m/>
    <m/>
    <s v="Informe"/>
    <n v="1E-3"/>
    <d v="2021-06-10T00:00:00"/>
    <s v="Oficio 202111200077271- Informe Presupuestal mayo  2021 enviado por correo electrónico a la Personería el 10 de junio  2021"/>
    <s v="Oficio 202111200077271- Informe Presupuestal mayo  2021 enviado por correo electrónico a la Personería el 10 de junio  2021"/>
    <s v="Informe - Publicación (web,intranet y/o carpeta de calidad)"/>
    <n v="9.999999999999998E-4"/>
    <n v="0"/>
    <m/>
    <m/>
    <m/>
    <m/>
    <m/>
    <m/>
    <x v="0"/>
  </r>
  <r>
    <x v="3"/>
    <s v="Realizar seguimiento al Comité Institucional de Coordinación de Control Interno - CICCI (presentaciones, actas de comité, anexos y demás documentos) comité proyectado para el 22Jun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08T00:00:00"/>
    <x v="52"/>
    <m/>
    <m/>
    <m/>
    <m/>
    <m/>
    <m/>
    <m/>
    <m/>
    <m/>
    <m/>
    <m/>
    <m/>
    <s v="Acta"/>
    <n v="4.0000000000000001E-3"/>
    <m/>
    <s v="Ruta: \\10.216.160.201\control interno\2021\02.01 ACTAS COMITE C. I\04. 22Jun2021_x000a__x000a_00. 202111200041373 Sol de Info para el CICCI_x000a_01. 202111200041613 Sol presentación ejec pptal corte 18Jun2021_x000a_02. Correo RTA OAP  Inf. para Comité Institucional de Coordinación - C I CICCI_x000a_03. Correo Rta - 202111200041613 - Solicitud presentación de la ejecución presupuestal corte 18 de junio de 2021 –_x000a_04. 20210617_Presentacion Resultados FURAG 2020_v3_x000a_05. Resumen Riesgos Corte 30 de abril 2021_rvda_x000a_06. ACTA DE REUNION - DRH - 19 ABRIL DE 2021_x000a_07. ACTA DE REUNION - DUT - 22 ABRIL DE 2021_x000a_08. Presentación Ejecución Presupuestal a 18 JUNIO 2021_x000a_09. ACTA DE REUNION 05 MAYO DE 2021 COMPLEMENTADA_x000a_10. 20210621_Presentación Politica Riesgos_Junio 2021_x000a_11. 208-CI-Ft-04 Plan Anual de Auditorías 2021 V3 del 22Jun2021_x000a_12. Presentación Comité Control Interno 22Jun2021_x000a_13. Grabación CICCI 22Jun2021_1_x000a_14. Grabación CICCI 22Jun2021_2_x000a_15. Proyección acta 4ta reunión Comité de Control Interno 22Jun2021_x000a_16. 202111400048333 Justificación de inasistencia Convocatoria_x000a_"/>
    <s v="Se solicito mediante Oficio  202111200073691 Solicitud de información DAFP CICCI, con el fin de poder programar la sesión extraordinaria del CICCI donde se llevara acabo la revisión del Informe Final de la Auditoría de Notificaciones. _x000a__x000a_Se realizó la convocatoria a la cuarta sesión ordinaria del Comité CICCI mediante correo electrónico del día 10 de junio de 2021 para realizar el Comité el día 22 de junio de 2021._x000a__x000a_Se solicitó médiate Memorando 202111200041373 Solicitud de Información para el Comité Institucional de Coordinación de Control Interno CICCI correspondiente al FURAG y el estado de los riesgos de la Entidad._x000a__x000a_Se solicitó médiate Memorando 202111200041613 Solicitud presentación de la ejecución presupuestal corte 18 de junio de 2021._x000a__x000a_Se realizó la cuarta sesión del Comité Institucional de Coordinación de Control Interno el día 22 de junio de 2021 por la plataforma meet._x000a__x000a_Se elaboró la proyección del acta 4ta reunión Comité de Control Interno 22Jun2021 la cual se encuentra en revisión por parte de la Asesora de Control Interno para ser enviada a los integrantes del Comité._x000a_"/>
    <s v="Informe - Comunicación de envío"/>
    <n v="3.64E-3"/>
    <n v="3.6000000000000008E-4"/>
    <n v="7"/>
    <n v="35"/>
    <n v="22"/>
    <n v="0.62857142857142856"/>
    <n v="2.5142857142857141E-3"/>
    <n v="1.1257142857142859E-3"/>
    <x v="1"/>
  </r>
  <r>
    <x v="7"/>
    <s v="Auditoría Proceso de Mejoramiento de Barri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09T00:00:00"/>
    <x v="59"/>
    <m/>
    <m/>
    <m/>
    <m/>
    <m/>
    <m/>
    <m/>
    <m/>
    <m/>
    <m/>
    <m/>
    <m/>
    <s v="Informe"/>
    <n v="0.01"/>
    <d v="2021-06-23T00:00:00"/>
    <s v="Informe final remitido a la Directora de Mejoramiento de Barrios con memorando 202111200046743 del 23 de junio de 2021 y publicado en la página oficial de la CVP."/>
    <s v="Se desarrollaron las fases de planeación, ejecución y conclusiones de la Auditoría Interna al proceso de Mejoramiento de Barrios – Articulo 3 del Decreto 371 de 2010"/>
    <s v="Informe Final - Publicación (web,intranet y/o carpeta de calidad)"/>
    <n v="1.0000000000000002E-2"/>
    <n v="0"/>
    <m/>
    <m/>
    <m/>
    <m/>
    <m/>
    <m/>
    <x v="0"/>
  </r>
  <r>
    <x v="7"/>
    <s v="Auditoría Proceso de Mejoramiento de Barrios_x000a_Decreto 371 de 2010 - Artículo 2 - de los procesos de contratación en el distrito capital"/>
    <x v="7"/>
    <s v="Apoyo"/>
    <s v="Ivonne Andrea Torres Cruz_x000a_Asesora de Control Interno"/>
    <s v="Andrea Sierra Ochoa"/>
    <s v="Director de Gestión Corporativa y CID"/>
    <d v="2021-06-09T00:00:00"/>
    <x v="60"/>
    <m/>
    <m/>
    <m/>
    <m/>
    <m/>
    <m/>
    <m/>
    <m/>
    <m/>
    <m/>
    <m/>
    <m/>
    <s v="Informe"/>
    <n v="0.01"/>
    <m/>
    <s v="Toda la información de la auditoría se encuentra en la siguiente ruta:\\10.216.160.201\control interno\2021\19.03 INF. AUDITORIAS C. I\INTERNAS\05. MB\02. Dto 371 Art. 2\1. Planificación Auditoría_x000a_la informacion respecto ed la apertura de la auditoria se encuentra en la siguiente ruta:  \\10.216.160.201\control interno\2021\19.03 INF. AUDITORIAS C. I\INTERNAS\05. MB\02. Dto 371 Art. 2\1. Planificación Auditoría\1.4 Comunicacion de Apertura Aud"/>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
    <s v="Informe preliminar - Elaboración"/>
    <n v="7.1999999999999998E-3"/>
    <n v="2.8000000000000004E-3"/>
    <n v="7"/>
    <n v="37"/>
    <n v="21"/>
    <n v="0.56756756756756754"/>
    <n v="5.6756756756756758E-3"/>
    <n v="1.524324324324324E-3"/>
    <x v="1"/>
  </r>
  <r>
    <x v="7"/>
    <s v="Auditoría Proceso de Mejoramiento de Vivienda_x000a_Decreto 371 de 2010 - Artículo 2 - de los procesos de contratación en el distrito capital"/>
    <x v="7"/>
    <s v="Apoyo"/>
    <s v="Ivonne Andrea Torres Cruz_x000a_Asesora de Control Interno"/>
    <s v="Andrea Sierra Ochoa"/>
    <s v="Director de Gestión Corporativa y CID"/>
    <d v="2021-06-10T00:00:00"/>
    <x v="61"/>
    <m/>
    <m/>
    <m/>
    <m/>
    <m/>
    <m/>
    <m/>
    <m/>
    <m/>
    <m/>
    <m/>
    <m/>
    <s v="Informe"/>
    <n v="0.01"/>
    <m/>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
    <s v="Trabajo de campo - Análisis de Información"/>
    <n v="6.1999999999999998E-3"/>
    <n v="3.8000000000000004E-3"/>
    <n v="7"/>
    <n v="50"/>
    <n v="20"/>
    <n v="0.4"/>
    <n v="4.0000000000000001E-3"/>
    <n v="2.1999999999999997E-3"/>
    <x v="1"/>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6-15T00:00:00"/>
    <x v="62"/>
    <m/>
    <m/>
    <m/>
    <m/>
    <m/>
    <m/>
    <m/>
    <m/>
    <m/>
    <m/>
    <m/>
    <m/>
    <s v="Matriz"/>
    <n v="0.02"/>
    <m/>
    <s v="• Solicitud de información: Memo No. 202111200044703 del 18jun2021_x000a_• Consolidación de respuestas_x000a_• Matriz de seguimiento _x000a_\\10.216.160.201\control interno\2021\28.05 PM\EXTERNO\CONTRALORIA\07. I SEG 2021"/>
    <s v="Se inició con el seguimiento al plan de mejoramiento externo con memorando No. 202111200044703 del 18jun2021. Se realizó el seguimiento, está en consolidación el informe final."/>
    <s v="Trabajo de campo - Análisis de Información"/>
    <n v="1.3399999999999999E-2"/>
    <n v="6.6000000000000017E-3"/>
    <n v="7"/>
    <n v="24"/>
    <n v="15"/>
    <n v="0.625"/>
    <n v="1.2500000000000001E-2"/>
    <n v="8.9999999999999802E-4"/>
    <x v="1"/>
  </r>
  <r>
    <x v="6"/>
    <s v="Seguimiento al Plan de Mejoramiento Interno - Artículo 5 del Decreto 371 de 2010"/>
    <x v="2"/>
    <s v="Todos los Procesos"/>
    <s v="Ivonne Andrea Torres Cruz_x000a_Asesora de Control Interno"/>
    <s v="Kelly Serrano Rincón"/>
    <s v="Líderes de Cada Proceso"/>
    <d v="2021-06-15T00:00:00"/>
    <x v="62"/>
    <m/>
    <m/>
    <m/>
    <m/>
    <m/>
    <m/>
    <m/>
    <m/>
    <m/>
    <m/>
    <m/>
    <m/>
    <s v="Matriz"/>
    <n v="0.02"/>
    <m/>
    <s v="• Solicitud de información: Memo No. 202111200044703 del 18jun2021_x000a_• Consolidación de respuestas_x000a_• Matriz de seguimiento _x000a_• Informe de seguimiento_x000a_\\10.216.160.201\control interno\2021\28.05 PM\INTERNO\07. II_Seg_2021 corte 15Jun"/>
    <s v="Se inició con el seguimiento al plan de mejoramiento externo con memorando No. 202111200044703 del 18jun2021. Se realizó el seguimiento, está en consolidación el informe final."/>
    <s v="Trabajo de campo - Análisis de Información"/>
    <n v="1.3399999999999999E-2"/>
    <n v="6.6000000000000017E-3"/>
    <n v="7"/>
    <n v="24"/>
    <n v="15"/>
    <n v="0.625"/>
    <n v="1.2500000000000001E-2"/>
    <n v="8.9999999999999802E-4"/>
    <x v="1"/>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06-15T00:00:00"/>
    <x v="58"/>
    <m/>
    <m/>
    <m/>
    <m/>
    <m/>
    <m/>
    <m/>
    <m/>
    <m/>
    <m/>
    <m/>
    <m/>
    <s v="Informe"/>
    <n v="7.0000000000000001E-3"/>
    <m/>
    <s v="Ruta: \\10.216.160.201\control interno\2021\02.01 ACTAS COMITE C. I\00. Plan de trabajo CICCI\Encuesta estat y cod auditor 2021_x000a_01. Preguntas evalución estatuto y código de ética"/>
    <s v="Se realizaron las preguntas correspondientes a la evaluación del estatuto y código de ética del auditor "/>
    <s v="Diseño o planeación de la acción"/>
    <n v="7.000000000000001E-4"/>
    <n v="6.3E-3"/>
    <n v="7"/>
    <n v="30"/>
    <n v="15"/>
    <n v="0.5"/>
    <n v="3.5000000000000001E-3"/>
    <n v="-2.8E-3"/>
    <x v="3"/>
  </r>
  <r>
    <x v="7"/>
    <s v="Auditoría Proceso de Mejoramiento de Vivienda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16T00:00:00"/>
    <x v="60"/>
    <m/>
    <m/>
    <m/>
    <m/>
    <m/>
    <m/>
    <m/>
    <m/>
    <m/>
    <m/>
    <m/>
    <m/>
    <s v="Informe"/>
    <n v="0.01"/>
    <m/>
    <s v="Ruta interna de calidad: _x000a__x000a_\\10.216.160.201\control interno\2021\19.03 INF. AUDITORIAS C. I\INTERNAS\06. MV\03. Dto 371 Art.3 y Proced\1. Planificación\1.3 Plan de auditoría_x000a__x000a_Ruta interna de calidad: _x000a__x000a_\\10.216.160.201\control interno\2021\19.03 INF. AUDITORIAS C. I\INTERNAS\06. MV\03. Dto 371 Art.3 y Proced\1. Planificación\1.3 Plan de auditoría_x000a_"/>
    <s v="En relación con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A 30 de junio, se encuentra en proceso de determinación de la muestra de auditoria de auditoria las PQRSD recibidas por MV a 31 de mayo de 2021_x000a_Se realizó propuesta de Plan de Auditoría para la Auditoría interna al proceso de Mejoramiento de Vivienda – Decreto 371 de 2010 – Articulo 3 - Procedimientos. (24Jun2021)._x000a_"/>
    <s v="Planeación - Plan de auditoría"/>
    <n v="5.9999999999999995E-4"/>
    <n v="9.4000000000000004E-3"/>
    <n v="7"/>
    <n v="30"/>
    <n v="14"/>
    <n v="0.46666666666666667"/>
    <n v="4.6666666666666671E-3"/>
    <n v="-4.0666666666666672E-3"/>
    <x v="3"/>
  </r>
  <r>
    <x v="7"/>
    <s v="Auditoría Proceso de Mejoramiento de Vivienda_x000a_Expedientes del proceso - procedimientos del proceso"/>
    <x v="11"/>
    <s v="Misional"/>
    <s v="Ivonne Andrea Torres Cruz_x000a_Asesora de Control Interno"/>
    <s v="Marcela Urrea Jaramillo"/>
    <s v="Director de Mejoramiento de Vivienda"/>
    <d v="2021-06-16T00:00:00"/>
    <x v="60"/>
    <m/>
    <m/>
    <m/>
    <m/>
    <m/>
    <m/>
    <m/>
    <m/>
    <m/>
    <m/>
    <m/>
    <m/>
    <s v="Informe"/>
    <n v="0.01"/>
    <m/>
    <s v="Ruta interna de calidad:_x000a__x000a_\\10.216.160.201\control interno\2021\19.03 INF. AUDITORIAS C. I\INTERNAS\06. MV\03. Dto 371 Art.3 y Proced\2. Ejecución\Solicitudes de Inf. y Rptas_x000a_"/>
    <s v="Se realizó propuesta de Plan de Auditoría para la Auditoría interna al proceso de Mejoramiento de Barrios – Decreto 371 de 2010 – Articulo 3 - Procedimientos. (24Jun2021)._x000a_3. Se solicitó información a la DGC y OAP en el marco de la Auditoría Interna al proceso de Mejoramiento de Vivienda realizando las siguientes actividades:_x000a__x000a_- Solicitud de información a la Dirección de Gestión Corporativa con memorando 202111200046323 del 22 de junio de 2021._x000a__x000a_- Solicitud de información a la Oficina Asesora de Planeación con memorando 202111200046383 del 22 de junio de 2021._x000a__x000a_Se recibieron las respuestas y evidencias de la DGC con memorando 202117000046643 del 23 de junio de 2021 y la OAP con memorando 202111300047763 de 24 de junio de 2021._x000a_"/>
    <s v="Planeación - Plan de auditoría"/>
    <n v="5.9999999999999995E-4"/>
    <n v="9.4000000000000004E-3"/>
    <n v="7"/>
    <n v="30"/>
    <n v="14"/>
    <n v="0.46666666666666667"/>
    <n v="4.6666666666666671E-3"/>
    <n v="-4.0666666666666672E-3"/>
    <x v="3"/>
  </r>
  <r>
    <x v="3"/>
    <s v="Realizar seguimiento al Comité Institucional de Coordinación de Control Interno - CICCI (presentaciones, actas de comité, anexos y demás documentos) comité proyectado para el 07Jul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25T00:00:00"/>
    <x v="63"/>
    <m/>
    <m/>
    <m/>
    <m/>
    <m/>
    <m/>
    <m/>
    <m/>
    <m/>
    <m/>
    <m/>
    <m/>
    <s v="Acta"/>
    <n v="4.0000000000000001E-3"/>
    <m/>
    <s v="Ruta: \\10.216.160.201\control interno\2021\02.01 ACTAS COMITE C. I\05. 07Jul2021"/>
    <s v="Se realizó el Proyecto Convocatoria quinta sesión ordinaria del Comité Institucional de Coordinación de Control Interno - el 07 de julio 2021"/>
    <s v="Trabajo de campo"/>
    <n v="2.2400000000000002E-3"/>
    <n v="1.7599999999999998E-3"/>
    <n v="7"/>
    <n v="33"/>
    <n v="5"/>
    <n v="0.15151515151515152"/>
    <n v="6.0606060606060606E-4"/>
    <n v="1.6339393939393942E-3"/>
    <x v="1"/>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1-06-28T00:00:00"/>
    <x v="63"/>
    <m/>
    <m/>
    <m/>
    <m/>
    <m/>
    <m/>
    <m/>
    <m/>
    <m/>
    <m/>
    <m/>
    <m/>
    <s v="Matriz"/>
    <n v="1.4999999999999999E-2"/>
    <m/>
    <s v="• Proyecto de memo de solicitud de información_x000a_\\10.216.160.201\control interno\2021\19.04 INF.  DE GESTIÓN\EVALUACION SCI\01. I sem 2021\04. Seguimiento\00. Solicitud de información"/>
    <s v="Se está preparando el memo de solicitud de información y la matriz a enviar."/>
    <s v="Planeación del trabajo"/>
    <n v="2.2499999999999998E-3"/>
    <n v="1.2749999999999999E-2"/>
    <n v="7"/>
    <n v="30"/>
    <n v="2"/>
    <n v="6.6666666666666666E-2"/>
    <n v="1E-3"/>
    <n v="1.2499999999999998E-3"/>
    <x v="1"/>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6-29T00:00:00"/>
    <x v="64"/>
    <m/>
    <m/>
    <m/>
    <m/>
    <m/>
    <m/>
    <m/>
    <m/>
    <m/>
    <m/>
    <m/>
    <m/>
    <s v="Correo electrónico"/>
    <n v="1E-3"/>
    <m/>
    <s v="Ruta: \\10.216.160.201\control interno\2021\19.01 INF.  A  ENTID. DE CONTROL Y VIG\CGR SIRECI\06. May_x000a__x000a_00. 202111200039923 Solic Inf procesos penales por delitos contra la adm pública_x000a_01. MATRIZ DELITOS CONTRA LA ADMINISTRACIÓN P_x000a_02. ESCRITO ACUSACIÓN Oscar La Rotha Riaño_x000a_"/>
    <s v="Se solicitó mediante Memorando 202111200039923 Solicitud Información procesos penales por delitos contra la administración pública o que afecten los intereses patrimoniales del Estado a la Dirección Jurídica"/>
    <s v="Revisión de respuesta y soportes"/>
    <n v="8.0000000000000004E-4"/>
    <n v="1.9999999999999998E-4"/>
    <n v="7"/>
    <n v="3"/>
    <n v="1"/>
    <n v="0.33333333333333331"/>
    <n v="3.3333333333333332E-4"/>
    <n v="4.6666666666666672E-4"/>
    <x v="1"/>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6-29T00:00:00"/>
    <x v="64"/>
    <m/>
    <m/>
    <m/>
    <m/>
    <m/>
    <m/>
    <m/>
    <m/>
    <m/>
    <m/>
    <m/>
    <m/>
    <s v="Matriz"/>
    <n v="3.0000000000000001E-3"/>
    <m/>
    <s v="Ruta del FUSS: \\10.216.160.201\control interno\2021\19.04 INF.  DE GESTIÓN\HERRAMIENTAS\FUSS- P I 7696_x000a_Ruta del PAA: \\10.216.160.201\control interno\2021\28.03 PAA"/>
    <s v="Se realizó el seguimiento al Plan Anual de Auditorías con corte al 30 de Junio con el fin de poder tener los insumos necesarios para reportar el Formato Unico de Seguimiento Sectorial FUSS y enviarlo a la Dirección de Gestión Corporativa. "/>
    <s v="Ejecución de la acción planteada"/>
    <n v="2.3999999999999998E-3"/>
    <n v="6.0000000000000027E-4"/>
    <n v="7"/>
    <n v="3"/>
    <n v="1"/>
    <n v="0.33333333333333331"/>
    <n v="1E-3"/>
    <n v="1.3999999999999998E-3"/>
    <x v="1"/>
  </r>
  <r>
    <x v="2"/>
    <s v="Trámite de cuentas de ACI"/>
    <x v="1"/>
    <s v="Seguimiento y Evaluación"/>
    <s v="Ivonne Andrea Torres Cruz_x000a_Asesora de Control Interno"/>
    <s v="Joan Gaitán Ferrer"/>
    <s v="Asesor de Control Interno"/>
    <d v="2021-07-01T00:00:00"/>
    <x v="65"/>
    <m/>
    <m/>
    <m/>
    <m/>
    <m/>
    <m/>
    <m/>
    <m/>
    <m/>
    <m/>
    <m/>
    <m/>
    <s v="Reporte"/>
    <n v="3.0000000000000001E-3"/>
    <m/>
    <m/>
    <m/>
    <m/>
    <n v="0"/>
    <n v="3.0000000000000001E-3"/>
    <n v="7"/>
    <n v="6"/>
    <n v="-1"/>
    <n v="-0.16666666666666666"/>
    <n v="-5.0000000000000001E-4"/>
    <n v="5.0000000000000001E-4"/>
    <x v="4"/>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7-01T00:00:00"/>
    <x v="66"/>
    <m/>
    <m/>
    <m/>
    <m/>
    <m/>
    <m/>
    <m/>
    <m/>
    <m/>
    <m/>
    <m/>
    <m/>
    <s v="Matriz"/>
    <n v="4.0000000000000001E-3"/>
    <m/>
    <m/>
    <m/>
    <m/>
    <n v="0"/>
    <n v="4.0000000000000001E-3"/>
    <n v="7"/>
    <n v="7"/>
    <n v="-1"/>
    <n v="-0.14285714285714285"/>
    <n v="-5.7142857142857136E-4"/>
    <n v="5.7142857142857136E-4"/>
    <x v="4"/>
  </r>
  <r>
    <x v="0"/>
    <s v="Revisión del informe de gestión judicial, según los términos del Artículo 30 de la Resolución 104 de 2018"/>
    <x v="3"/>
    <s v="Estratégico"/>
    <s v="Ivonne Andrea Torres Cruz_x000a_Asesora de Control Interno"/>
    <s v="Andrea Sierra Ochoa"/>
    <s v="Director Jurídico "/>
    <d v="2021-07-01T00:00:00"/>
    <x v="62"/>
    <m/>
    <m/>
    <m/>
    <m/>
    <m/>
    <m/>
    <m/>
    <m/>
    <m/>
    <m/>
    <m/>
    <m/>
    <s v="Informe"/>
    <n v="2.5000000000000001E-3"/>
    <m/>
    <m/>
    <m/>
    <m/>
    <n v="0"/>
    <n v="2.5000000000000001E-3"/>
    <n v="7"/>
    <n v="8"/>
    <n v="-1"/>
    <n v="-0.125"/>
    <n v="-3.1250000000000001E-4"/>
    <n v="3.1250000000000001E-4"/>
    <x v="4"/>
  </r>
  <r>
    <x v="4"/>
    <s v="Informe cuenta mensual SIVICOF"/>
    <x v="0"/>
    <s v="Apoyo"/>
    <s v="Ivonne Andrea Torres Cruz_x000a_Asesora de Control Interno"/>
    <s v="Carlos Vargas Hernández"/>
    <s v="Subdirector Financiero"/>
    <d v="2021-07-01T00:00:00"/>
    <x v="67"/>
    <m/>
    <m/>
    <m/>
    <m/>
    <m/>
    <m/>
    <m/>
    <m/>
    <m/>
    <m/>
    <m/>
    <m/>
    <s v="Certificado"/>
    <n v="1E-3"/>
    <m/>
    <m/>
    <m/>
    <m/>
    <n v="0"/>
    <n v="1E-3"/>
    <n v="7"/>
    <n v="11"/>
    <n v="-1"/>
    <n v="-9.0909090909090912E-2"/>
    <n v="-9.0909090909090917E-5"/>
    <n v="9.0909090909090917E-5"/>
    <x v="4"/>
  </r>
  <r>
    <x v="0"/>
    <s v="Informe presupuestal a Personería"/>
    <x v="0"/>
    <s v="Apoyo"/>
    <s v="Ivonne Andrea Torres Cruz_x000a_Asesora de Control Interno"/>
    <s v="Elizabeth Sáenz Sáenz"/>
    <s v="Subdirector Financiero"/>
    <d v="2021-07-01T00:00:00"/>
    <x v="67"/>
    <m/>
    <m/>
    <m/>
    <m/>
    <m/>
    <m/>
    <m/>
    <m/>
    <m/>
    <m/>
    <m/>
    <m/>
    <s v="Informe"/>
    <n v="1E-3"/>
    <m/>
    <m/>
    <m/>
    <m/>
    <n v="0"/>
    <n v="1E-3"/>
    <n v="7"/>
    <n v="11"/>
    <n v="-1"/>
    <n v="-9.0909090909090912E-2"/>
    <n v="-9.0909090909090917E-5"/>
    <n v="9.0909090909090917E-5"/>
    <x v="4"/>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7-01T00:00:00"/>
    <x v="68"/>
    <m/>
    <m/>
    <m/>
    <m/>
    <m/>
    <m/>
    <m/>
    <m/>
    <m/>
    <m/>
    <m/>
    <m/>
    <s v="Informe"/>
    <n v="7.4999999999999997E-3"/>
    <m/>
    <m/>
    <m/>
    <m/>
    <n v="0"/>
    <n v="7.4999999999999997E-3"/>
    <n v="7"/>
    <n v="22"/>
    <n v="-1"/>
    <n v="-4.5454545454545456E-2"/>
    <n v="-3.4090909090909088E-4"/>
    <n v="3.4090909090909088E-4"/>
    <x v="4"/>
  </r>
  <r>
    <x v="7"/>
    <s v="Informe PQR's - Ley 1474 de 2011"/>
    <x v="5"/>
    <s v="Misional"/>
    <s v="Ivonne Andrea Torres Cruz_x000a_Asesora de Control Interno"/>
    <s v="Marcela Urrea Jaramillo"/>
    <s v="Director de Gestión Corporativa y CID"/>
    <d v="2021-07-01T00:00:00"/>
    <x v="63"/>
    <m/>
    <m/>
    <m/>
    <m/>
    <m/>
    <m/>
    <m/>
    <m/>
    <m/>
    <m/>
    <m/>
    <m/>
    <s v="Informe"/>
    <n v="4.8500000000000001E-3"/>
    <m/>
    <m/>
    <m/>
    <m/>
    <n v="0"/>
    <n v="4.8500000000000001E-3"/>
    <n v="7"/>
    <n v="27"/>
    <n v="-1"/>
    <n v="-3.7037037037037035E-2"/>
    <n v="-1.7962962962962963E-4"/>
    <n v="1.7962962962962963E-4"/>
    <x v="4"/>
  </r>
  <r>
    <x v="0"/>
    <s v="Revisión por la Dirección ISO 9001:2015 - información a cargo de control interno"/>
    <x v="8"/>
    <s v="Estratégico"/>
    <s v="Ivonne Andrea Torres Cruz_x000a_Asesora de Control Interno"/>
    <s v="Joan Gaitán Ferrer"/>
    <s v="Jefe Oficina Asesora de Planeación "/>
    <d v="2021-07-12T00:00:00"/>
    <x v="69"/>
    <m/>
    <m/>
    <m/>
    <m/>
    <m/>
    <m/>
    <m/>
    <m/>
    <m/>
    <m/>
    <m/>
    <m/>
    <s v="Informe"/>
    <n v="0.01"/>
    <m/>
    <m/>
    <m/>
    <m/>
    <n v="0"/>
    <n v="0.01"/>
    <n v="7"/>
    <n v="14"/>
    <n v="-12"/>
    <n v="-0.8571428571428571"/>
    <n v="-8.5714285714285719E-3"/>
    <n v="8.5714285714285719E-3"/>
    <x v="4"/>
  </r>
  <r>
    <x v="5"/>
    <s v="Realizar los trámites pertinentes para lograr el cierre de los expedientes contractuales de los contratistas supervisados por control interno, cuya garantía ya haya vencido"/>
    <x v="1"/>
    <s v="Seguimiento y Evaluación"/>
    <s v="Ivonne Andrea Torres Cruz_x000a_Asesora de Control Interno"/>
    <s v="Andrea Sierra Ochoa"/>
    <s v="Asesor de Control Interno"/>
    <d v="2021-07-19T00:00:00"/>
    <x v="70"/>
    <m/>
    <m/>
    <m/>
    <m/>
    <m/>
    <m/>
    <m/>
    <m/>
    <m/>
    <m/>
    <m/>
    <m/>
    <s v="Acta"/>
    <n v="1.4999999999999999E-2"/>
    <m/>
    <m/>
    <m/>
    <m/>
    <n v="0"/>
    <n v="1.4999999999999999E-2"/>
    <n v="8"/>
    <n v="25"/>
    <n v="-19"/>
    <n v="-0.76"/>
    <n v="-1.14E-2"/>
    <n v="1.14E-2"/>
    <x v="4"/>
  </r>
  <r>
    <x v="3"/>
    <s v="Realizar seguimiento al Comité Institucional de Coordinación de Control Interno - CICCI (presentaciones, actas de comité, anexos y demás documentos) comité proyectado para el 10Ago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7-26T00:00:00"/>
    <x v="71"/>
    <m/>
    <m/>
    <m/>
    <m/>
    <m/>
    <m/>
    <m/>
    <m/>
    <m/>
    <m/>
    <m/>
    <m/>
    <s v="Acta"/>
    <n v="4.0000000000000001E-3"/>
    <m/>
    <m/>
    <m/>
    <m/>
    <n v="0"/>
    <n v="4.0000000000000001E-3"/>
    <n v="8"/>
    <n v="25"/>
    <n v="-26"/>
    <n v="-1.04"/>
    <n v="-4.1600000000000005E-3"/>
    <n v="4.1600000000000005E-3"/>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7-28T00:00:00"/>
    <x v="72"/>
    <m/>
    <m/>
    <m/>
    <m/>
    <m/>
    <m/>
    <m/>
    <m/>
    <m/>
    <m/>
    <m/>
    <m/>
    <s v="Matriz"/>
    <n v="3.0000000000000001E-3"/>
    <m/>
    <m/>
    <m/>
    <m/>
    <n v="0"/>
    <n v="3.0000000000000001E-3"/>
    <n v="8"/>
    <n v="6"/>
    <n v="-28"/>
    <n v="-4.666666666666667"/>
    <n v="-1.4000000000000002E-2"/>
    <n v="1.4000000000000002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7-29T00:00:00"/>
    <x v="72"/>
    <m/>
    <m/>
    <m/>
    <m/>
    <m/>
    <m/>
    <m/>
    <m/>
    <m/>
    <m/>
    <m/>
    <m/>
    <s v="Correo electrónico"/>
    <n v="1E-3"/>
    <m/>
    <m/>
    <m/>
    <m/>
    <n v="0"/>
    <n v="1E-3"/>
    <n v="8"/>
    <n v="5"/>
    <n v="-29"/>
    <n v="-5.8"/>
    <n v="-5.7999999999999996E-3"/>
    <n v="5.7999999999999996E-3"/>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07-29T00:00:00"/>
    <x v="73"/>
    <m/>
    <m/>
    <m/>
    <m/>
    <m/>
    <m/>
    <m/>
    <m/>
    <m/>
    <m/>
    <m/>
    <m/>
    <s v="Matriz"/>
    <n v="5.0000000000000001E-3"/>
    <m/>
    <m/>
    <m/>
    <m/>
    <n v="0"/>
    <n v="5.0000000000000001E-3"/>
    <n v="8"/>
    <n v="13"/>
    <n v="-29"/>
    <n v="-2.2307692307692308"/>
    <n v="-1.1153846153846155E-2"/>
    <n v="1.1153846153846155E-2"/>
    <x v="4"/>
  </r>
  <r>
    <x v="4"/>
    <s v="Atención Auditoría de Desempeño 1: Cód 60: Proyecto La Arboleda Santa Teresita - Contrato de obra civil CPS -PCVN--3-1-30589-045/2015, suscrito con la Fiduciaria Bogotá y Odicco Ltda."/>
    <x v="10"/>
    <s v="Misional"/>
    <s v="Ivonne Andrea Torres Cruz_x000a_Asesora de Control Interno"/>
    <s v="Carlos Vargas Hernández"/>
    <s v="Director de Urbanizaciones y Titulación"/>
    <d v="2021-07-30T00:00:00"/>
    <x v="74"/>
    <m/>
    <m/>
    <m/>
    <m/>
    <m/>
    <m/>
    <m/>
    <m/>
    <m/>
    <m/>
    <m/>
    <m/>
    <s v="Correo electrónico - Oficios"/>
    <n v="0.01"/>
    <m/>
    <m/>
    <m/>
    <m/>
    <n v="0"/>
    <n v="0.01"/>
    <n v="10"/>
    <n v="88"/>
    <n v="-30"/>
    <n v="-0.34090909090909088"/>
    <n v="-3.4090909090909089E-3"/>
    <n v="3.4090909090909089E-3"/>
    <x v="4"/>
  </r>
  <r>
    <x v="2"/>
    <s v="Trámite de cuentas de ACI"/>
    <x v="1"/>
    <s v="Seguimiento y Evaluación"/>
    <s v="Ivonne Andrea Torres Cruz_x000a_Asesora de Control Interno"/>
    <s v="Joan Gaitán Ferrer"/>
    <s v="Asesor de Control Interno"/>
    <d v="2021-08-02T00:00:00"/>
    <x v="75"/>
    <m/>
    <m/>
    <m/>
    <m/>
    <m/>
    <m/>
    <m/>
    <m/>
    <m/>
    <m/>
    <m/>
    <m/>
    <s v="Reporte"/>
    <n v="3.0000000000000001E-3"/>
    <m/>
    <m/>
    <m/>
    <m/>
    <n v="0"/>
    <n v="3.0000000000000001E-3"/>
    <n v="8"/>
    <n v="3"/>
    <n v="-33"/>
    <n v="-11"/>
    <n v="-3.3000000000000002E-2"/>
    <n v="3.3000000000000002E-2"/>
    <x v="4"/>
  </r>
  <r>
    <x v="4"/>
    <s v="Informe cuenta mensual SIVICOF"/>
    <x v="7"/>
    <s v="Apoyo"/>
    <s v="Ivonne Andrea Torres Cruz_x000a_Asesora de Control Interno"/>
    <s v="Carlos Vargas Hernández"/>
    <s v="Director de Gestión Corporativa y CID"/>
    <d v="2021-08-02T00:00:00"/>
    <x v="76"/>
    <m/>
    <m/>
    <m/>
    <m/>
    <m/>
    <m/>
    <m/>
    <m/>
    <m/>
    <m/>
    <m/>
    <m/>
    <s v="Certificado"/>
    <n v="1E-3"/>
    <m/>
    <m/>
    <m/>
    <m/>
    <n v="0"/>
    <n v="1E-3"/>
    <n v="8"/>
    <n v="8"/>
    <n v="-33"/>
    <n v="-4.125"/>
    <n v="-4.1250000000000002E-3"/>
    <n v="4.1250000000000002E-3"/>
    <x v="4"/>
  </r>
  <r>
    <x v="0"/>
    <s v="Informe presupuestal a Personería"/>
    <x v="0"/>
    <s v="Apoyo"/>
    <s v="Ivonne Andrea Torres Cruz_x000a_Asesora de Control Interno"/>
    <s v="Elizabeth Sáenz Sáenz"/>
    <s v="Subdirector Financiero"/>
    <d v="2021-08-02T00:00:00"/>
    <x v="76"/>
    <m/>
    <m/>
    <m/>
    <m/>
    <m/>
    <m/>
    <m/>
    <m/>
    <m/>
    <m/>
    <m/>
    <m/>
    <s v="Informe"/>
    <n v="1E-3"/>
    <m/>
    <m/>
    <m/>
    <m/>
    <n v="0"/>
    <n v="1E-3"/>
    <n v="8"/>
    <n v="8"/>
    <n v="-33"/>
    <n v="-4.125"/>
    <n v="-4.1250000000000002E-3"/>
    <n v="4.1250000000000002E-3"/>
    <x v="4"/>
  </r>
  <r>
    <x v="0"/>
    <s v="Informe de seguimiento a la Sostenibilidad Contable - Resolución DDC-00003 del 05 de diciembre de 2018 - corte al 30Jun2021"/>
    <x v="0"/>
    <s v="Apoyo"/>
    <s v="Ivonne Andrea Torres Cruz_x000a_Asesora de Control Interno"/>
    <s v="Marcela Urrea Jaramillo"/>
    <s v="Subdirector Financiero"/>
    <d v="2021-08-02T00:00:00"/>
    <x v="71"/>
    <m/>
    <m/>
    <m/>
    <m/>
    <m/>
    <m/>
    <m/>
    <m/>
    <m/>
    <m/>
    <m/>
    <m/>
    <s v="Informe"/>
    <n v="3.0000000000000001E-3"/>
    <m/>
    <m/>
    <m/>
    <m/>
    <n v="0"/>
    <n v="3.0000000000000001E-3"/>
    <n v="8"/>
    <n v="18"/>
    <n v="-33"/>
    <n v="-1.8333333333333333"/>
    <n v="-5.4999999999999997E-3"/>
    <n v="5.4999999999999997E-3"/>
    <x v="4"/>
  </r>
  <r>
    <x v="2"/>
    <s v="Realizar evaluación parcial 2021 de mitad de año planta fija"/>
    <x v="1"/>
    <s v="Seguimiento y Evaluación"/>
    <s v="Ivonne Andrea Torres Cruz_x000a_Asesora de Control Interno"/>
    <s v="Elizabeth Sáenz Sáenz"/>
    <s v="Asesor de Control Interno"/>
    <d v="2021-08-02T00:00:00"/>
    <x v="71"/>
    <m/>
    <m/>
    <m/>
    <m/>
    <m/>
    <m/>
    <m/>
    <m/>
    <m/>
    <m/>
    <m/>
    <m/>
    <s v="Certificado"/>
    <n v="1E-3"/>
    <m/>
    <m/>
    <m/>
    <m/>
    <n v="0"/>
    <n v="1E-3"/>
    <n v="8"/>
    <n v="18"/>
    <n v="-33"/>
    <n v="-1.8333333333333333"/>
    <n v="-1.8333333333333333E-3"/>
    <n v="1.8333333333333333E-3"/>
    <x v="4"/>
  </r>
  <r>
    <x v="1"/>
    <s v="Seguimiento al Comité de Conciliación del 01Ene2020 al 30Jun2021"/>
    <x v="3"/>
    <s v="Estratégico"/>
    <s v="Ivonne Andrea Torres Cruz_x000a_Asesora de Control Interno"/>
    <s v="Andrea Sierra Ochoa"/>
    <s v="Director Jurídico "/>
    <d v="2021-08-17T00:00:00"/>
    <x v="77"/>
    <m/>
    <m/>
    <m/>
    <m/>
    <m/>
    <m/>
    <m/>
    <m/>
    <m/>
    <m/>
    <m/>
    <m/>
    <s v="Informe"/>
    <n v="5.0000000000000001E-3"/>
    <m/>
    <m/>
    <m/>
    <m/>
    <n v="0"/>
    <n v="5.0000000000000001E-3"/>
    <n v="9"/>
    <n v="43"/>
    <n v="-48"/>
    <n v="-1.1162790697674418"/>
    <n v="-5.5813953488372094E-3"/>
    <n v="5.5813953488372094E-3"/>
    <x v="4"/>
  </r>
  <r>
    <x v="1"/>
    <s v="Seguimiento Matriz de riesgos de corrupción y por proceso 2021"/>
    <x v="2"/>
    <s v="Todos los Procesos"/>
    <s v="Ivonne Andrea Torres Cruz_x000a_Asesora de Control Interno"/>
    <s v="Kelly Serrano Rincón"/>
    <s v="Líderes de Cada Proceso"/>
    <d v="2021-08-25T00:00:00"/>
    <x v="78"/>
    <m/>
    <m/>
    <m/>
    <m/>
    <m/>
    <m/>
    <m/>
    <m/>
    <m/>
    <m/>
    <m/>
    <m/>
    <s v="Informe"/>
    <n v="1.6E-2"/>
    <m/>
    <m/>
    <m/>
    <m/>
    <n v="0"/>
    <n v="1.6E-2"/>
    <n v="9"/>
    <n v="20"/>
    <n v="-56"/>
    <n v="-2.8"/>
    <n v="-4.48E-2"/>
    <n v="4.48E-2"/>
    <x v="4"/>
  </r>
  <r>
    <x v="1"/>
    <s v="Seguimiento Plan Anticorrupción y de Atención al Ciudadano 2021. Decreto 124 de 2016"/>
    <x v="2"/>
    <s v="Todos los Procesos"/>
    <s v="Ivonne Andrea Torres Cruz_x000a_Asesora de Control Interno"/>
    <s v="Kelly Serrano Rincón"/>
    <s v="Líderes de Cada Proceso"/>
    <d v="2021-08-25T00:00:00"/>
    <x v="78"/>
    <m/>
    <m/>
    <m/>
    <m/>
    <m/>
    <m/>
    <m/>
    <m/>
    <m/>
    <m/>
    <m/>
    <m/>
    <s v="Informe"/>
    <n v="1.4999999999999999E-2"/>
    <m/>
    <m/>
    <m/>
    <m/>
    <n v="0"/>
    <n v="1.4999999999999999E-2"/>
    <n v="9"/>
    <n v="20"/>
    <n v="-56"/>
    <n v="-2.8"/>
    <n v="-4.1999999999999996E-2"/>
    <n v="4.1999999999999996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8-27T00:00:00"/>
    <x v="79"/>
    <m/>
    <m/>
    <m/>
    <m/>
    <m/>
    <m/>
    <m/>
    <m/>
    <m/>
    <m/>
    <m/>
    <m/>
    <s v="Matriz"/>
    <n v="3.0000000000000001E-3"/>
    <m/>
    <m/>
    <m/>
    <m/>
    <n v="0"/>
    <n v="3.0000000000000001E-3"/>
    <n v="9"/>
    <n v="6"/>
    <n v="-58"/>
    <n v="-9.6666666666666661"/>
    <n v="-2.8999999999999998E-2"/>
    <n v="2.8999999999999998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8-30T00:00:00"/>
    <x v="79"/>
    <m/>
    <m/>
    <m/>
    <m/>
    <m/>
    <m/>
    <m/>
    <m/>
    <m/>
    <m/>
    <m/>
    <m/>
    <s v="Correo electrónico"/>
    <n v="1E-3"/>
    <m/>
    <m/>
    <m/>
    <m/>
    <n v="0"/>
    <n v="1E-3"/>
    <n v="9"/>
    <n v="3"/>
    <n v="-61"/>
    <n v="-20.333333333333332"/>
    <n v="-2.0333333333333332E-2"/>
    <n v="2.0333333333333332E-2"/>
    <x v="4"/>
  </r>
  <r>
    <x v="2"/>
    <s v="Trámite de cuentas de ACI"/>
    <x v="1"/>
    <s v="Seguimiento y Evaluación"/>
    <s v="Ivonne Andrea Torres Cruz_x000a_Asesora de Control Interno"/>
    <s v="Joan Gaitán Ferrer"/>
    <s v="Asesor de Control Interno"/>
    <d v="2021-09-01T00:00:00"/>
    <x v="80"/>
    <m/>
    <m/>
    <m/>
    <m/>
    <m/>
    <m/>
    <m/>
    <m/>
    <m/>
    <m/>
    <m/>
    <m/>
    <s v="Reporte"/>
    <n v="3.0000000000000001E-3"/>
    <m/>
    <m/>
    <m/>
    <m/>
    <n v="0"/>
    <n v="3.0000000000000001E-3"/>
    <n v="9"/>
    <n v="5"/>
    <n v="-63"/>
    <n v="-12.6"/>
    <n v="-3.78E-2"/>
    <n v="3.78E-2"/>
    <x v="4"/>
  </r>
  <r>
    <x v="4"/>
    <s v="Informe cuenta mensual SIVICOF"/>
    <x v="0"/>
    <s v="Apoyo"/>
    <s v="Ivonne Andrea Torres Cruz_x000a_Asesora de Control Interno"/>
    <s v="Carlos Vargas Hernández"/>
    <s v="Subdirector Financiero"/>
    <d v="2021-09-01T00:00:00"/>
    <x v="81"/>
    <m/>
    <m/>
    <m/>
    <m/>
    <m/>
    <m/>
    <m/>
    <m/>
    <m/>
    <m/>
    <m/>
    <m/>
    <s v="Certificado"/>
    <n v="1E-3"/>
    <m/>
    <m/>
    <m/>
    <m/>
    <n v="0"/>
    <n v="1E-3"/>
    <n v="9"/>
    <n v="8"/>
    <n v="-63"/>
    <n v="-7.875"/>
    <n v="-7.8750000000000001E-3"/>
    <n v="7.8750000000000001E-3"/>
    <x v="4"/>
  </r>
  <r>
    <x v="0"/>
    <s v="Informe presupuestal a Personería"/>
    <x v="0"/>
    <s v="Apoyo"/>
    <s v="Ivonne Andrea Torres Cruz_x000a_Asesora de Control Interno"/>
    <s v="Elizabeth Sáenz Sáenz"/>
    <s v="Subdirector Financiero"/>
    <d v="2021-09-01T00:00:00"/>
    <x v="81"/>
    <m/>
    <m/>
    <m/>
    <m/>
    <m/>
    <m/>
    <m/>
    <m/>
    <m/>
    <m/>
    <m/>
    <m/>
    <s v="Informe"/>
    <n v="1E-3"/>
    <m/>
    <m/>
    <m/>
    <m/>
    <n v="0"/>
    <n v="1E-3"/>
    <n v="9"/>
    <n v="8"/>
    <n v="-63"/>
    <n v="-7.875"/>
    <n v="-7.8750000000000001E-3"/>
    <n v="7.8750000000000001E-3"/>
    <x v="4"/>
  </r>
  <r>
    <x v="7"/>
    <s v="Auditoría Proceso de Reasentamientos Humanos_x000a_Cumplimiento metas del PDD y Proyecto de inversión - Presupuesto - FUSS - Plan Anual de Adquisidores - Indicadores"/>
    <x v="13"/>
    <s v="Misional"/>
    <s v="Ivonne Andrea Torres Cruz_x000a_Asesora de Control Interno"/>
    <s v="Carlos Vargas Hernández"/>
    <s v="Director de Reasentamientos Humanos"/>
    <d v="2021-09-01T00:00:00"/>
    <x v="54"/>
    <m/>
    <m/>
    <m/>
    <m/>
    <m/>
    <m/>
    <m/>
    <m/>
    <m/>
    <m/>
    <m/>
    <m/>
    <s v="Informe"/>
    <n v="1.4999999999999999E-2"/>
    <m/>
    <m/>
    <m/>
    <m/>
    <n v="0"/>
    <n v="1.4999999999999999E-2"/>
    <n v="9"/>
    <n v="29"/>
    <n v="-63"/>
    <n v="-2.1724137931034484"/>
    <n v="-3.2586206896551728E-2"/>
    <n v="3.2586206896551728E-2"/>
    <x v="4"/>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9-15T00:00:00"/>
    <x v="82"/>
    <m/>
    <m/>
    <m/>
    <m/>
    <m/>
    <m/>
    <m/>
    <m/>
    <m/>
    <m/>
    <m/>
    <m/>
    <s v="Reporte"/>
    <n v="5.0000000000000001E-3"/>
    <m/>
    <m/>
    <m/>
    <m/>
    <n v="0"/>
    <n v="5.0000000000000001E-3"/>
    <n v="9"/>
    <n v="6"/>
    <n v="-77"/>
    <n v="-12.833333333333334"/>
    <n v="-6.4166666666666677E-2"/>
    <n v="6.4166666666666677E-2"/>
    <x v="4"/>
  </r>
  <r>
    <x v="5"/>
    <s v="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
    <x v="1"/>
    <s v="Seguimiento y Evaluación"/>
    <s v="Ivonne Andrea Torres Cruz_x000a_Asesora de Control Interno"/>
    <s v="Andrea Sierra Ochoa"/>
    <s v="Asesor de Control Interno"/>
    <d v="2021-09-15T00:00:00"/>
    <x v="83"/>
    <m/>
    <m/>
    <m/>
    <m/>
    <m/>
    <m/>
    <m/>
    <m/>
    <m/>
    <m/>
    <m/>
    <m/>
    <s v="Reporte"/>
    <n v="0.01"/>
    <m/>
    <m/>
    <m/>
    <m/>
    <n v="0"/>
    <n v="0.01"/>
    <n v="10"/>
    <n v="30"/>
    <n v="-77"/>
    <n v="-2.5666666666666669"/>
    <n v="-2.5666666666666671E-2"/>
    <n v="2.5666666666666671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9-28T00:00:00"/>
    <x v="84"/>
    <m/>
    <m/>
    <m/>
    <m/>
    <m/>
    <m/>
    <m/>
    <m/>
    <m/>
    <m/>
    <m/>
    <m/>
    <s v="Matriz"/>
    <n v="3.0000000000000001E-3"/>
    <m/>
    <m/>
    <m/>
    <m/>
    <n v="0"/>
    <n v="3.0000000000000001E-3"/>
    <n v="10"/>
    <n v="6"/>
    <n v="-90"/>
    <n v="-15"/>
    <n v="-4.4999999999999998E-2"/>
    <n v="4.4999999999999998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9-29T00:00:00"/>
    <x v="84"/>
    <m/>
    <m/>
    <m/>
    <m/>
    <m/>
    <m/>
    <m/>
    <m/>
    <m/>
    <m/>
    <m/>
    <m/>
    <s v="Correo electrónico"/>
    <n v="1E-3"/>
    <m/>
    <m/>
    <m/>
    <m/>
    <n v="0"/>
    <n v="1E-3"/>
    <n v="10"/>
    <n v="5"/>
    <n v="-91"/>
    <n v="-18.2"/>
    <n v="-1.8200000000000001E-2"/>
    <n v="1.8200000000000001E-2"/>
    <x v="4"/>
  </r>
  <r>
    <x v="2"/>
    <s v="Trámite de cuentas de ACI"/>
    <x v="1"/>
    <s v="Seguimiento y Evaluación"/>
    <s v="Ivonne Andrea Torres Cruz_x000a_Asesora de Control Interno"/>
    <s v="Joan Gaitán Ferrer"/>
    <s v="Asesor de Control Interno"/>
    <d v="2021-10-01T00:00:00"/>
    <x v="85"/>
    <m/>
    <m/>
    <m/>
    <m/>
    <m/>
    <m/>
    <m/>
    <m/>
    <m/>
    <m/>
    <m/>
    <m/>
    <s v="Reporte"/>
    <n v="3.0000000000000001E-3"/>
    <m/>
    <m/>
    <m/>
    <m/>
    <n v="0"/>
    <n v="3.0000000000000001E-3"/>
    <n v="10"/>
    <n v="5"/>
    <n v="-93"/>
    <n v="-18.600000000000001"/>
    <n v="-5.5800000000000002E-2"/>
    <n v="5.5800000000000002E-2"/>
    <x v="4"/>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10-01T00:00:00"/>
    <x v="86"/>
    <m/>
    <m/>
    <m/>
    <m/>
    <m/>
    <m/>
    <m/>
    <m/>
    <m/>
    <m/>
    <m/>
    <m/>
    <s v="Matriz"/>
    <n v="4.0000000000000001E-3"/>
    <m/>
    <m/>
    <m/>
    <m/>
    <n v="0"/>
    <n v="4.0000000000000001E-3"/>
    <n v="10"/>
    <n v="6"/>
    <n v="-93"/>
    <n v="-15.5"/>
    <n v="-6.2E-2"/>
    <n v="6.2E-2"/>
    <x v="4"/>
  </r>
  <r>
    <x v="4"/>
    <s v="Informe cuenta mensual SIVICOF"/>
    <x v="7"/>
    <s v="Apoyo"/>
    <s v="Ivonne Andrea Torres Cruz_x000a_Asesora de Control Interno"/>
    <s v="Carlos Vargas Hernández"/>
    <s v="Director de Gestión Corporativa y CID"/>
    <d v="2021-10-01T00:00:00"/>
    <x v="87"/>
    <m/>
    <m/>
    <m/>
    <m/>
    <m/>
    <m/>
    <m/>
    <m/>
    <m/>
    <m/>
    <m/>
    <m/>
    <s v="Certificado"/>
    <n v="1E-3"/>
    <m/>
    <m/>
    <m/>
    <m/>
    <n v="0"/>
    <n v="1E-3"/>
    <n v="10"/>
    <n v="10"/>
    <n v="-93"/>
    <n v="-9.3000000000000007"/>
    <n v="-9.300000000000001E-3"/>
    <n v="9.300000000000001E-3"/>
    <x v="4"/>
  </r>
  <r>
    <x v="0"/>
    <s v="Informe presupuestal a Personería"/>
    <x v="0"/>
    <s v="Apoyo"/>
    <s v="Ivonne Andrea Torres Cruz_x000a_Asesora de Control Interno"/>
    <s v="Elizabeth Sáenz Sáenz"/>
    <s v="Subdirector Financiero"/>
    <d v="2021-10-01T00:00:00"/>
    <x v="87"/>
    <m/>
    <m/>
    <m/>
    <m/>
    <m/>
    <m/>
    <m/>
    <m/>
    <m/>
    <m/>
    <m/>
    <m/>
    <s v="Informe"/>
    <n v="1E-3"/>
    <m/>
    <m/>
    <m/>
    <m/>
    <n v="0"/>
    <n v="1E-3"/>
    <n v="10"/>
    <n v="10"/>
    <n v="-93"/>
    <n v="-9.3000000000000007"/>
    <n v="-9.300000000000001E-3"/>
    <n v="9.300000000000001E-3"/>
    <x v="4"/>
  </r>
  <r>
    <x v="0"/>
    <s v="Austeridad en el gasto. Decretos Reglamentarios 1737 de 1998 y 984 de 2012; Directiva Presidencial 03 de 2012 y Artículo 2.8.4.8.2 del Decreto Único Reglamentario 1068 de 2015"/>
    <x v="4"/>
    <s v="Apoyo"/>
    <s v="Ivonne Andrea Torres Cruz_x000a_Asesora de Control Interno"/>
    <s v="Marcela Urrea Jaramillo"/>
    <s v="Subdirector Administrativo"/>
    <d v="2021-10-01T00:00:00"/>
    <x v="88"/>
    <m/>
    <m/>
    <m/>
    <m/>
    <m/>
    <m/>
    <m/>
    <m/>
    <m/>
    <m/>
    <m/>
    <m/>
    <s v="Informe"/>
    <n v="7.4999999999999997E-3"/>
    <m/>
    <m/>
    <m/>
    <m/>
    <n v="0"/>
    <n v="7.4999999999999997E-3"/>
    <n v="10"/>
    <n v="27"/>
    <n v="-93"/>
    <n v="-3.4444444444444446"/>
    <n v="-2.5833333333333333E-2"/>
    <n v="2.5833333333333333E-2"/>
    <x v="4"/>
  </r>
  <r>
    <x v="7"/>
    <s v="Auditoría a la aplicación de las políticas contables por parte de los procesos de Gestión Financiera y de Reasentamientos Humanos"/>
    <x v="13"/>
    <s v="Misional"/>
    <s v="Ivonne Andrea Torres Cruz_x000a_Asesora de Control Interno"/>
    <s v="Carlos Vargas Hernández"/>
    <s v="Director de Reasentamientos Humanos"/>
    <d v="2021-10-01T00:00:00"/>
    <x v="89"/>
    <m/>
    <m/>
    <m/>
    <m/>
    <m/>
    <m/>
    <m/>
    <m/>
    <m/>
    <m/>
    <m/>
    <m/>
    <s v="Informe"/>
    <n v="2.5000000000000001E-3"/>
    <m/>
    <m/>
    <m/>
    <m/>
    <n v="0"/>
    <n v="2.5000000000000001E-3"/>
    <n v="11"/>
    <n v="46"/>
    <n v="-93"/>
    <n v="-2.0217391304347827"/>
    <n v="-5.0543478260869565E-3"/>
    <n v="5.0543478260869565E-3"/>
    <x v="4"/>
  </r>
  <r>
    <x v="7"/>
    <s v="Auditoría a la aplicación de las políticas contables por parte de los procesos de Gestión Financiera y de Reasentamientos Humanos"/>
    <x v="0"/>
    <s v="Apoyo"/>
    <s v="Ivonne Andrea Torres Cruz_x000a_Asesora de Control Interno"/>
    <s v="Carlos Vargas Hernández"/>
    <s v="Subdirector Financiero"/>
    <d v="2021-10-01T00:00:00"/>
    <x v="89"/>
    <m/>
    <m/>
    <m/>
    <m/>
    <m/>
    <m/>
    <m/>
    <m/>
    <m/>
    <m/>
    <m/>
    <m/>
    <s v="Informe"/>
    <n v="2.5000000000000001E-3"/>
    <m/>
    <m/>
    <m/>
    <m/>
    <n v="0"/>
    <n v="2.5000000000000001E-3"/>
    <n v="11"/>
    <n v="46"/>
    <n v="-93"/>
    <n v="-2.0217391304347827"/>
    <n v="-5.0543478260869565E-3"/>
    <n v="5.0543478260869565E-3"/>
    <x v="4"/>
  </r>
  <r>
    <x v="7"/>
    <s v="Auditoría a la cartera generada por el Proceso de Reasentamientos Humanos"/>
    <x v="13"/>
    <s v="Misional"/>
    <s v="Ivonne Andrea Torres Cruz_x000a_Asesora de Control Interno"/>
    <s v="Carlos Vargas Hernández"/>
    <s v="Director de Reasentamientos Humanos"/>
    <d v="2021-10-01T00:00:00"/>
    <x v="89"/>
    <m/>
    <m/>
    <m/>
    <m/>
    <m/>
    <m/>
    <m/>
    <m/>
    <m/>
    <m/>
    <m/>
    <m/>
    <s v="Informe"/>
    <n v="2.5000000000000001E-3"/>
    <m/>
    <m/>
    <m/>
    <m/>
    <n v="0"/>
    <n v="2.5000000000000001E-3"/>
    <n v="11"/>
    <n v="46"/>
    <n v="-93"/>
    <n v="-2.0217391304347827"/>
    <n v="-5.0543478260869565E-3"/>
    <n v="5.0543478260869565E-3"/>
    <x v="4"/>
  </r>
  <r>
    <x v="7"/>
    <s v="Auditoría a la cartera generada por el Proceso de Reasentamientos Humanos"/>
    <x v="0"/>
    <s v="Apoyo"/>
    <s v="Ivonne Andrea Torres Cruz_x000a_Asesora de Control Interno"/>
    <s v="Carlos Vargas Hernández"/>
    <s v="Subdirector Financiero"/>
    <d v="2021-10-01T00:00:00"/>
    <x v="89"/>
    <m/>
    <m/>
    <m/>
    <m/>
    <m/>
    <m/>
    <m/>
    <m/>
    <m/>
    <m/>
    <m/>
    <m/>
    <s v="Informe"/>
    <n v="2.5000000000000001E-3"/>
    <m/>
    <m/>
    <m/>
    <m/>
    <n v="0"/>
    <n v="2.5000000000000001E-3"/>
    <n v="11"/>
    <n v="46"/>
    <n v="-93"/>
    <n v="-2.0217391304347827"/>
    <n v="-5.0543478260869565E-3"/>
    <n v="5.0543478260869565E-3"/>
    <x v="4"/>
  </r>
  <r>
    <x v="0"/>
    <s v="Realizar las actividades de monitoreo y seguimiento a la estrategia de racionalización propuesta a través de SUIT"/>
    <x v="0"/>
    <s v="Apoyo"/>
    <s v="Ivonne Andrea Torres Cruz_x000a_Asesora de Control Interno"/>
    <s v="Kelly Serrano Rincón"/>
    <s v="Subdirector Financiero"/>
    <d v="2021-10-01T00:00:00"/>
    <x v="90"/>
    <m/>
    <m/>
    <m/>
    <m/>
    <m/>
    <m/>
    <m/>
    <m/>
    <m/>
    <m/>
    <m/>
    <m/>
    <s v="Reporte"/>
    <n v="0.01"/>
    <m/>
    <m/>
    <m/>
    <m/>
    <n v="0"/>
    <n v="0.01"/>
    <n v="11"/>
    <n v="56"/>
    <n v="-93"/>
    <n v="-1.6607142857142858"/>
    <n v="-1.6607142857142859E-2"/>
    <n v="1.6607142857142859E-2"/>
    <x v="4"/>
  </r>
  <r>
    <x v="3"/>
    <s v="Realizar seguimiento al Comité Institucional de Coordinación de Control Interno - CICCI (presentaciones, actas de comité, anexos y demás documentos) comité proyectado para el 20Oct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0-06T00:00:00"/>
    <x v="91"/>
    <m/>
    <m/>
    <m/>
    <m/>
    <m/>
    <m/>
    <m/>
    <m/>
    <m/>
    <m/>
    <m/>
    <m/>
    <s v="Acta"/>
    <n v="4.0000000000000001E-3"/>
    <m/>
    <m/>
    <m/>
    <m/>
    <n v="0"/>
    <n v="4.0000000000000001E-3"/>
    <n v="11"/>
    <n v="34"/>
    <n v="-98"/>
    <n v="-2.8823529411764706"/>
    <n v="-1.1529411764705882E-2"/>
    <n v="1.1529411764705882E-2"/>
    <x v="4"/>
  </r>
  <r>
    <x v="0"/>
    <s v="Informe Directiva 003 de 2013 Alcaldía Mayor de Bogotá"/>
    <x v="4"/>
    <s v="Apoyo"/>
    <s v="Ivonne Andrea Torres Cruz_x000a_Asesora de Control Interno"/>
    <s v="Marcela Urrea Jaramillo"/>
    <s v="Subdirector Administrativo"/>
    <d v="2021-10-11T00:00:00"/>
    <x v="92"/>
    <m/>
    <m/>
    <m/>
    <m/>
    <m/>
    <m/>
    <m/>
    <m/>
    <m/>
    <m/>
    <m/>
    <m/>
    <s v="Informe"/>
    <n v="0.01"/>
    <m/>
    <m/>
    <m/>
    <m/>
    <n v="0"/>
    <n v="0.01"/>
    <n v="11"/>
    <n v="32"/>
    <n v="-103"/>
    <n v="-3.21875"/>
    <n v="-3.2187500000000001E-2"/>
    <n v="3.2187500000000001E-2"/>
    <x v="4"/>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10-15T00:00:00"/>
    <x v="90"/>
    <m/>
    <m/>
    <m/>
    <m/>
    <m/>
    <m/>
    <m/>
    <m/>
    <m/>
    <m/>
    <m/>
    <m/>
    <s v="Informe"/>
    <n v="7.0000000000000001E-3"/>
    <m/>
    <m/>
    <m/>
    <m/>
    <n v="0"/>
    <n v="7.0000000000000001E-3"/>
    <n v="11"/>
    <n v="42"/>
    <n v="-107"/>
    <n v="-2.5476190476190474"/>
    <n v="-1.7833333333333333E-2"/>
    <n v="1.7833333333333333E-2"/>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0-25T00:00:00"/>
    <x v="93"/>
    <m/>
    <m/>
    <m/>
    <m/>
    <m/>
    <m/>
    <m/>
    <m/>
    <m/>
    <m/>
    <m/>
    <m/>
    <s v="Matriz"/>
    <n v="5.0000000000000001E-3"/>
    <m/>
    <m/>
    <m/>
    <m/>
    <n v="0"/>
    <n v="5.0000000000000001E-3"/>
    <n v="11"/>
    <n v="14"/>
    <n v="-117"/>
    <n v="-8.3571428571428577"/>
    <n v="-4.1785714285714287E-2"/>
    <n v="4.1785714285714287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0-27T00:00:00"/>
    <x v="94"/>
    <m/>
    <m/>
    <m/>
    <m/>
    <m/>
    <m/>
    <m/>
    <m/>
    <m/>
    <m/>
    <m/>
    <m/>
    <s v="Matriz"/>
    <n v="3.0000000000000001E-3"/>
    <m/>
    <m/>
    <m/>
    <m/>
    <n v="0"/>
    <n v="3.0000000000000001E-3"/>
    <n v="11"/>
    <n v="7"/>
    <n v="-119"/>
    <n v="-17"/>
    <n v="-5.1000000000000004E-2"/>
    <n v="5.1000000000000004E-2"/>
    <x v="4"/>
  </r>
  <r>
    <x v="4"/>
    <s v="Atención Auditoría de Desempeño 2: Cód 64: Evaluación del convenio Nº 044 de 2014 suscrito entre la Caja de la Vivienda Popular con el Fondo de Desarrollo Local de Usme, por valor de $7.472.160.000."/>
    <x v="13"/>
    <s v="Misional"/>
    <s v="Ivonne Andrea Torres Cruz_x000a_Asesora de Control Interno"/>
    <s v="Carlos Vargas Hernández"/>
    <s v="Director de Reasentamientos Humanos"/>
    <d v="2021-10-27T00:00:00"/>
    <x v="95"/>
    <m/>
    <m/>
    <m/>
    <m/>
    <m/>
    <m/>
    <m/>
    <m/>
    <m/>
    <m/>
    <m/>
    <m/>
    <s v="Correo electrónico - Oficios"/>
    <n v="0.01"/>
    <m/>
    <m/>
    <m/>
    <m/>
    <n v="0"/>
    <n v="0.01"/>
    <n v="12"/>
    <n v="65"/>
    <n v="-119"/>
    <n v="-1.8307692307692307"/>
    <n v="-1.8307692307692306E-2"/>
    <n v="1.8307692307692306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0-28T00:00:00"/>
    <x v="94"/>
    <m/>
    <m/>
    <m/>
    <m/>
    <m/>
    <m/>
    <m/>
    <m/>
    <m/>
    <m/>
    <m/>
    <m/>
    <s v="Correo electrónico"/>
    <n v="1E-3"/>
    <m/>
    <m/>
    <m/>
    <m/>
    <n v="0"/>
    <n v="1E-3"/>
    <n v="11"/>
    <n v="6"/>
    <n v="-120"/>
    <n v="-20"/>
    <n v="-0.02"/>
    <n v="0.02"/>
    <x v="4"/>
  </r>
  <r>
    <x v="2"/>
    <s v="Trámite de cuentas de ACI"/>
    <x v="1"/>
    <s v="Seguimiento y Evaluación"/>
    <s v="Ivonne Andrea Torres Cruz_x000a_Asesora de Control Interno"/>
    <s v="Joan Gaitán Ferrer"/>
    <s v="Asesor de Control Interno"/>
    <d v="2021-11-02T00:00:00"/>
    <x v="96"/>
    <m/>
    <m/>
    <m/>
    <m/>
    <m/>
    <m/>
    <m/>
    <m/>
    <m/>
    <m/>
    <m/>
    <m/>
    <s v="Reporte"/>
    <n v="3.0000000000000001E-3"/>
    <m/>
    <m/>
    <m/>
    <m/>
    <n v="0"/>
    <n v="3.0000000000000001E-3"/>
    <n v="11"/>
    <n v="3"/>
    <n v="-125"/>
    <n v="-41.666666666666664"/>
    <n v="-0.125"/>
    <n v="0.125"/>
    <x v="4"/>
  </r>
  <r>
    <x v="0"/>
    <s v="Informe presupuestal a Personería"/>
    <x v="0"/>
    <s v="Apoyo"/>
    <s v="Ivonne Andrea Torres Cruz_x000a_Asesora de Control Interno"/>
    <s v="Elizabeth Sáenz Sáenz"/>
    <s v="Subdirector Financiero"/>
    <d v="2021-11-02T00:00:00"/>
    <x v="91"/>
    <m/>
    <m/>
    <m/>
    <m/>
    <m/>
    <m/>
    <m/>
    <m/>
    <m/>
    <m/>
    <m/>
    <m/>
    <s v="Informe"/>
    <n v="1E-3"/>
    <m/>
    <m/>
    <m/>
    <m/>
    <n v="0"/>
    <n v="1E-3"/>
    <n v="11"/>
    <n v="7"/>
    <n v="-125"/>
    <n v="-17.857142857142858"/>
    <n v="-1.785714285714286E-2"/>
    <n v="1.785714285714286E-2"/>
    <x v="4"/>
  </r>
  <r>
    <x v="4"/>
    <s v="Informe cuenta mensual SIVICOF"/>
    <x v="0"/>
    <s v="Apoyo"/>
    <s v="Ivonne Andrea Torres Cruz_x000a_Asesora de Control Interno"/>
    <s v="Carlos Vargas Hernández"/>
    <s v="Subdirector Financiero"/>
    <d v="2021-11-02T00:00:00"/>
    <x v="97"/>
    <m/>
    <m/>
    <m/>
    <m/>
    <m/>
    <m/>
    <m/>
    <m/>
    <m/>
    <m/>
    <m/>
    <m/>
    <s v="Certificado"/>
    <n v="1E-3"/>
    <m/>
    <m/>
    <m/>
    <m/>
    <n v="0"/>
    <n v="1E-3"/>
    <n v="11"/>
    <n v="8"/>
    <n v="-125"/>
    <n v="-15.625"/>
    <n v="-1.5625E-2"/>
    <n v="1.5625E-2"/>
    <x v="4"/>
  </r>
  <r>
    <x v="0"/>
    <s v="Informe de seguimiento a la Sostenibilidad Contable - Resolución DDC-00003 del 05 de diciembre de 2018 - corte al 30Sep2021"/>
    <x v="0"/>
    <s v="Apoyo"/>
    <s v="Ivonne Andrea Torres Cruz_x000a_Asesora de Control Interno"/>
    <s v="Marcela Urrea Jaramillo"/>
    <s v="Subdirector Financiero"/>
    <d v="2021-11-02T00:00:00"/>
    <x v="90"/>
    <m/>
    <m/>
    <m/>
    <m/>
    <m/>
    <m/>
    <m/>
    <m/>
    <m/>
    <m/>
    <m/>
    <m/>
    <s v="Informe"/>
    <n v="2E-3"/>
    <m/>
    <m/>
    <m/>
    <m/>
    <n v="0"/>
    <n v="2E-3"/>
    <n v="11"/>
    <n v="24"/>
    <n v="-125"/>
    <n v="-5.208333333333333"/>
    <n v="-1.0416666666666666E-2"/>
    <n v="1.0416666666666666E-2"/>
    <x v="4"/>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11-22T00:00:00"/>
    <x v="10"/>
    <m/>
    <m/>
    <m/>
    <m/>
    <m/>
    <m/>
    <m/>
    <m/>
    <m/>
    <m/>
    <m/>
    <m/>
    <s v="Matriz"/>
    <n v="0.02"/>
    <m/>
    <m/>
    <m/>
    <m/>
    <n v="0"/>
    <n v="0.02"/>
    <n v="12"/>
    <n v="18"/>
    <n v="-145"/>
    <n v="-8.0555555555555554"/>
    <n v="-0.16111111111111112"/>
    <n v="0.16111111111111112"/>
    <x v="4"/>
  </r>
  <r>
    <x v="6"/>
    <s v="Seguimiento al Plan de Mejoramiento Interno - Artículo 5 del Decreto 371 de 2010"/>
    <x v="2"/>
    <s v="Todos los Procesos"/>
    <s v="Ivonne Andrea Torres Cruz_x000a_Asesora de Control Interno"/>
    <s v="Kelly Serrano Rincón"/>
    <s v="Líderes de Cada Proceso"/>
    <d v="2021-11-22T00:00:00"/>
    <x v="10"/>
    <m/>
    <m/>
    <m/>
    <m/>
    <m/>
    <m/>
    <m/>
    <m/>
    <m/>
    <m/>
    <m/>
    <m/>
    <s v="Matriz"/>
    <n v="0.02"/>
    <m/>
    <m/>
    <m/>
    <m/>
    <n v="0"/>
    <n v="0.02"/>
    <n v="12"/>
    <n v="18"/>
    <n v="-145"/>
    <n v="-8.0555555555555554"/>
    <n v="-0.16111111111111112"/>
    <n v="0.1611111111111111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1-24T00:00:00"/>
    <x v="98"/>
    <m/>
    <m/>
    <m/>
    <m/>
    <m/>
    <m/>
    <m/>
    <m/>
    <m/>
    <m/>
    <m/>
    <m/>
    <s v="Matriz"/>
    <n v="3.0000000000000001E-3"/>
    <m/>
    <m/>
    <m/>
    <m/>
    <n v="0"/>
    <n v="3.0000000000000001E-3"/>
    <n v="12"/>
    <n v="8"/>
    <n v="-147"/>
    <n v="-18.375"/>
    <n v="-5.5125E-2"/>
    <n v="5.5125E-2"/>
    <x v="4"/>
  </r>
  <r>
    <x v="3"/>
    <s v="Realizar seguimiento al Comité Institucional de Coordinación de Control Interno - CICCI (presentaciones, actas de comité, anexos y demás documentos) comité proyectado para el 07Dic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1-24T00:00:00"/>
    <x v="99"/>
    <m/>
    <m/>
    <m/>
    <m/>
    <m/>
    <m/>
    <m/>
    <m/>
    <m/>
    <m/>
    <m/>
    <m/>
    <s v="Acta"/>
    <n v="4.0000000000000001E-3"/>
    <m/>
    <m/>
    <m/>
    <m/>
    <n v="0"/>
    <n v="4.0000000000000001E-3"/>
    <n v="12"/>
    <n v="28"/>
    <n v="-147"/>
    <n v="-5.25"/>
    <n v="-2.1000000000000001E-2"/>
    <n v="2.1000000000000001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1-29T00:00:00"/>
    <x v="98"/>
    <m/>
    <m/>
    <m/>
    <m/>
    <m/>
    <m/>
    <m/>
    <m/>
    <m/>
    <m/>
    <m/>
    <m/>
    <s v="Correo electrónico"/>
    <n v="1E-3"/>
    <m/>
    <m/>
    <m/>
    <m/>
    <n v="0"/>
    <n v="1E-3"/>
    <n v="12"/>
    <n v="3"/>
    <n v="-152"/>
    <n v="-50.666666666666664"/>
    <n v="-5.0666666666666665E-2"/>
    <n v="5.0666666666666665E-2"/>
    <x v="4"/>
  </r>
  <r>
    <x v="2"/>
    <s v="Trámite de cuentas de ACI"/>
    <x v="1"/>
    <s v="Seguimiento y Evaluación"/>
    <s v="Ivonne Andrea Torres Cruz_x000a_Asesora de Control Interno"/>
    <s v="Joan Gaitán Ferrer"/>
    <s v="Asesor de Control Interno"/>
    <d v="2021-12-01T00:00:00"/>
    <x v="100"/>
    <m/>
    <m/>
    <m/>
    <m/>
    <m/>
    <m/>
    <m/>
    <m/>
    <m/>
    <m/>
    <m/>
    <m/>
    <s v="Reporte"/>
    <n v="3.0000000000000001E-3"/>
    <m/>
    <m/>
    <m/>
    <m/>
    <n v="0"/>
    <n v="3.0000000000000001E-3"/>
    <n v="12"/>
    <n v="5"/>
    <n v="-154"/>
    <n v="-30.8"/>
    <n v="-9.240000000000001E-2"/>
    <n v="9.240000000000001E-2"/>
    <x v="4"/>
  </r>
  <r>
    <x v="4"/>
    <s v="Informe cuenta mensual SIVICOF"/>
    <x v="7"/>
    <s v="Apoyo"/>
    <s v="Ivonne Andrea Torres Cruz_x000a_Asesora de Control Interno"/>
    <s v="Carlos Vargas Hernández"/>
    <s v="Director de Gestión Corporativa y CID"/>
    <d v="2021-12-01T00:00:00"/>
    <x v="10"/>
    <m/>
    <m/>
    <m/>
    <m/>
    <m/>
    <m/>
    <m/>
    <m/>
    <m/>
    <m/>
    <m/>
    <m/>
    <s v="Certificado"/>
    <n v="1E-3"/>
    <m/>
    <m/>
    <m/>
    <m/>
    <n v="0"/>
    <n v="1E-3"/>
    <n v="12"/>
    <n v="9"/>
    <n v="-154"/>
    <n v="-17.111111111111111"/>
    <n v="-1.7111111111111112E-2"/>
    <n v="1.7111111111111112E-2"/>
    <x v="4"/>
  </r>
  <r>
    <x v="0"/>
    <s v="Informe presupuestal a Personería"/>
    <x v="0"/>
    <s v="Apoyo"/>
    <s v="Ivonne Andrea Torres Cruz_x000a_Asesora de Control Interno"/>
    <s v="Elizabeth Sáenz Sáenz"/>
    <s v="Subdirector Financiero"/>
    <d v="2021-12-01T00:00:00"/>
    <x v="10"/>
    <m/>
    <m/>
    <m/>
    <m/>
    <m/>
    <m/>
    <m/>
    <m/>
    <m/>
    <m/>
    <m/>
    <m/>
    <s v="Informe"/>
    <n v="1E-3"/>
    <m/>
    <m/>
    <m/>
    <m/>
    <n v="0"/>
    <n v="1E-3"/>
    <n v="12"/>
    <n v="9"/>
    <n v="-154"/>
    <n v="-17.111111111111111"/>
    <n v="-1.7111111111111112E-2"/>
    <n v="1.7111111111111112E-2"/>
    <x v="4"/>
  </r>
  <r>
    <x v="2"/>
    <s v="Realizar evaluación parcial 2021 por retiro del jefe inmediato planta fija"/>
    <x v="1"/>
    <s v="Seguimiento y Evaluación"/>
    <s v="Ivonne Andrea Torres Cruz_x000a_Asesora de Control Interno"/>
    <s v="Elizabeth Sáenz Sáenz"/>
    <s v="Asesor de Control Interno"/>
    <d v="2021-12-03T00:00:00"/>
    <x v="101"/>
    <m/>
    <m/>
    <m/>
    <m/>
    <m/>
    <m/>
    <m/>
    <m/>
    <m/>
    <m/>
    <m/>
    <m/>
    <s v="Certificado"/>
    <n v="1E-3"/>
    <m/>
    <m/>
    <m/>
    <m/>
    <n v="0"/>
    <n v="1E-3"/>
    <n v="12"/>
    <n v="12"/>
    <n v="-156"/>
    <n v="-13"/>
    <n v="-1.3000000000000001E-2"/>
    <n v="1.3000000000000001E-2"/>
    <x v="4"/>
  </r>
  <r>
    <x v="2"/>
    <s v="Elaborar el informe de la Oficina de Control Interno vigencia 2021 - documento CBN 1038"/>
    <x v="1"/>
    <s v="Seguimiento y Evaluación"/>
    <s v="Ivonne Andrea Torres Cruz_x000a_Asesora de Control Interno"/>
    <s v="Andrea Sierra Ochoa"/>
    <s v="Asesor de Control Interno"/>
    <d v="2021-12-13T00:00:00"/>
    <x v="102"/>
    <m/>
    <m/>
    <m/>
    <m/>
    <m/>
    <m/>
    <m/>
    <m/>
    <m/>
    <m/>
    <m/>
    <m/>
    <s v="Informe"/>
    <n v="1.2E-2"/>
    <m/>
    <m/>
    <m/>
    <m/>
    <n v="0"/>
    <n v="1.2E-2"/>
    <n v="12"/>
    <n v="14"/>
    <n v="-166"/>
    <n v="-11.857142857142858"/>
    <n v="-0.14228571428571429"/>
    <n v="0.14228571428571429"/>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2-29T00:00:00"/>
    <x v="103"/>
    <m/>
    <m/>
    <m/>
    <m/>
    <m/>
    <m/>
    <m/>
    <m/>
    <m/>
    <m/>
    <m/>
    <m/>
    <s v="Matriz"/>
    <n v="5.0000000000000001E-3"/>
    <m/>
    <m/>
    <m/>
    <m/>
    <n v="0"/>
    <n v="5.0000000000000001E-3"/>
    <n v="1"/>
    <n v="14"/>
    <n v="-182"/>
    <n v="-13"/>
    <n v="-6.5000000000000002E-2"/>
    <n v="6.5000000000000002E-2"/>
    <x v="4"/>
  </r>
  <r>
    <x v="7"/>
    <s v="Auditoría a la cartera generada por el Proceso de Urbanizaciones y Titulación"/>
    <x v="0"/>
    <s v="Apoyo"/>
    <s v="Ivonne Andrea Torres Cruz_x000a_Asesora de Control Interno"/>
    <s v="Carlos Vargas Hernández"/>
    <s v="Subdirector Financiero"/>
    <m/>
    <x v="104"/>
    <m/>
    <m/>
    <m/>
    <m/>
    <m/>
    <m/>
    <m/>
    <m/>
    <m/>
    <m/>
    <m/>
    <m/>
    <s v="Informe"/>
    <n v="0"/>
    <m/>
    <m/>
    <m/>
    <m/>
    <n v="0"/>
    <n v="0"/>
    <m/>
    <m/>
    <m/>
    <m/>
    <m/>
    <m/>
    <x v="5"/>
  </r>
  <r>
    <x v="7"/>
    <s v="Auditoría a la cartera generada por el Proceso de Urbanizaciones y Titulación"/>
    <x v="10"/>
    <s v="Misional"/>
    <s v="Ivonne Andrea Torres Cruz_x000a_Asesora de Control Interno"/>
    <s v="Carlos Vargas Hernández"/>
    <s v="Director de Urbanizaciones y Titulación"/>
    <m/>
    <x v="104"/>
    <m/>
    <m/>
    <m/>
    <m/>
    <m/>
    <m/>
    <m/>
    <m/>
    <m/>
    <m/>
    <m/>
    <m/>
    <s v="Informe"/>
    <n v="0"/>
    <m/>
    <m/>
    <m/>
    <m/>
    <n v="0"/>
    <n v="0"/>
    <m/>
    <m/>
    <m/>
    <m/>
    <m/>
    <m/>
    <x v="5"/>
  </r>
  <r>
    <x v="7"/>
    <s v="Auditoría a los inventarios de bienes inmuebles reportados por el Proceso de Reasentamientos Humanos"/>
    <x v="13"/>
    <s v="Misional"/>
    <s v="Ivonne Andrea Torres Cruz_x000a_Asesora de Control Interno"/>
    <s v="Carlos Vargas Hernández"/>
    <s v="Director de Reasentamientos Humanos"/>
    <m/>
    <x v="104"/>
    <m/>
    <m/>
    <m/>
    <m/>
    <m/>
    <m/>
    <m/>
    <m/>
    <m/>
    <m/>
    <m/>
    <m/>
    <s v="Informe"/>
    <n v="0"/>
    <m/>
    <m/>
    <m/>
    <m/>
    <n v="0"/>
    <n v="0"/>
    <m/>
    <m/>
    <m/>
    <m/>
    <m/>
    <m/>
    <x v="5"/>
  </r>
  <r>
    <x v="7"/>
    <s v="Auditoría a los inventarios de bienes inmuebles reportados por el Proceso de Reasentamientos Humanos"/>
    <x v="4"/>
    <s v="Apoyo"/>
    <s v="Ivonne Andrea Torres Cruz_x000a_Asesora de Control Interno"/>
    <s v="Carlos Vargas Hernández"/>
    <s v="Subdirector Administrativo"/>
    <m/>
    <x v="104"/>
    <m/>
    <m/>
    <m/>
    <m/>
    <m/>
    <m/>
    <m/>
    <m/>
    <m/>
    <m/>
    <m/>
    <m/>
    <s v="Informe"/>
    <n v="0"/>
    <m/>
    <m/>
    <m/>
    <m/>
    <n v="0"/>
    <n v="0"/>
    <m/>
    <m/>
    <m/>
    <m/>
    <m/>
    <m/>
    <x v="5"/>
  </r>
  <r>
    <x v="7"/>
    <s v="Auditoría a los inventarios de bienes inmuebles reportados por el Proceso de Urbanizaciones y Titulación"/>
    <x v="10"/>
    <s v="Misional"/>
    <s v="Ivonne Andrea Torres Cruz_x000a_Asesora de Control Interno"/>
    <s v="Carlos Vargas Hernández"/>
    <s v="Director de Urbanizaciones y Titulación"/>
    <m/>
    <x v="104"/>
    <m/>
    <m/>
    <m/>
    <m/>
    <m/>
    <m/>
    <m/>
    <m/>
    <m/>
    <m/>
    <m/>
    <m/>
    <s v="Informe"/>
    <n v="0"/>
    <m/>
    <m/>
    <m/>
    <m/>
    <n v="0"/>
    <n v="0"/>
    <m/>
    <m/>
    <m/>
    <m/>
    <m/>
    <m/>
    <x v="5"/>
  </r>
  <r>
    <x v="7"/>
    <s v="Auditoría a los inventarios de bienes inmuebles reportados por el Proceso de Urbanizaciones y Titulación"/>
    <x v="4"/>
    <s v="Apoyo"/>
    <s v="Ivonne Andrea Torres Cruz_x000a_Asesora de Control Interno"/>
    <s v="Carlos Vargas Hernández"/>
    <s v="Subdirector Administrativo"/>
    <m/>
    <x v="104"/>
    <m/>
    <m/>
    <m/>
    <m/>
    <m/>
    <m/>
    <m/>
    <m/>
    <m/>
    <m/>
    <m/>
    <m/>
    <s v="Informe"/>
    <n v="0"/>
    <m/>
    <m/>
    <m/>
    <m/>
    <n v="0"/>
    <n v="0"/>
    <m/>
    <m/>
    <m/>
    <m/>
    <m/>
    <m/>
    <x v="5"/>
  </r>
  <r>
    <x v="7"/>
    <s v="Auditoría Proceso de Gestión del Talento Humano_x000a_Cobro de las Incapacidades reportadas por los funcionarios del proceso de Reasentamientos Humanos"/>
    <x v="12"/>
    <s v="Apoyo"/>
    <s v="Ivonne Andrea Torres Cruz_x000a_Asesora de Control Interno"/>
    <s v="Carlos Vargas Hernández"/>
    <s v="Subdirector Administrativo"/>
    <m/>
    <x v="104"/>
    <m/>
    <m/>
    <m/>
    <m/>
    <m/>
    <m/>
    <m/>
    <m/>
    <m/>
    <m/>
    <m/>
    <m/>
    <s v="Informe"/>
    <n v="0"/>
    <m/>
    <m/>
    <m/>
    <m/>
    <n v="0"/>
    <n v="0"/>
    <m/>
    <m/>
    <m/>
    <m/>
    <m/>
    <m/>
    <x v="5"/>
  </r>
  <r>
    <x v="7"/>
    <s v="Auditoría Proceso de Mejoramiento de Barrios_x000a_Cumplimiento metas del PDD y Proyecto de inversión - Presupuesto - FUSS - Plan Anual de Adquisidores - Indicadores"/>
    <x v="6"/>
    <s v="Misional"/>
    <s v="Ivonne Andrea Torres Cruz_x000a_Asesora de Control Interno"/>
    <s v="Carlos Vargas Hernández"/>
    <s v="Director de Mejoramiento de Barrios"/>
    <m/>
    <x v="104"/>
    <m/>
    <m/>
    <m/>
    <m/>
    <m/>
    <m/>
    <m/>
    <m/>
    <m/>
    <m/>
    <m/>
    <m/>
    <s v="Informe"/>
    <n v="0"/>
    <m/>
    <m/>
    <m/>
    <m/>
    <n v="0"/>
    <n v="0"/>
    <m/>
    <m/>
    <m/>
    <m/>
    <m/>
    <m/>
    <x v="5"/>
  </r>
  <r>
    <x v="7"/>
    <s v="Auditoría Proceso de Mejoramiento de Barrios_x000a_Expedientes del proceso - procedimientos del proceso"/>
    <x v="6"/>
    <s v="Misional"/>
    <s v="Ivonne Andrea Torres Cruz_x000a_Asesora de Control Interno"/>
    <s v="Marcela Urrea Jaramillo"/>
    <s v="Director de Mejoramiento de Barrios"/>
    <m/>
    <x v="104"/>
    <m/>
    <m/>
    <m/>
    <m/>
    <m/>
    <m/>
    <m/>
    <m/>
    <m/>
    <m/>
    <m/>
    <m/>
    <s v="Informe"/>
    <n v="0"/>
    <m/>
    <m/>
    <m/>
    <m/>
    <n v="0"/>
    <n v="0"/>
    <m/>
    <m/>
    <m/>
    <m/>
    <m/>
    <m/>
    <x v="5"/>
  </r>
  <r>
    <x v="7"/>
    <s v="Auditoría Proceso de Mejoramiento de Vivienda_x000a_Cumplimiento metas del PDD y Proyecto de inversión - Presupuesto - FUSS - Plan Anual de Adquisidores - Indicadores"/>
    <x v="11"/>
    <s v="Misional"/>
    <s v="Ivonne Andrea Torres Cruz_x000a_Asesora de Control Interno"/>
    <s v="Carlos Vargas Hernández"/>
    <s v="Director de Mejoramiento de Vivienda"/>
    <m/>
    <x v="104"/>
    <m/>
    <m/>
    <m/>
    <m/>
    <m/>
    <m/>
    <m/>
    <m/>
    <m/>
    <m/>
    <m/>
    <m/>
    <s v="Informe"/>
    <n v="0"/>
    <m/>
    <m/>
    <m/>
    <m/>
    <n v="0"/>
    <n v="0"/>
    <m/>
    <m/>
    <m/>
    <m/>
    <m/>
    <m/>
    <x v="5"/>
  </r>
  <r>
    <x v="7"/>
    <s v="Auditoría Proceso de Mejoramiento de Vivienda_x000a_Recursos del Convenio con la SDHT"/>
    <x v="11"/>
    <s v="Misional"/>
    <s v="Ivonne Andrea Torres Cruz_x000a_Asesora de Control Interno"/>
    <s v="Carlos Vargas Hernández"/>
    <s v="Director de Mejoramiento de Vivienda"/>
    <m/>
    <x v="104"/>
    <m/>
    <m/>
    <m/>
    <m/>
    <m/>
    <m/>
    <m/>
    <m/>
    <m/>
    <m/>
    <m/>
    <m/>
    <s v="Informe"/>
    <n v="0"/>
    <m/>
    <m/>
    <m/>
    <m/>
    <n v="0"/>
    <n v="0"/>
    <m/>
    <m/>
    <m/>
    <m/>
    <m/>
    <m/>
    <x v="5"/>
  </r>
  <r>
    <x v="7"/>
    <s v="Auditoría Proceso de Reasentamientos Humanos_x000a_Decreto 371 de 2010 - Artículo 2 - de los procesos de contratación en el distrito capital"/>
    <x v="7"/>
    <s v="Apoyo"/>
    <s v="Ivonne Andrea Torres Cruz_x000a_Asesora de Control Interno"/>
    <s v="Andrea Sierra Ochoa"/>
    <s v="Director de Gestión Corporativa y CID"/>
    <m/>
    <x v="104"/>
    <m/>
    <m/>
    <m/>
    <m/>
    <m/>
    <m/>
    <m/>
    <m/>
    <m/>
    <m/>
    <m/>
    <m/>
    <s v="Informe"/>
    <n v="0"/>
    <m/>
    <m/>
    <m/>
    <m/>
    <n v="0"/>
    <n v="0"/>
    <m/>
    <m/>
    <m/>
    <m/>
    <m/>
    <m/>
    <x v="5"/>
  </r>
  <r>
    <x v="7"/>
    <s v="Auditoría Proceso de Reasentamientos Human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m/>
    <x v="104"/>
    <m/>
    <m/>
    <m/>
    <m/>
    <m/>
    <m/>
    <m/>
    <m/>
    <m/>
    <m/>
    <m/>
    <m/>
    <s v="Informe"/>
    <n v="0"/>
    <m/>
    <m/>
    <m/>
    <m/>
    <n v="0"/>
    <n v="0"/>
    <m/>
    <m/>
    <m/>
    <m/>
    <m/>
    <m/>
    <x v="5"/>
  </r>
  <r>
    <x v="7"/>
    <s v="Auditoría Proceso de Reasentamientos Humanos_x000a_Expedientes del proceso - Relocalización Transitoria"/>
    <x v="13"/>
    <s v="Misional"/>
    <s v="Ivonne Andrea Torres Cruz_x000a_Asesora de Control Interno"/>
    <s v="Marcela Urrea Jaramillo"/>
    <s v="Director de Reasentamientos Humanos"/>
    <m/>
    <x v="104"/>
    <m/>
    <m/>
    <m/>
    <m/>
    <m/>
    <m/>
    <m/>
    <m/>
    <m/>
    <m/>
    <m/>
    <m/>
    <s v="Informe"/>
    <n v="0"/>
    <m/>
    <m/>
    <m/>
    <m/>
    <n v="0"/>
    <n v="0"/>
    <m/>
    <m/>
    <m/>
    <m/>
    <m/>
    <m/>
    <x v="5"/>
  </r>
  <r>
    <x v="7"/>
    <s v="Auditoría Proceso de Reasentamientos Humanos_x000a_Revisión de Riesgos"/>
    <x v="13"/>
    <s v="Misional"/>
    <s v="Ivonne Andrea Torres Cruz_x000a_Asesora de Control Interno"/>
    <s v="Kelly Serrano Rincón"/>
    <s v="Director de Reasentamientos Humanos"/>
    <m/>
    <x v="104"/>
    <m/>
    <m/>
    <m/>
    <m/>
    <m/>
    <m/>
    <m/>
    <m/>
    <m/>
    <m/>
    <m/>
    <m/>
    <s v="Informe"/>
    <n v="0"/>
    <m/>
    <m/>
    <m/>
    <m/>
    <n v="0"/>
    <n v="0"/>
    <m/>
    <m/>
    <m/>
    <m/>
    <m/>
    <m/>
    <x v="5"/>
  </r>
  <r>
    <x v="7"/>
    <s v="Auditoría Proceso de Urbanizaciones y Titulación_x000a_Cumplimiento metas del PDD y Proyecto de inversión - Presupuesto - FUSS - Plan Anual de Adquisidores - Indicadores"/>
    <x v="10"/>
    <s v="Misional"/>
    <s v="Ivonne Andrea Torres Cruz_x000a_Asesora de Control Interno"/>
    <s v="Kelly Serrano Rincón"/>
    <s v="Director de Urbanizaciones y Titulación"/>
    <m/>
    <x v="104"/>
    <m/>
    <m/>
    <m/>
    <m/>
    <m/>
    <m/>
    <m/>
    <m/>
    <m/>
    <m/>
    <m/>
    <m/>
    <s v="Informe"/>
    <n v="0"/>
    <m/>
    <m/>
    <m/>
    <m/>
    <n v="0"/>
    <n v="0"/>
    <m/>
    <m/>
    <m/>
    <m/>
    <m/>
    <m/>
    <x v="5"/>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uditor 6"/>
    <s v="Asesor de Control Interno"/>
    <m/>
    <x v="104"/>
    <m/>
    <m/>
    <m/>
    <m/>
    <m/>
    <m/>
    <m/>
    <m/>
    <m/>
    <m/>
    <m/>
    <m/>
    <s v="Memorandos y/o Oficios"/>
    <n v="0"/>
    <m/>
    <m/>
    <m/>
    <m/>
    <n v="0"/>
    <n v="0"/>
    <m/>
    <m/>
    <m/>
    <m/>
    <m/>
    <m/>
    <x v="5"/>
  </r>
  <r>
    <x v="0"/>
    <s v="Evaluación del desempeño institucional a través del Furag según lineamientos del DAFP"/>
    <x v="2"/>
    <s v="Todos los Procesos"/>
    <s v="Ivonne Andrea Torres Cruz_x000a_Asesora de Control Interno"/>
    <s v="Kelly Serrano Rincón"/>
    <s v="Líderes de Cada Proceso"/>
    <m/>
    <x v="104"/>
    <m/>
    <m/>
    <m/>
    <m/>
    <m/>
    <m/>
    <m/>
    <m/>
    <m/>
    <m/>
    <m/>
    <m/>
    <s v="Certificado"/>
    <n v="0"/>
    <m/>
    <m/>
    <m/>
    <m/>
    <n v="0"/>
    <n v="0"/>
    <m/>
    <m/>
    <m/>
    <m/>
    <m/>
    <m/>
    <x v="5"/>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m/>
    <x v="104"/>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uditor 6"/>
    <s v="Asesor de Control Interno"/>
    <m/>
    <x v="104"/>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Joan Gaitán Ferrer"/>
    <s v="Asesor de Control Interno"/>
    <m/>
    <x v="104"/>
    <m/>
    <m/>
    <m/>
    <m/>
    <m/>
    <m/>
    <m/>
    <m/>
    <m/>
    <m/>
    <m/>
    <m/>
    <s v="Acta"/>
    <n v="0"/>
    <m/>
    <m/>
    <m/>
    <m/>
    <n v="0"/>
    <n v="0"/>
    <m/>
    <m/>
    <m/>
    <m/>
    <m/>
    <m/>
    <x v="5"/>
  </r>
  <r>
    <x v="7"/>
    <s v="Seguimiento al plan de implementación del MIPG"/>
    <x v="8"/>
    <s v="Estratégico"/>
    <s v="Ivonne Andrea Torres Cruz_x000a_Asesora de Control Interno"/>
    <s v="Kelly Serrano Rincón"/>
    <s v="Jefe Oficina Asesora de Planeación "/>
    <m/>
    <x v="104"/>
    <m/>
    <m/>
    <m/>
    <m/>
    <m/>
    <m/>
    <m/>
    <m/>
    <m/>
    <m/>
    <m/>
    <m/>
    <s v="Informe"/>
    <n v="0"/>
    <m/>
    <m/>
    <m/>
    <m/>
    <n v="0"/>
    <n v="0"/>
    <m/>
    <m/>
    <m/>
    <m/>
    <m/>
    <m/>
    <x v="5"/>
  </r>
  <r>
    <x v="6"/>
    <s v="Seguimiento al Plan de Mejoramiento Interno - Artículo 5 del Decreto 371 de 2010"/>
    <x v="2"/>
    <s v="Todos los Procesos"/>
    <s v="Ivonne Andrea Torres Cruz_x000a_Asesora de Control Interno"/>
    <s v="Kelly Serrano Rincón"/>
    <s v="Líderes de Cada Proceso"/>
    <m/>
    <x v="104"/>
    <m/>
    <m/>
    <m/>
    <m/>
    <m/>
    <m/>
    <m/>
    <m/>
    <m/>
    <m/>
    <m/>
    <m/>
    <s v="Matriz"/>
    <n v="0"/>
    <m/>
    <m/>
    <m/>
    <m/>
    <n v="0"/>
    <n v="0"/>
    <m/>
    <m/>
    <m/>
    <m/>
    <m/>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1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5:J50" firstHeaderRow="1" firstDataRow="2" firstDataCol="1" rowPageCount="1" colPageCount="1"/>
  <pivotFields count="38">
    <pivotField axis="axisCol" dataField="1" showAll="0">
      <items count="9">
        <item x="5"/>
        <item x="7"/>
        <item x="2"/>
        <item x="1"/>
        <item x="0"/>
        <item x="3"/>
        <item x="4"/>
        <item x="6"/>
        <item t="default"/>
      </items>
    </pivotField>
    <pivotField showAll="0"/>
    <pivotField axis="axisRow" showAll="0">
      <items count="16">
        <item x="7"/>
        <item x="1"/>
        <item x="4"/>
        <item x="12"/>
        <item x="8"/>
        <item x="0"/>
        <item x="9"/>
        <item x="6"/>
        <item x="11"/>
        <item x="3"/>
        <item x="13"/>
        <item x="5"/>
        <item x="2"/>
        <item x="10"/>
        <item m="1" x="14"/>
        <item t="default"/>
      </items>
    </pivotField>
    <pivotField showAll="0"/>
    <pivotField showAll="0"/>
    <pivotField showAll="0"/>
    <pivotField showAll="0"/>
    <pivotField numFmtId="14"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7">
        <item x="3"/>
        <item h="1" x="0"/>
        <item x="1"/>
        <item h="1" x="5"/>
        <item m="1" x="6"/>
        <item x="2"/>
        <item x="4"/>
      </items>
    </pivotField>
    <pivotField showAll="0" defaultSubtotal="0">
      <items count="6">
        <item x="0"/>
        <item x="1"/>
        <item x="2"/>
        <item x="3"/>
        <item x="4"/>
        <item x="5"/>
      </items>
    </pivotField>
    <pivotField showAll="0" defaultSubtotal="0">
      <items count="4">
        <item x="0"/>
        <item x="1"/>
        <item x="2"/>
        <item x="3"/>
      </items>
    </pivotField>
  </pivotFields>
  <rowFields count="1">
    <field x="2"/>
  </rowFields>
  <rowItems count="14">
    <i>
      <x/>
    </i>
    <i>
      <x v="1"/>
    </i>
    <i>
      <x v="2"/>
    </i>
    <i>
      <x v="3"/>
    </i>
    <i>
      <x v="4"/>
    </i>
    <i>
      <x v="5"/>
    </i>
    <i>
      <x v="7"/>
    </i>
    <i>
      <x v="8"/>
    </i>
    <i>
      <x v="9"/>
    </i>
    <i>
      <x v="10"/>
    </i>
    <i>
      <x v="11"/>
    </i>
    <i>
      <x v="12"/>
    </i>
    <i>
      <x v="13"/>
    </i>
    <i t="grand">
      <x/>
    </i>
  </rowItems>
  <colFields count="1">
    <field x="0"/>
  </colFields>
  <colItems count="9">
    <i>
      <x/>
    </i>
    <i>
      <x v="1"/>
    </i>
    <i>
      <x v="2"/>
    </i>
    <i>
      <x v="3"/>
    </i>
    <i>
      <x v="4"/>
    </i>
    <i>
      <x v="5"/>
    </i>
    <i>
      <x v="6"/>
    </i>
    <i>
      <x v="7"/>
    </i>
    <i t="grand">
      <x/>
    </i>
  </colItems>
  <pageFields count="1">
    <pageField fld="35" hier="-1"/>
  </pageFields>
  <dataFields count="1">
    <dataField name="Cuenta de Roles _x000a_Decreto 948 de 2017" fld="0" subtotal="count" baseField="0" baseItem="0"/>
  </dataFields>
  <formats count="2">
    <format dxfId="1614">
      <pivotArea field="0" type="button" dataOnly="0" labelOnly="1" outline="0" axis="axisCol" fieldPosition="0"/>
    </format>
    <format dxfId="1613">
      <pivotArea field="0" type="button" dataOnly="0" labelOnly="1" outline="0" axis="axisCol"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8">
    <pivotField axis="axisRow"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6">
        <item x="0"/>
        <item x="1"/>
        <item x="2"/>
        <item x="3"/>
        <item x="4"/>
        <item x="5"/>
      </items>
    </pivotField>
    <pivotField showAll="0" defaultSubtotal="0">
      <items count="4">
        <item x="0"/>
        <item x="1"/>
        <item x="2"/>
        <item x="3"/>
      </items>
    </pivotField>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7"/>
  </dataFields>
  <formats count="20">
    <format dxfId="1634">
      <pivotArea field="0" grandRow="1" outline="0" collapsedLevelsAreSubtotals="1" axis="axisRow" fieldPosition="0">
        <references count="1">
          <reference field="4294967294" count="1" selected="0">
            <x v="1"/>
          </reference>
        </references>
      </pivotArea>
    </format>
    <format dxfId="1633">
      <pivotArea field="0" grandRow="1" outline="0" collapsedLevelsAreSubtotals="1" axis="axisRow" fieldPosition="0">
        <references count="1">
          <reference field="4294967294" count="1" selected="0">
            <x v="1"/>
          </reference>
        </references>
      </pivotArea>
    </format>
    <format dxfId="1632">
      <pivotArea field="0" grandRow="1" outline="0" collapsedLevelsAreSubtotals="1" axis="axisRow" fieldPosition="0">
        <references count="1">
          <reference field="4294967294" count="1" selected="0">
            <x v="1"/>
          </reference>
        </references>
      </pivotArea>
    </format>
    <format dxfId="1631">
      <pivotArea field="0" grandRow="1" outline="0" collapsedLevelsAreSubtotals="1" axis="axisRow" fieldPosition="0">
        <references count="1">
          <reference field="4294967294" count="1" selected="0">
            <x v="1"/>
          </reference>
        </references>
      </pivotArea>
    </format>
    <format dxfId="1630">
      <pivotArea field="0" grandRow="1" outline="0" collapsedLevelsAreSubtotals="1" axis="axisRow" fieldPosition="0">
        <references count="1">
          <reference field="4294967294" count="1" selected="0">
            <x v="1"/>
          </reference>
        </references>
      </pivotArea>
    </format>
    <format dxfId="1629">
      <pivotArea field="0" grandRow="1" outline="0" collapsedLevelsAreSubtotals="1" axis="axisRow" fieldPosition="0">
        <references count="1">
          <reference field="4294967294" count="1" selected="0">
            <x v="1"/>
          </reference>
        </references>
      </pivotArea>
    </format>
    <format dxfId="1628">
      <pivotArea outline="0" collapsedLevelsAreSubtotals="1" fieldPosition="0">
        <references count="1">
          <reference field="4294967294" count="1" selected="0">
            <x v="1"/>
          </reference>
        </references>
      </pivotArea>
    </format>
    <format dxfId="1627">
      <pivotArea outline="0" collapsedLevelsAreSubtotals="1" fieldPosition="0">
        <references count="1">
          <reference field="4294967294" count="1" selected="0">
            <x v="1"/>
          </reference>
        </references>
      </pivotArea>
    </format>
    <format dxfId="1626">
      <pivotArea outline="0" collapsedLevelsAreSubtotals="1" fieldPosition="0">
        <references count="1">
          <reference field="4294967294" count="1" selected="0">
            <x v="1"/>
          </reference>
        </references>
      </pivotArea>
    </format>
    <format dxfId="1625">
      <pivotArea outline="0" collapsedLevelsAreSubtotals="1" fieldPosition="0">
        <references count="1">
          <reference field="4294967294" count="1" selected="0">
            <x v="1"/>
          </reference>
        </references>
      </pivotArea>
    </format>
    <format dxfId="1624">
      <pivotArea outline="0" collapsedLevelsAreSubtotals="1" fieldPosition="0">
        <references count="1">
          <reference field="4294967294" count="1" selected="0">
            <x v="1"/>
          </reference>
        </references>
      </pivotArea>
    </format>
    <format dxfId="1623">
      <pivotArea outline="0" collapsedLevelsAreSubtotals="1" fieldPosition="0">
        <references count="1">
          <reference field="4294967294" count="1" selected="0">
            <x v="1"/>
          </reference>
        </references>
      </pivotArea>
    </format>
    <format dxfId="1622">
      <pivotArea field="0" grandRow="1" outline="0" collapsedLevelsAreSubtotals="1" axis="axisRow" fieldPosition="0">
        <references count="1">
          <reference field="4294967294" count="1" selected="0">
            <x v="1"/>
          </reference>
        </references>
      </pivotArea>
    </format>
    <format dxfId="1621">
      <pivotArea dataOnly="0" labelOnly="1" outline="0" fieldPosition="0">
        <references count="1">
          <reference field="4294967294" count="1">
            <x v="1"/>
          </reference>
        </references>
      </pivotArea>
    </format>
    <format dxfId="1620">
      <pivotArea dataOnly="0" labelOnly="1" outline="0" fieldPosition="0">
        <references count="1">
          <reference field="4294967294" count="1">
            <x v="1"/>
          </reference>
        </references>
      </pivotArea>
    </format>
    <format dxfId="1619">
      <pivotArea dataOnly="0" labelOnly="1" outline="0" fieldPosition="0">
        <references count="1">
          <reference field="4294967294" count="1">
            <x v="1"/>
          </reference>
        </references>
      </pivotArea>
    </format>
    <format dxfId="1618">
      <pivotArea field="0" type="button" dataOnly="0" labelOnly="1" outline="0" axis="axisRow" fieldPosition="0"/>
    </format>
    <format dxfId="1617">
      <pivotArea dataOnly="0" labelOnly="1" outline="0" fieldPosition="0">
        <references count="1">
          <reference field="4294967294" count="2">
            <x v="0"/>
            <x v="1"/>
          </reference>
        </references>
      </pivotArea>
    </format>
    <format dxfId="1616">
      <pivotArea field="0" type="button" dataOnly="0" labelOnly="1" outline="0" axis="axisRow" fieldPosition="0"/>
    </format>
    <format dxfId="161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1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0:C78" firstHeaderRow="1" firstDataRow="2" firstDataCol="1" rowPageCount="1" colPageCount="1"/>
  <pivotFields count="38">
    <pivotField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7">
        <item x="3"/>
        <item x="0"/>
        <item x="1"/>
        <item x="5"/>
        <item x="4"/>
        <item x="2"/>
        <item m="1" x="6"/>
      </items>
    </pivotField>
    <pivotField showAll="0" defaultSubtotal="0">
      <items count="6">
        <item sd="0" x="0"/>
        <item x="1"/>
        <item sd="0" x="2"/>
        <item sd="0" x="3"/>
        <item sd="0" x="4"/>
        <item sd="0" x="5"/>
      </items>
    </pivotField>
    <pivotField axis="axisRow" showAll="0" defaultSubtotal="0">
      <items count="4">
        <item sd="0" x="0"/>
        <item x="1"/>
        <item x="2"/>
        <item sd="0" x="3"/>
      </items>
    </pivotField>
  </pivotFields>
  <rowFields count="2">
    <field x="37"/>
    <field x="8"/>
  </rowFields>
  <rowItems count="17">
    <i>
      <x/>
    </i>
    <i>
      <x v="1"/>
    </i>
    <i r="1">
      <x v="1"/>
    </i>
    <i r="1">
      <x v="2"/>
    </i>
    <i r="1">
      <x v="3"/>
    </i>
    <i r="1">
      <x v="4"/>
    </i>
    <i r="1">
      <x v="5"/>
    </i>
    <i r="1">
      <x v="6"/>
    </i>
    <i r="1">
      <x v="7"/>
    </i>
    <i r="1">
      <x v="8"/>
    </i>
    <i r="1">
      <x v="9"/>
    </i>
    <i r="1">
      <x v="10"/>
    </i>
    <i r="1">
      <x v="11"/>
    </i>
    <i r="1">
      <x v="12"/>
    </i>
    <i>
      <x v="2"/>
    </i>
    <i r="1">
      <x v="1"/>
    </i>
    <i t="grand">
      <x/>
    </i>
  </rowItems>
  <colFields count="1">
    <field x="-2"/>
  </colFields>
  <colItems count="2">
    <i>
      <x/>
    </i>
    <i i="1">
      <x v="1"/>
    </i>
  </colItems>
  <pageFields count="1">
    <pageField fld="35" hier="-1"/>
  </pageFields>
  <dataFields count="2">
    <dataField name="Suma de Ponderación" fld="22" baseField="8" baseItem="1" numFmtId="10"/>
    <dataField name="Suma de Aporte al Avance del  PAA" fld="27" baseField="8" baseItem="1" numFmtId="10"/>
  </dataFields>
  <formats count="4">
    <format dxfId="1638">
      <pivotArea field="0" type="button" dataOnly="0" labelOnly="1" outline="0"/>
    </format>
    <format dxfId="1637">
      <pivotArea field="0" type="button" dataOnly="0" labelOnly="1" outline="0"/>
    </format>
    <format dxfId="1636">
      <pivotArea outline="0" fieldPosition="0">
        <references count="1">
          <reference field="4294967294" count="1">
            <x v="0"/>
          </reference>
        </references>
      </pivotArea>
    </format>
    <format dxfId="1635">
      <pivotArea outline="0" fieldPosition="0">
        <references count="1">
          <reference field="4294967294" count="1">
            <x v="1"/>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J78"/>
  <sheetViews>
    <sheetView topLeftCell="A49" zoomScaleNormal="100" workbookViewId="0">
      <selection activeCell="D75" sqref="D75"/>
    </sheetView>
  </sheetViews>
  <sheetFormatPr baseColWidth="10" defaultRowHeight="15" x14ac:dyDescent="0.25"/>
  <cols>
    <col min="1" max="1" width="17.5703125" customWidth="1"/>
    <col min="2" max="2" width="20.28515625" customWidth="1"/>
    <col min="3" max="3" width="32.42578125" customWidth="1"/>
    <col min="4" max="4" width="26.140625" customWidth="1"/>
    <col min="5" max="5" width="32.7109375" customWidth="1"/>
    <col min="6" max="6" width="15.140625" customWidth="1"/>
    <col min="7" max="7" width="19.7109375" customWidth="1"/>
    <col min="8" max="8" width="35.85546875" customWidth="1"/>
    <col min="9" max="9" width="36.7109375" customWidth="1"/>
    <col min="10" max="10" width="12.5703125" customWidth="1"/>
    <col min="11" max="37" width="11.42578125" customWidth="1"/>
  </cols>
  <sheetData>
    <row r="3" spans="1:9" x14ac:dyDescent="0.25">
      <c r="B3" s="35" t="s">
        <v>193</v>
      </c>
    </row>
    <row r="4" spans="1:9" s="76" customFormat="1" ht="75" x14ac:dyDescent="0.25">
      <c r="A4" s="80" t="s">
        <v>214</v>
      </c>
      <c r="B4" s="167" t="s">
        <v>190</v>
      </c>
      <c r="C4" s="79" t="s">
        <v>189</v>
      </c>
      <c r="D4"/>
      <c r="E4"/>
      <c r="F4"/>
      <c r="G4"/>
      <c r="H4"/>
      <c r="I4"/>
    </row>
    <row r="5" spans="1:9" x14ac:dyDescent="0.25">
      <c r="A5" s="36" t="s">
        <v>52</v>
      </c>
      <c r="B5" s="38">
        <v>0.04</v>
      </c>
      <c r="C5" s="55">
        <v>1.0375000000000001E-2</v>
      </c>
    </row>
    <row r="6" spans="1:9" x14ac:dyDescent="0.25">
      <c r="A6" s="36" t="s">
        <v>50</v>
      </c>
      <c r="B6" s="38">
        <v>0.13999999999999996</v>
      </c>
      <c r="C6" s="55">
        <v>7.5080500000000008E-2</v>
      </c>
    </row>
    <row r="7" spans="1:9" x14ac:dyDescent="0.25">
      <c r="A7" s="36" t="s">
        <v>45</v>
      </c>
      <c r="B7" s="38">
        <v>0.18000000000000008</v>
      </c>
      <c r="C7" s="55">
        <v>9.5700000000000035E-2</v>
      </c>
    </row>
    <row r="8" spans="1:9" x14ac:dyDescent="0.25">
      <c r="A8" s="36" t="s">
        <v>51</v>
      </c>
      <c r="B8" s="38">
        <v>0.13</v>
      </c>
      <c r="C8" s="55">
        <v>8.6449999999999985E-2</v>
      </c>
    </row>
    <row r="9" spans="1:9" x14ac:dyDescent="0.25">
      <c r="A9" s="36" t="s">
        <v>44</v>
      </c>
      <c r="B9" s="38">
        <v>0.16</v>
      </c>
      <c r="C9" s="55">
        <v>0.10149999999999998</v>
      </c>
    </row>
    <row r="10" spans="1:9" x14ac:dyDescent="0.25">
      <c r="A10" s="36" t="s">
        <v>43</v>
      </c>
      <c r="B10" s="38">
        <v>0.1</v>
      </c>
      <c r="C10" s="55">
        <v>6.8729999999999999E-2</v>
      </c>
    </row>
    <row r="11" spans="1:9" x14ac:dyDescent="0.25">
      <c r="A11" s="36" t="s">
        <v>46</v>
      </c>
      <c r="B11" s="38">
        <v>9.0000000000000024E-2</v>
      </c>
      <c r="C11" s="55">
        <v>5.4800000000000022E-2</v>
      </c>
    </row>
    <row r="12" spans="1:9" x14ac:dyDescent="0.25">
      <c r="A12" s="36" t="s">
        <v>47</v>
      </c>
      <c r="B12" s="38">
        <v>0.16</v>
      </c>
      <c r="C12" s="55">
        <v>8.4149999999999989E-2</v>
      </c>
    </row>
    <row r="13" spans="1:9" x14ac:dyDescent="0.25">
      <c r="A13" s="36" t="s">
        <v>188</v>
      </c>
      <c r="B13" s="38">
        <v>1</v>
      </c>
      <c r="C13" s="71">
        <v>0.57678549999999995</v>
      </c>
    </row>
    <row r="20" spans="1:6" x14ac:dyDescent="0.25">
      <c r="A20" s="46" t="s">
        <v>194</v>
      </c>
      <c r="B20" s="46" t="s">
        <v>190</v>
      </c>
      <c r="C20" s="46" t="s">
        <v>189</v>
      </c>
    </row>
    <row r="21" spans="1:6" x14ac:dyDescent="0.25">
      <c r="A21" s="77" t="s">
        <v>52</v>
      </c>
      <c r="B21" s="127">
        <v>0.04</v>
      </c>
      <c r="C21" s="127">
        <v>1.0375000000000001E-2</v>
      </c>
      <c r="D21" s="59">
        <f t="shared" ref="D21:D29" si="0">+B21-C21</f>
        <v>2.9624999999999999E-2</v>
      </c>
      <c r="E21" s="58"/>
      <c r="F21" s="39"/>
    </row>
    <row r="22" spans="1:6" x14ac:dyDescent="0.25">
      <c r="A22" s="77" t="s">
        <v>50</v>
      </c>
      <c r="B22" s="127">
        <v>0.13999999999999996</v>
      </c>
      <c r="C22" s="127">
        <v>7.5080500000000008E-2</v>
      </c>
      <c r="D22" s="59">
        <f t="shared" si="0"/>
        <v>6.4919499999999949E-2</v>
      </c>
      <c r="E22" s="168"/>
      <c r="F22" s="78"/>
    </row>
    <row r="23" spans="1:6" x14ac:dyDescent="0.25">
      <c r="A23" s="77" t="s">
        <v>45</v>
      </c>
      <c r="B23" s="127">
        <v>0.18000000000000008</v>
      </c>
      <c r="C23" s="127">
        <v>9.5700000000000035E-2</v>
      </c>
      <c r="D23" s="59">
        <f t="shared" si="0"/>
        <v>8.4300000000000042E-2</v>
      </c>
      <c r="E23" s="58"/>
      <c r="F23" s="78"/>
    </row>
    <row r="24" spans="1:6" x14ac:dyDescent="0.25">
      <c r="A24" s="77" t="s">
        <v>51</v>
      </c>
      <c r="B24" s="127">
        <v>0.13</v>
      </c>
      <c r="C24" s="127">
        <v>8.6449999999999985E-2</v>
      </c>
      <c r="D24" s="59">
        <f t="shared" si="0"/>
        <v>4.3550000000000019E-2</v>
      </c>
      <c r="E24" s="58"/>
      <c r="F24" s="78"/>
    </row>
    <row r="25" spans="1:6" x14ac:dyDescent="0.25">
      <c r="A25" s="77" t="s">
        <v>44</v>
      </c>
      <c r="B25" s="127">
        <v>0.16</v>
      </c>
      <c r="C25" s="127">
        <v>0.10149999999999998</v>
      </c>
      <c r="D25" s="59">
        <f t="shared" si="0"/>
        <v>5.8500000000000024E-2</v>
      </c>
      <c r="E25" s="58"/>
      <c r="F25" s="78"/>
    </row>
    <row r="26" spans="1:6" x14ac:dyDescent="0.25">
      <c r="A26" s="77" t="s">
        <v>43</v>
      </c>
      <c r="B26" s="127">
        <v>0.1</v>
      </c>
      <c r="C26" s="127">
        <v>6.8729999999999999E-2</v>
      </c>
      <c r="D26" s="59">
        <f t="shared" si="0"/>
        <v>3.1270000000000006E-2</v>
      </c>
      <c r="E26" s="58"/>
      <c r="F26" s="78"/>
    </row>
    <row r="27" spans="1:6" x14ac:dyDescent="0.25">
      <c r="A27" s="77" t="s">
        <v>46</v>
      </c>
      <c r="B27" s="127">
        <v>9.0000000000000024E-2</v>
      </c>
      <c r="C27" s="127">
        <v>5.4800000000000022E-2</v>
      </c>
      <c r="D27" s="59">
        <f t="shared" si="0"/>
        <v>3.5200000000000002E-2</v>
      </c>
      <c r="E27" s="58"/>
      <c r="F27" s="78"/>
    </row>
    <row r="28" spans="1:6" x14ac:dyDescent="0.25">
      <c r="A28" s="77" t="s">
        <v>47</v>
      </c>
      <c r="B28" s="127">
        <v>0.16</v>
      </c>
      <c r="C28" s="127">
        <v>8.4149999999999989E-2</v>
      </c>
      <c r="D28" s="59">
        <f t="shared" si="0"/>
        <v>7.5850000000000015E-2</v>
      </c>
      <c r="E28" s="58"/>
      <c r="F28" s="78"/>
    </row>
    <row r="29" spans="1:6" x14ac:dyDescent="0.25">
      <c r="A29" s="37" t="s">
        <v>188</v>
      </c>
      <c r="B29" s="40">
        <f>SUM(B21:B28)</f>
        <v>1</v>
      </c>
      <c r="C29" s="40">
        <f>SUM(C21:C28)</f>
        <v>0.57678549999999995</v>
      </c>
      <c r="D29" s="59">
        <f t="shared" si="0"/>
        <v>0.42321450000000005</v>
      </c>
      <c r="E29" s="58"/>
      <c r="F29" s="78"/>
    </row>
    <row r="33" spans="1:10" x14ac:dyDescent="0.25">
      <c r="A33" s="35" t="s">
        <v>370</v>
      </c>
      <c r="B33" t="s">
        <v>510</v>
      </c>
    </row>
    <row r="35" spans="1:10" x14ac:dyDescent="0.25">
      <c r="A35" s="35" t="s">
        <v>509</v>
      </c>
      <c r="B35" s="80" t="s">
        <v>507</v>
      </c>
    </row>
    <row r="36" spans="1:10" x14ac:dyDescent="0.25">
      <c r="A36" s="35" t="s">
        <v>214</v>
      </c>
      <c r="B36" t="s">
        <v>52</v>
      </c>
      <c r="C36" t="s">
        <v>50</v>
      </c>
      <c r="D36" t="s">
        <v>45</v>
      </c>
      <c r="E36" t="s">
        <v>51</v>
      </c>
      <c r="F36" t="s">
        <v>44</v>
      </c>
      <c r="G36" t="s">
        <v>43</v>
      </c>
      <c r="H36" t="s">
        <v>46</v>
      </c>
      <c r="I36" t="s">
        <v>47</v>
      </c>
      <c r="J36" t="s">
        <v>188</v>
      </c>
    </row>
    <row r="37" spans="1:10" x14ac:dyDescent="0.25">
      <c r="A37" s="36" t="s">
        <v>141</v>
      </c>
      <c r="B37" s="38"/>
      <c r="C37" s="38">
        <v>3</v>
      </c>
      <c r="D37" s="38"/>
      <c r="E37" s="38"/>
      <c r="F37" s="38"/>
      <c r="G37" s="38"/>
      <c r="H37" s="38">
        <v>3</v>
      </c>
      <c r="I37" s="38"/>
      <c r="J37" s="38">
        <v>6</v>
      </c>
    </row>
    <row r="38" spans="1:10" x14ac:dyDescent="0.25">
      <c r="A38" s="36" t="s">
        <v>90</v>
      </c>
      <c r="B38" s="38">
        <v>7</v>
      </c>
      <c r="C38" s="38"/>
      <c r="D38" s="38">
        <v>22</v>
      </c>
      <c r="E38" s="38"/>
      <c r="F38" s="38"/>
      <c r="G38" s="38">
        <v>5</v>
      </c>
      <c r="H38" s="38"/>
      <c r="I38" s="38">
        <v>5</v>
      </c>
      <c r="J38" s="38">
        <v>39</v>
      </c>
    </row>
    <row r="39" spans="1:10" x14ac:dyDescent="0.25">
      <c r="A39" s="36" t="s">
        <v>87</v>
      </c>
      <c r="B39" s="38">
        <v>1</v>
      </c>
      <c r="C39" s="38"/>
      <c r="D39" s="38"/>
      <c r="E39" s="38"/>
      <c r="F39" s="38">
        <v>3</v>
      </c>
      <c r="G39" s="38"/>
      <c r="H39" s="38"/>
      <c r="I39" s="38"/>
      <c r="J39" s="38">
        <v>4</v>
      </c>
    </row>
    <row r="40" spans="1:10" x14ac:dyDescent="0.25">
      <c r="A40" s="36" t="s">
        <v>76</v>
      </c>
      <c r="B40" s="38"/>
      <c r="C40" s="38">
        <v>1</v>
      </c>
      <c r="D40" s="38"/>
      <c r="E40" s="38"/>
      <c r="F40" s="38"/>
      <c r="G40" s="38"/>
      <c r="H40" s="38"/>
      <c r="I40" s="38"/>
      <c r="J40" s="38">
        <v>1</v>
      </c>
    </row>
    <row r="41" spans="1:10" x14ac:dyDescent="0.25">
      <c r="A41" s="36" t="s">
        <v>73</v>
      </c>
      <c r="B41" s="38"/>
      <c r="C41" s="38"/>
      <c r="D41" s="38"/>
      <c r="E41" s="38"/>
      <c r="F41" s="38">
        <v>1</v>
      </c>
      <c r="G41" s="38"/>
      <c r="H41" s="38"/>
      <c r="I41" s="38"/>
      <c r="J41" s="38">
        <v>1</v>
      </c>
    </row>
    <row r="42" spans="1:10" x14ac:dyDescent="0.25">
      <c r="A42" s="36" t="s">
        <v>89</v>
      </c>
      <c r="B42" s="38"/>
      <c r="C42" s="38">
        <v>3</v>
      </c>
      <c r="D42" s="38"/>
      <c r="E42" s="38"/>
      <c r="F42" s="38">
        <v>9</v>
      </c>
      <c r="G42" s="38"/>
      <c r="H42" s="38">
        <v>3</v>
      </c>
      <c r="I42" s="38"/>
      <c r="J42" s="38">
        <v>15</v>
      </c>
    </row>
    <row r="43" spans="1:10" x14ac:dyDescent="0.25">
      <c r="A43" s="36" t="s">
        <v>82</v>
      </c>
      <c r="B43" s="38"/>
      <c r="C43" s="38">
        <v>1</v>
      </c>
      <c r="D43" s="38"/>
      <c r="E43" s="38"/>
      <c r="F43" s="38"/>
      <c r="G43" s="38"/>
      <c r="H43" s="38">
        <v>5</v>
      </c>
      <c r="I43" s="38"/>
      <c r="J43" s="38">
        <v>6</v>
      </c>
    </row>
    <row r="44" spans="1:10" x14ac:dyDescent="0.25">
      <c r="A44" s="36" t="s">
        <v>83</v>
      </c>
      <c r="B44" s="38"/>
      <c r="C44" s="38">
        <v>2</v>
      </c>
      <c r="D44" s="38"/>
      <c r="E44" s="38"/>
      <c r="F44" s="38"/>
      <c r="G44" s="38"/>
      <c r="H44" s="38"/>
      <c r="I44" s="38"/>
      <c r="J44" s="38">
        <v>2</v>
      </c>
    </row>
    <row r="45" spans="1:10" x14ac:dyDescent="0.25">
      <c r="A45" s="36" t="s">
        <v>127</v>
      </c>
      <c r="B45" s="38"/>
      <c r="C45" s="38"/>
      <c r="D45" s="38"/>
      <c r="E45" s="38">
        <v>1</v>
      </c>
      <c r="F45" s="38">
        <v>1</v>
      </c>
      <c r="G45" s="38"/>
      <c r="H45" s="38">
        <v>1</v>
      </c>
      <c r="I45" s="38"/>
      <c r="J45" s="38">
        <v>3</v>
      </c>
    </row>
    <row r="46" spans="1:10" x14ac:dyDescent="0.25">
      <c r="A46" s="36" t="s">
        <v>80</v>
      </c>
      <c r="B46" s="38"/>
      <c r="C46" s="38">
        <v>3</v>
      </c>
      <c r="D46" s="38"/>
      <c r="E46" s="38"/>
      <c r="F46" s="38"/>
      <c r="G46" s="38"/>
      <c r="H46" s="38">
        <v>1</v>
      </c>
      <c r="I46" s="38"/>
      <c r="J46" s="38">
        <v>4</v>
      </c>
    </row>
    <row r="47" spans="1:10" x14ac:dyDescent="0.25">
      <c r="A47" s="36" t="s">
        <v>140</v>
      </c>
      <c r="B47" s="38"/>
      <c r="C47" s="38">
        <v>2</v>
      </c>
      <c r="D47" s="38"/>
      <c r="E47" s="38"/>
      <c r="F47" s="38"/>
      <c r="G47" s="38"/>
      <c r="H47" s="38"/>
      <c r="I47" s="38"/>
      <c r="J47" s="38">
        <v>2</v>
      </c>
    </row>
    <row r="48" spans="1:10" x14ac:dyDescent="0.25">
      <c r="A48" s="36" t="s">
        <v>98</v>
      </c>
      <c r="B48" s="38"/>
      <c r="C48" s="38"/>
      <c r="D48" s="38">
        <v>3</v>
      </c>
      <c r="E48" s="38">
        <v>4</v>
      </c>
      <c r="F48" s="38"/>
      <c r="G48" s="38">
        <v>5</v>
      </c>
      <c r="H48" s="38">
        <v>1</v>
      </c>
      <c r="I48" s="38">
        <v>4</v>
      </c>
      <c r="J48" s="38">
        <v>17</v>
      </c>
    </row>
    <row r="49" spans="1:10" x14ac:dyDescent="0.25">
      <c r="A49" s="36" t="s">
        <v>81</v>
      </c>
      <c r="B49" s="38"/>
      <c r="C49" s="38">
        <v>2</v>
      </c>
      <c r="D49" s="38"/>
      <c r="E49" s="38"/>
      <c r="F49" s="38"/>
      <c r="G49" s="38"/>
      <c r="H49" s="38">
        <v>1</v>
      </c>
      <c r="I49" s="38"/>
      <c r="J49" s="38">
        <v>3</v>
      </c>
    </row>
    <row r="50" spans="1:10" x14ac:dyDescent="0.25">
      <c r="A50" s="36" t="s">
        <v>188</v>
      </c>
      <c r="B50" s="38">
        <v>8</v>
      </c>
      <c r="C50" s="38">
        <v>17</v>
      </c>
      <c r="D50" s="38">
        <v>25</v>
      </c>
      <c r="E50" s="38">
        <v>5</v>
      </c>
      <c r="F50" s="38">
        <v>14</v>
      </c>
      <c r="G50" s="38">
        <v>10</v>
      </c>
      <c r="H50" s="38">
        <v>15</v>
      </c>
      <c r="I50" s="38">
        <v>9</v>
      </c>
      <c r="J50" s="38">
        <v>103</v>
      </c>
    </row>
    <row r="58" spans="1:10" x14ac:dyDescent="0.25">
      <c r="A58" s="35" t="s">
        <v>370</v>
      </c>
      <c r="B58" t="s">
        <v>534</v>
      </c>
    </row>
    <row r="60" spans="1:10" x14ac:dyDescent="0.25">
      <c r="B60" s="35" t="s">
        <v>193</v>
      </c>
    </row>
    <row r="61" spans="1:10" x14ac:dyDescent="0.25">
      <c r="A61" s="35" t="s">
        <v>214</v>
      </c>
      <c r="B61" t="s">
        <v>190</v>
      </c>
      <c r="C61" t="s">
        <v>189</v>
      </c>
    </row>
    <row r="62" spans="1:10" x14ac:dyDescent="0.25">
      <c r="A62" s="36" t="s">
        <v>519</v>
      </c>
      <c r="B62" s="78">
        <v>0</v>
      </c>
      <c r="C62" s="78">
        <v>0</v>
      </c>
    </row>
    <row r="63" spans="1:10" x14ac:dyDescent="0.25">
      <c r="A63" s="36" t="s">
        <v>520</v>
      </c>
      <c r="B63" s="78"/>
      <c r="C63" s="78"/>
    </row>
    <row r="64" spans="1:10" x14ac:dyDescent="0.25">
      <c r="A64" s="232" t="s">
        <v>521</v>
      </c>
      <c r="B64" s="78">
        <v>0.13600000000000004</v>
      </c>
      <c r="C64" s="78">
        <v>0.13600000000000001</v>
      </c>
      <c r="E64" s="232" t="s">
        <v>521</v>
      </c>
    </row>
    <row r="65" spans="1:5" x14ac:dyDescent="0.25">
      <c r="A65" s="232" t="s">
        <v>522</v>
      </c>
      <c r="B65" s="78">
        <v>7.2000000000000022E-2</v>
      </c>
      <c r="C65" s="78">
        <v>7.2000000000000022E-2</v>
      </c>
      <c r="E65" s="232" t="s">
        <v>522</v>
      </c>
    </row>
    <row r="66" spans="1:5" x14ac:dyDescent="0.25">
      <c r="A66" s="232" t="s">
        <v>523</v>
      </c>
      <c r="B66" s="78">
        <v>9.9750000000000019E-2</v>
      </c>
      <c r="C66" s="78">
        <v>9.9437500000000012E-2</v>
      </c>
      <c r="D66" s="78"/>
      <c r="E66" s="232" t="s">
        <v>523</v>
      </c>
    </row>
    <row r="67" spans="1:5" x14ac:dyDescent="0.25">
      <c r="A67" s="232" t="s">
        <v>524</v>
      </c>
      <c r="B67" s="78">
        <v>8.2500000000000004E-2</v>
      </c>
      <c r="C67" s="78">
        <v>7.7350000000000002E-2</v>
      </c>
      <c r="E67" s="232" t="s">
        <v>524</v>
      </c>
    </row>
    <row r="68" spans="1:5" x14ac:dyDescent="0.25">
      <c r="A68" s="232" t="s">
        <v>525</v>
      </c>
      <c r="B68" s="78">
        <v>6.1000000000000006E-2</v>
      </c>
      <c r="C68" s="78">
        <v>5.8450000000000002E-2</v>
      </c>
      <c r="E68" s="232" t="s">
        <v>525</v>
      </c>
    </row>
    <row r="69" spans="1:5" x14ac:dyDescent="0.25">
      <c r="A69" s="232" t="s">
        <v>526</v>
      </c>
      <c r="B69" s="78">
        <v>1.9000000000000003E-2</v>
      </c>
      <c r="C69" s="78">
        <v>1.9000000000000003E-2</v>
      </c>
      <c r="E69" s="232" t="s">
        <v>526</v>
      </c>
    </row>
    <row r="70" spans="1:5" x14ac:dyDescent="0.25">
      <c r="A70" s="232" t="s">
        <v>527</v>
      </c>
      <c r="B70" s="78">
        <v>0.19025000000000006</v>
      </c>
      <c r="C70" s="78">
        <v>8.5297999999999999E-2</v>
      </c>
      <c r="E70" s="232" t="s">
        <v>527</v>
      </c>
    </row>
    <row r="71" spans="1:5" x14ac:dyDescent="0.25">
      <c r="A71" s="232" t="s">
        <v>528</v>
      </c>
      <c r="B71" s="78">
        <v>3.7000000000000005E-2</v>
      </c>
      <c r="C71" s="78">
        <v>0</v>
      </c>
      <c r="E71" s="232" t="s">
        <v>528</v>
      </c>
    </row>
    <row r="72" spans="1:5" x14ac:dyDescent="0.25">
      <c r="A72" s="232" t="s">
        <v>529</v>
      </c>
      <c r="B72" s="78">
        <v>8.900000000000001E-2</v>
      </c>
      <c r="C72" s="78">
        <v>1.0799999999999999E-2</v>
      </c>
      <c r="E72" s="232" t="s">
        <v>529</v>
      </c>
    </row>
    <row r="73" spans="1:5" x14ac:dyDescent="0.25">
      <c r="A73" s="232" t="s">
        <v>530</v>
      </c>
      <c r="B73" s="78">
        <v>4.0500000000000001E-2</v>
      </c>
      <c r="C73" s="78">
        <v>0</v>
      </c>
      <c r="E73" s="232" t="s">
        <v>530</v>
      </c>
    </row>
    <row r="74" spans="1:5" x14ac:dyDescent="0.25">
      <c r="A74" s="232" t="s">
        <v>531</v>
      </c>
      <c r="B74" s="78">
        <v>5.7000000000000009E-2</v>
      </c>
      <c r="C74" s="78">
        <v>0</v>
      </c>
      <c r="E74" s="232" t="s">
        <v>531</v>
      </c>
    </row>
    <row r="75" spans="1:5" x14ac:dyDescent="0.25">
      <c r="A75" s="232" t="s">
        <v>532</v>
      </c>
      <c r="B75" s="78">
        <v>0.11100000000000002</v>
      </c>
      <c r="C75" s="78">
        <v>1.8450000000000001E-2</v>
      </c>
      <c r="E75" s="232" t="s">
        <v>532</v>
      </c>
    </row>
    <row r="76" spans="1:5" x14ac:dyDescent="0.25">
      <c r="A76" s="36" t="s">
        <v>533</v>
      </c>
      <c r="B76" s="78"/>
      <c r="C76" s="78"/>
    </row>
    <row r="77" spans="1:5" x14ac:dyDescent="0.25">
      <c r="A77" s="232" t="s">
        <v>521</v>
      </c>
      <c r="B77" s="78">
        <v>5.0000000000000001E-3</v>
      </c>
      <c r="C77" s="78">
        <v>0</v>
      </c>
    </row>
    <row r="78" spans="1:5" x14ac:dyDescent="0.25">
      <c r="A78" s="36" t="s">
        <v>188</v>
      </c>
      <c r="B78" s="78">
        <v>1.0000000000000002</v>
      </c>
      <c r="C78" s="78">
        <v>0.57678550000000006</v>
      </c>
    </row>
  </sheetData>
  <phoneticPr fontId="34" type="noConversion"/>
  <dataValidations count="1">
    <dataValidation type="decimal" allowBlank="1" showInputMessage="1" showErrorMessage="1" sqref="E22">
      <formula1>0</formula1>
      <formula2>1</formula2>
    </dataValidation>
  </dataValidation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showGridLines="0" workbookViewId="0">
      <selection activeCell="C7" sqref="C7"/>
    </sheetView>
  </sheetViews>
  <sheetFormatPr baseColWidth="10" defaultRowHeight="15" x14ac:dyDescent="0.25"/>
  <cols>
    <col min="1" max="1" width="31.140625" bestFit="1" customWidth="1"/>
    <col min="3" max="3" width="15" customWidth="1"/>
    <col min="5" max="5" width="15.140625" customWidth="1"/>
    <col min="6" max="6" width="13" customWidth="1"/>
    <col min="7" max="7" width="12.7109375" customWidth="1"/>
  </cols>
  <sheetData>
    <row r="2" spans="1:9" x14ac:dyDescent="0.25">
      <c r="A2" s="3"/>
      <c r="B2" s="239" t="s">
        <v>512</v>
      </c>
      <c r="C2" s="240"/>
      <c r="D2" s="241"/>
      <c r="E2" s="3"/>
      <c r="F2" s="3"/>
      <c r="G2" s="3"/>
      <c r="H2" s="3"/>
      <c r="I2" s="3"/>
    </row>
    <row r="3" spans="1:9" ht="48" x14ac:dyDescent="0.25">
      <c r="A3" s="203" t="s">
        <v>70</v>
      </c>
      <c r="B3" s="203" t="s">
        <v>50</v>
      </c>
      <c r="C3" s="203" t="s">
        <v>511</v>
      </c>
      <c r="D3" s="203" t="s">
        <v>44</v>
      </c>
      <c r="E3" s="203" t="s">
        <v>43</v>
      </c>
      <c r="F3" s="203" t="s">
        <v>45</v>
      </c>
      <c r="G3" s="203" t="s">
        <v>46</v>
      </c>
      <c r="H3" s="203" t="s">
        <v>51</v>
      </c>
      <c r="I3" s="203" t="s">
        <v>188</v>
      </c>
    </row>
    <row r="4" spans="1:9" x14ac:dyDescent="0.25">
      <c r="A4" s="204" t="s">
        <v>80</v>
      </c>
      <c r="B4" s="205">
        <v>3</v>
      </c>
      <c r="C4" s="205"/>
      <c r="D4" s="205"/>
      <c r="E4" s="205"/>
      <c r="F4" s="205"/>
      <c r="G4" s="205">
        <v>1</v>
      </c>
      <c r="H4" s="205"/>
      <c r="I4" s="205">
        <v>4</v>
      </c>
    </row>
    <row r="5" spans="1:9" x14ac:dyDescent="0.25">
      <c r="A5" s="206" t="s">
        <v>81</v>
      </c>
      <c r="B5" s="207">
        <v>2</v>
      </c>
      <c r="C5" s="207"/>
      <c r="D5" s="207"/>
      <c r="E5" s="207"/>
      <c r="F5" s="207"/>
      <c r="G5" s="207">
        <v>1</v>
      </c>
      <c r="H5" s="207"/>
      <c r="I5" s="207">
        <v>3</v>
      </c>
    </row>
    <row r="6" spans="1:9" x14ac:dyDescent="0.25">
      <c r="A6" s="206" t="s">
        <v>82</v>
      </c>
      <c r="B6" s="207">
        <v>1</v>
      </c>
      <c r="C6" s="207"/>
      <c r="D6" s="207"/>
      <c r="E6" s="207"/>
      <c r="F6" s="207"/>
      <c r="G6" s="207">
        <v>5</v>
      </c>
      <c r="H6" s="207"/>
      <c r="I6" s="207">
        <v>6</v>
      </c>
    </row>
    <row r="7" spans="1:9" x14ac:dyDescent="0.25">
      <c r="A7" s="206" t="s">
        <v>83</v>
      </c>
      <c r="B7" s="207">
        <v>2</v>
      </c>
      <c r="C7" s="207"/>
      <c r="D7" s="207"/>
      <c r="E7" s="207"/>
      <c r="F7" s="207"/>
      <c r="G7" s="207"/>
      <c r="H7" s="207"/>
      <c r="I7" s="207">
        <v>2</v>
      </c>
    </row>
    <row r="8" spans="1:9" x14ac:dyDescent="0.25">
      <c r="A8" s="206" t="s">
        <v>140</v>
      </c>
      <c r="B8" s="207">
        <v>3</v>
      </c>
      <c r="C8" s="207"/>
      <c r="D8" s="207"/>
      <c r="E8" s="207"/>
      <c r="F8" s="207"/>
      <c r="G8" s="207"/>
      <c r="H8" s="207"/>
      <c r="I8" s="207">
        <v>3</v>
      </c>
    </row>
    <row r="9" spans="1:9" x14ac:dyDescent="0.25">
      <c r="A9" s="206" t="s">
        <v>141</v>
      </c>
      <c r="B9" s="207">
        <v>3</v>
      </c>
      <c r="C9" s="207"/>
      <c r="D9" s="207"/>
      <c r="E9" s="207"/>
      <c r="F9" s="207"/>
      <c r="G9" s="207">
        <v>3</v>
      </c>
      <c r="H9" s="207"/>
      <c r="I9" s="207">
        <v>6</v>
      </c>
    </row>
    <row r="10" spans="1:9" x14ac:dyDescent="0.25">
      <c r="A10" s="206" t="s">
        <v>73</v>
      </c>
      <c r="B10" s="207"/>
      <c r="C10" s="207"/>
      <c r="D10" s="207">
        <v>1</v>
      </c>
      <c r="E10" s="207"/>
      <c r="F10" s="207"/>
      <c r="G10" s="207"/>
      <c r="H10" s="207"/>
      <c r="I10" s="207">
        <v>1</v>
      </c>
    </row>
    <row r="11" spans="1:9" x14ac:dyDescent="0.25">
      <c r="A11" s="206" t="s">
        <v>513</v>
      </c>
      <c r="B11" s="207"/>
      <c r="C11" s="207"/>
      <c r="D11" s="207">
        <v>1</v>
      </c>
      <c r="E11" s="207"/>
      <c r="F11" s="207"/>
      <c r="G11" s="207">
        <v>1</v>
      </c>
      <c r="H11" s="207">
        <v>1</v>
      </c>
      <c r="I11" s="207">
        <v>3</v>
      </c>
    </row>
    <row r="12" spans="1:9" x14ac:dyDescent="0.25">
      <c r="A12" s="206" t="s">
        <v>87</v>
      </c>
      <c r="B12" s="207"/>
      <c r="C12" s="207"/>
      <c r="D12" s="207">
        <v>3</v>
      </c>
      <c r="E12" s="207"/>
      <c r="F12" s="207">
        <v>1</v>
      </c>
      <c r="G12" s="207"/>
      <c r="H12" s="207"/>
      <c r="I12" s="207">
        <v>4</v>
      </c>
    </row>
    <row r="13" spans="1:9" x14ac:dyDescent="0.25">
      <c r="A13" s="206" t="s">
        <v>76</v>
      </c>
      <c r="B13" s="207">
        <v>1</v>
      </c>
      <c r="C13" s="207"/>
      <c r="D13" s="207"/>
      <c r="E13" s="207"/>
      <c r="F13" s="207"/>
      <c r="G13" s="207"/>
      <c r="H13" s="207"/>
      <c r="I13" s="207">
        <v>1</v>
      </c>
    </row>
    <row r="14" spans="1:9" x14ac:dyDescent="0.25">
      <c r="A14" s="206" t="s">
        <v>89</v>
      </c>
      <c r="B14" s="207">
        <v>3</v>
      </c>
      <c r="C14" s="207"/>
      <c r="D14" s="207">
        <v>9</v>
      </c>
      <c r="E14" s="207"/>
      <c r="F14" s="207"/>
      <c r="G14" s="207">
        <v>3</v>
      </c>
      <c r="H14" s="207"/>
      <c r="I14" s="207">
        <v>15</v>
      </c>
    </row>
    <row r="15" spans="1:9" x14ac:dyDescent="0.25">
      <c r="A15" s="206" t="s">
        <v>90</v>
      </c>
      <c r="B15" s="207"/>
      <c r="C15" s="207">
        <v>5</v>
      </c>
      <c r="D15" s="207"/>
      <c r="E15" s="207">
        <v>5</v>
      </c>
      <c r="F15" s="207">
        <v>29</v>
      </c>
      <c r="G15" s="207"/>
      <c r="H15" s="207"/>
      <c r="I15" s="207">
        <v>39</v>
      </c>
    </row>
    <row r="16" spans="1:9" x14ac:dyDescent="0.25">
      <c r="A16" s="208" t="s">
        <v>98</v>
      </c>
      <c r="B16" s="209"/>
      <c r="C16" s="209">
        <v>4</v>
      </c>
      <c r="D16" s="209"/>
      <c r="E16" s="209">
        <v>5</v>
      </c>
      <c r="F16" s="209">
        <v>3</v>
      </c>
      <c r="G16" s="209">
        <v>1</v>
      </c>
      <c r="H16" s="209">
        <v>4</v>
      </c>
      <c r="I16" s="209">
        <v>17</v>
      </c>
    </row>
    <row r="17" spans="1:9" x14ac:dyDescent="0.25">
      <c r="A17" s="210" t="s">
        <v>188</v>
      </c>
      <c r="B17" s="211">
        <v>18</v>
      </c>
      <c r="C17" s="211">
        <v>9</v>
      </c>
      <c r="D17" s="211">
        <v>14</v>
      </c>
      <c r="E17" s="211">
        <v>10</v>
      </c>
      <c r="F17" s="211">
        <v>33</v>
      </c>
      <c r="G17" s="211">
        <v>15</v>
      </c>
      <c r="H17" s="211">
        <v>5</v>
      </c>
      <c r="I17" s="211">
        <v>104</v>
      </c>
    </row>
    <row r="18" spans="1:9" x14ac:dyDescent="0.25">
      <c r="A18" s="212"/>
      <c r="B18" s="212"/>
      <c r="C18" s="212"/>
      <c r="D18" s="212"/>
      <c r="E18" s="212"/>
      <c r="F18" s="212"/>
      <c r="G18" s="212"/>
      <c r="H18" s="212"/>
      <c r="I18" s="212"/>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FO1047360"/>
  <sheetViews>
    <sheetView showGridLines="0" tabSelected="1" topLeftCell="N226" zoomScaleNormal="100" zoomScaleSheetLayoutView="55" workbookViewId="0">
      <selection activeCell="Y229" sqref="Y229"/>
    </sheetView>
  </sheetViews>
  <sheetFormatPr baseColWidth="10" defaultColWidth="11.42578125" defaultRowHeight="14.25" x14ac:dyDescent="0.2"/>
  <cols>
    <col min="1" max="1" width="14.7109375" style="1" customWidth="1"/>
    <col min="2" max="2" width="47.42578125" style="1" customWidth="1"/>
    <col min="3" max="3" width="19.42578125" style="1" customWidth="1"/>
    <col min="4" max="5" width="13.28515625" style="1" customWidth="1"/>
    <col min="6" max="6" width="16.42578125" style="1" customWidth="1"/>
    <col min="7" max="9" width="12.7109375" style="1" customWidth="1"/>
    <col min="10" max="21" width="4.7109375" style="1" customWidth="1"/>
    <col min="22" max="22" width="12.140625" style="1" customWidth="1"/>
    <col min="23" max="23" width="12.85546875" style="1" customWidth="1"/>
    <col min="24" max="24" width="11.85546875" style="1" customWidth="1"/>
    <col min="25" max="25" width="25.5703125" style="1" customWidth="1"/>
    <col min="26" max="27" width="25.7109375" style="1" customWidth="1"/>
    <col min="28" max="29" width="12.140625" style="1" customWidth="1"/>
    <col min="30" max="30" width="11" style="22" customWidth="1"/>
    <col min="31" max="31" width="12.140625" style="1" customWidth="1"/>
    <col min="32" max="32" width="14.42578125" style="1" customWidth="1"/>
    <col min="33" max="33" width="10.42578125" style="1" customWidth="1"/>
    <col min="34" max="34" width="12.28515625" style="1" customWidth="1"/>
    <col min="35" max="35" width="11.42578125" style="1" customWidth="1"/>
    <col min="36" max="36" width="11.28515625" style="3" customWidth="1"/>
    <col min="37" max="37" width="11.42578125" style="1" customWidth="1"/>
    <col min="38" max="16384" width="11.42578125" style="1"/>
  </cols>
  <sheetData>
    <row r="1" spans="1:36" ht="22.5" customHeight="1" x14ac:dyDescent="0.2">
      <c r="A1" s="258"/>
      <c r="B1" s="258"/>
      <c r="C1" s="258"/>
      <c r="D1" s="258"/>
      <c r="E1" s="259" t="s">
        <v>39</v>
      </c>
      <c r="F1" s="259"/>
      <c r="G1" s="259"/>
      <c r="H1" s="259"/>
      <c r="I1" s="259"/>
      <c r="J1" s="259"/>
      <c r="K1" s="259"/>
      <c r="L1" s="259"/>
      <c r="M1" s="259"/>
      <c r="N1" s="259"/>
      <c r="O1" s="259"/>
      <c r="P1" s="259"/>
      <c r="Q1" s="259"/>
      <c r="R1" s="259"/>
      <c r="S1" s="259"/>
      <c r="T1" s="259"/>
      <c r="U1" s="259"/>
      <c r="V1" s="259"/>
      <c r="W1" s="259"/>
      <c r="X1" s="259"/>
      <c r="Y1" s="259"/>
      <c r="Z1" s="4" t="s">
        <v>6</v>
      </c>
      <c r="AA1" s="257" t="s">
        <v>7</v>
      </c>
      <c r="AB1" s="257"/>
    </row>
    <row r="2" spans="1:36" ht="22.5" customHeight="1" x14ac:dyDescent="0.2">
      <c r="A2" s="258"/>
      <c r="B2" s="258"/>
      <c r="C2" s="258"/>
      <c r="D2" s="258"/>
      <c r="E2" s="259"/>
      <c r="F2" s="259"/>
      <c r="G2" s="259"/>
      <c r="H2" s="259"/>
      <c r="I2" s="259"/>
      <c r="J2" s="259"/>
      <c r="K2" s="259"/>
      <c r="L2" s="259"/>
      <c r="M2" s="259"/>
      <c r="N2" s="259"/>
      <c r="O2" s="259"/>
      <c r="P2" s="259"/>
      <c r="Q2" s="259"/>
      <c r="R2" s="259"/>
      <c r="S2" s="259"/>
      <c r="T2" s="259"/>
      <c r="U2" s="259"/>
      <c r="V2" s="259"/>
      <c r="W2" s="259"/>
      <c r="X2" s="259"/>
      <c r="Y2" s="259"/>
      <c r="Z2" s="4" t="s">
        <v>8</v>
      </c>
      <c r="AA2" s="257">
        <v>6</v>
      </c>
      <c r="AB2" s="257"/>
    </row>
    <row r="3" spans="1:36" ht="22.5" customHeight="1" x14ac:dyDescent="0.2">
      <c r="A3" s="258"/>
      <c r="B3" s="258"/>
      <c r="C3" s="258"/>
      <c r="D3" s="258"/>
      <c r="E3" s="259"/>
      <c r="F3" s="259"/>
      <c r="G3" s="259"/>
      <c r="H3" s="259"/>
      <c r="I3" s="259"/>
      <c r="J3" s="259"/>
      <c r="K3" s="259"/>
      <c r="L3" s="259"/>
      <c r="M3" s="259"/>
      <c r="N3" s="259"/>
      <c r="O3" s="259"/>
      <c r="P3" s="259"/>
      <c r="Q3" s="259"/>
      <c r="R3" s="259"/>
      <c r="S3" s="259"/>
      <c r="T3" s="259"/>
      <c r="U3" s="259"/>
      <c r="V3" s="259"/>
      <c r="W3" s="259"/>
      <c r="X3" s="259"/>
      <c r="Y3" s="259"/>
      <c r="Z3" s="4" t="s">
        <v>9</v>
      </c>
      <c r="AA3" s="268">
        <v>43839</v>
      </c>
      <c r="AB3" s="268"/>
    </row>
    <row r="4" spans="1:36" ht="6" customHeight="1" x14ac:dyDescent="0.2">
      <c r="A4" s="2"/>
      <c r="B4" s="2"/>
      <c r="C4" s="2"/>
      <c r="D4" s="2"/>
      <c r="E4" s="2"/>
      <c r="F4" s="2"/>
      <c r="G4" s="2"/>
      <c r="H4" s="2"/>
      <c r="I4" s="2"/>
      <c r="J4" s="2"/>
      <c r="K4" s="2"/>
      <c r="L4" s="2"/>
    </row>
    <row r="5" spans="1:36" s="97" customFormat="1" ht="17.25" customHeight="1" x14ac:dyDescent="0.25">
      <c r="A5" s="262" t="s">
        <v>0</v>
      </c>
      <c r="B5" s="263"/>
      <c r="C5" s="263"/>
      <c r="D5" s="263"/>
      <c r="E5" s="263"/>
      <c r="F5" s="262" t="s">
        <v>2</v>
      </c>
      <c r="G5" s="263"/>
      <c r="H5" s="263"/>
      <c r="I5" s="263"/>
      <c r="J5" s="263"/>
      <c r="K5" s="263"/>
      <c r="L5" s="263"/>
      <c r="M5" s="263"/>
      <c r="N5" s="263"/>
      <c r="O5" s="263"/>
      <c r="P5" s="263"/>
      <c r="Q5" s="263"/>
      <c r="R5" s="263"/>
      <c r="S5" s="263"/>
      <c r="T5" s="263"/>
      <c r="U5" s="263"/>
      <c r="V5" s="263"/>
      <c r="W5" s="269"/>
      <c r="X5" s="262" t="s">
        <v>3</v>
      </c>
      <c r="Y5" s="263"/>
      <c r="Z5" s="263"/>
      <c r="AA5" s="263"/>
      <c r="AB5" s="269"/>
      <c r="AD5" s="108"/>
      <c r="AJ5" s="109"/>
    </row>
    <row r="6" spans="1:36" s="97" customFormat="1" ht="17.25" customHeight="1" x14ac:dyDescent="0.25">
      <c r="A6" s="266" t="s">
        <v>41</v>
      </c>
      <c r="B6" s="267"/>
      <c r="C6" s="267"/>
      <c r="D6" s="267"/>
      <c r="E6" s="267"/>
      <c r="F6" s="264" t="s">
        <v>220</v>
      </c>
      <c r="G6" s="265"/>
      <c r="H6" s="265"/>
      <c r="I6" s="265"/>
      <c r="J6" s="265"/>
      <c r="K6" s="265"/>
      <c r="L6" s="265"/>
      <c r="M6" s="265"/>
      <c r="N6" s="265"/>
      <c r="O6" s="265"/>
      <c r="P6" s="265"/>
      <c r="Q6" s="265"/>
      <c r="R6" s="265"/>
      <c r="S6" s="265"/>
      <c r="T6" s="265"/>
      <c r="U6" s="265"/>
      <c r="V6" s="265"/>
      <c r="W6" s="270"/>
      <c r="X6" s="264" t="s">
        <v>221</v>
      </c>
      <c r="Y6" s="265"/>
      <c r="Z6" s="265"/>
      <c r="AA6" s="265"/>
      <c r="AB6" s="270"/>
      <c r="AD6" s="108"/>
      <c r="AJ6" s="109"/>
    </row>
    <row r="7" spans="1:36" s="97" customFormat="1" ht="17.25" customHeight="1" x14ac:dyDescent="0.25">
      <c r="A7" s="262" t="s">
        <v>1</v>
      </c>
      <c r="B7" s="263"/>
      <c r="C7" s="263"/>
      <c r="D7" s="263"/>
      <c r="E7" s="263"/>
      <c r="F7" s="264"/>
      <c r="G7" s="265"/>
      <c r="H7" s="265"/>
      <c r="I7" s="265"/>
      <c r="J7" s="265"/>
      <c r="K7" s="265"/>
      <c r="L7" s="265"/>
      <c r="M7" s="265"/>
      <c r="N7" s="265"/>
      <c r="O7" s="265"/>
      <c r="P7" s="265"/>
      <c r="Q7" s="265"/>
      <c r="R7" s="265"/>
      <c r="S7" s="265"/>
      <c r="T7" s="265"/>
      <c r="U7" s="265"/>
      <c r="V7" s="265"/>
      <c r="W7" s="270"/>
      <c r="X7" s="264"/>
      <c r="Y7" s="265"/>
      <c r="Z7" s="265"/>
      <c r="AA7" s="265"/>
      <c r="AB7" s="270"/>
      <c r="AD7" s="108"/>
      <c r="AJ7" s="109"/>
    </row>
    <row r="8" spans="1:36" s="97" customFormat="1" ht="17.25" customHeight="1" x14ac:dyDescent="0.25">
      <c r="A8" s="264" t="s">
        <v>42</v>
      </c>
      <c r="B8" s="265"/>
      <c r="C8" s="265"/>
      <c r="D8" s="265"/>
      <c r="E8" s="265"/>
      <c r="F8" s="266"/>
      <c r="G8" s="267"/>
      <c r="H8" s="267"/>
      <c r="I8" s="267"/>
      <c r="J8" s="267"/>
      <c r="K8" s="267"/>
      <c r="L8" s="267"/>
      <c r="M8" s="267"/>
      <c r="N8" s="267"/>
      <c r="O8" s="267"/>
      <c r="P8" s="267"/>
      <c r="Q8" s="267"/>
      <c r="R8" s="267"/>
      <c r="S8" s="267"/>
      <c r="T8" s="267"/>
      <c r="U8" s="267"/>
      <c r="V8" s="267"/>
      <c r="W8" s="271"/>
      <c r="X8" s="266"/>
      <c r="Y8" s="267"/>
      <c r="Z8" s="267"/>
      <c r="AA8" s="267"/>
      <c r="AB8" s="271"/>
      <c r="AD8" s="108"/>
      <c r="AJ8" s="109"/>
    </row>
    <row r="9" spans="1:36" ht="15" customHeight="1" x14ac:dyDescent="0.2">
      <c r="A9" s="260" t="s">
        <v>40</v>
      </c>
      <c r="B9" s="261"/>
      <c r="C9" s="261"/>
      <c r="D9" s="261"/>
      <c r="E9" s="261"/>
      <c r="F9" s="110"/>
      <c r="G9" s="107"/>
      <c r="H9" s="260" t="s">
        <v>5</v>
      </c>
      <c r="I9" s="261"/>
      <c r="J9" s="261"/>
      <c r="K9" s="261"/>
      <c r="L9" s="261"/>
      <c r="M9" s="261"/>
      <c r="N9" s="261"/>
      <c r="O9" s="261"/>
      <c r="P9" s="261"/>
      <c r="Q9" s="261"/>
      <c r="R9" s="261"/>
      <c r="S9" s="261"/>
      <c r="T9" s="261"/>
      <c r="U9" s="261"/>
      <c r="V9" s="261"/>
      <c r="W9" s="261"/>
      <c r="X9" s="260" t="s">
        <v>4</v>
      </c>
      <c r="Y9" s="261"/>
      <c r="Z9" s="261"/>
      <c r="AA9" s="261"/>
      <c r="AB9" s="272"/>
    </row>
    <row r="10" spans="1:36" ht="15" customHeight="1" x14ac:dyDescent="0.2">
      <c r="A10" s="276" t="s">
        <v>147</v>
      </c>
      <c r="B10" s="277"/>
      <c r="C10" s="277"/>
      <c r="D10" s="277"/>
      <c r="E10" s="277"/>
      <c r="F10" s="101"/>
      <c r="G10" s="106"/>
      <c r="H10" s="250" t="s">
        <v>153</v>
      </c>
      <c r="I10" s="251"/>
      <c r="J10" s="251"/>
      <c r="K10" s="251"/>
      <c r="L10" s="251"/>
      <c r="M10" s="251"/>
      <c r="N10" s="251"/>
      <c r="O10" s="251"/>
      <c r="P10" s="251"/>
      <c r="Q10" s="251"/>
      <c r="R10" s="251"/>
      <c r="S10" s="251"/>
      <c r="T10" s="251"/>
      <c r="U10" s="251"/>
      <c r="V10" s="251"/>
      <c r="W10" s="251"/>
      <c r="X10" s="250" t="s">
        <v>242</v>
      </c>
      <c r="Y10" s="251"/>
      <c r="Z10" s="251"/>
      <c r="AA10" s="251"/>
      <c r="AB10" s="252"/>
    </row>
    <row r="11" spans="1:36" ht="15" customHeight="1" x14ac:dyDescent="0.2">
      <c r="A11" s="288" t="s">
        <v>498</v>
      </c>
      <c r="B11" s="289"/>
      <c r="C11" s="290"/>
      <c r="D11" s="280" t="s">
        <v>11</v>
      </c>
      <c r="E11" s="281"/>
      <c r="F11" s="280" t="s">
        <v>10</v>
      </c>
      <c r="G11" s="281"/>
      <c r="H11" s="250"/>
      <c r="I11" s="251"/>
      <c r="J11" s="251"/>
      <c r="K11" s="251"/>
      <c r="L11" s="251"/>
      <c r="M11" s="251"/>
      <c r="N11" s="251"/>
      <c r="O11" s="251"/>
      <c r="P11" s="251"/>
      <c r="Q11" s="251"/>
      <c r="R11" s="251"/>
      <c r="S11" s="251"/>
      <c r="T11" s="251"/>
      <c r="U11" s="251"/>
      <c r="V11" s="251"/>
      <c r="W11" s="251"/>
      <c r="X11" s="250"/>
      <c r="Y11" s="251"/>
      <c r="Z11" s="251"/>
      <c r="AA11" s="251"/>
      <c r="AB11" s="252"/>
    </row>
    <row r="12" spans="1:36" ht="15" customHeight="1" x14ac:dyDescent="0.2">
      <c r="A12" s="273" t="s">
        <v>198</v>
      </c>
      <c r="B12" s="286"/>
      <c r="C12" s="287"/>
      <c r="D12" s="291">
        <v>44376</v>
      </c>
      <c r="E12" s="292"/>
      <c r="F12" s="278">
        <v>2021</v>
      </c>
      <c r="G12" s="279"/>
      <c r="H12" s="253"/>
      <c r="I12" s="254"/>
      <c r="J12" s="254"/>
      <c r="K12" s="254"/>
      <c r="L12" s="254"/>
      <c r="M12" s="254"/>
      <c r="N12" s="254"/>
      <c r="O12" s="254"/>
      <c r="P12" s="254"/>
      <c r="Q12" s="254"/>
      <c r="R12" s="254"/>
      <c r="S12" s="254"/>
      <c r="T12" s="254"/>
      <c r="U12" s="254"/>
      <c r="V12" s="254"/>
      <c r="W12" s="254"/>
      <c r="X12" s="250"/>
      <c r="Y12" s="251"/>
      <c r="Z12" s="251"/>
      <c r="AA12" s="251"/>
      <c r="AB12" s="252"/>
    </row>
    <row r="13" spans="1:36" ht="23.25" customHeight="1" x14ac:dyDescent="0.2">
      <c r="A13" s="247" t="s">
        <v>122</v>
      </c>
      <c r="B13" s="247" t="s">
        <v>118</v>
      </c>
      <c r="C13" s="249"/>
      <c r="D13" s="249"/>
      <c r="E13" s="248"/>
      <c r="F13" s="294" t="s">
        <v>239</v>
      </c>
      <c r="G13" s="295"/>
      <c r="H13" s="294" t="s">
        <v>119</v>
      </c>
      <c r="I13" s="295"/>
      <c r="J13" s="247" t="s">
        <v>120</v>
      </c>
      <c r="K13" s="249"/>
      <c r="L13" s="248"/>
      <c r="M13" s="247" t="s">
        <v>240</v>
      </c>
      <c r="N13" s="249"/>
      <c r="O13" s="249"/>
      <c r="P13" s="249"/>
      <c r="Q13" s="248"/>
      <c r="R13" s="247" t="s">
        <v>241</v>
      </c>
      <c r="S13" s="249"/>
      <c r="T13" s="249"/>
      <c r="U13" s="248"/>
      <c r="V13" s="247" t="s">
        <v>121</v>
      </c>
      <c r="W13" s="248"/>
      <c r="X13" s="250"/>
      <c r="Y13" s="251"/>
      <c r="Z13" s="251"/>
      <c r="AA13" s="251"/>
      <c r="AB13" s="252"/>
    </row>
    <row r="14" spans="1:36" ht="23.25" customHeight="1" x14ac:dyDescent="0.2">
      <c r="A14" s="293"/>
      <c r="B14" s="273" t="s">
        <v>238</v>
      </c>
      <c r="C14" s="274"/>
      <c r="D14" s="274"/>
      <c r="E14" s="275"/>
      <c r="F14" s="245">
        <v>7</v>
      </c>
      <c r="G14" s="246"/>
      <c r="H14" s="245">
        <v>1</v>
      </c>
      <c r="I14" s="246"/>
      <c r="J14" s="296">
        <v>0</v>
      </c>
      <c r="K14" s="297"/>
      <c r="L14" s="298"/>
      <c r="M14" s="245">
        <v>1</v>
      </c>
      <c r="N14" s="256"/>
      <c r="O14" s="256"/>
      <c r="P14" s="256"/>
      <c r="Q14" s="246"/>
      <c r="R14" s="245">
        <v>4</v>
      </c>
      <c r="S14" s="256"/>
      <c r="T14" s="256"/>
      <c r="U14" s="246"/>
      <c r="V14" s="245">
        <v>1</v>
      </c>
      <c r="W14" s="246"/>
      <c r="X14" s="253"/>
      <c r="Y14" s="254"/>
      <c r="Z14" s="254"/>
      <c r="AA14" s="254"/>
      <c r="AB14" s="255"/>
    </row>
    <row r="15" spans="1:36" ht="7.5" customHeight="1" x14ac:dyDescent="0.2">
      <c r="B15" s="2"/>
      <c r="C15" s="49"/>
      <c r="D15" s="49"/>
      <c r="E15" s="49"/>
      <c r="F15" s="49"/>
      <c r="G15" s="49"/>
      <c r="H15" s="49"/>
      <c r="I15" s="49"/>
      <c r="J15" s="61"/>
      <c r="K15" s="61">
        <f>DATE($F$12,2,1)</f>
        <v>44228</v>
      </c>
      <c r="L15" s="61">
        <f>DATE($F$12,3,1)</f>
        <v>44256</v>
      </c>
      <c r="M15" s="61">
        <f>DATE($F$12,4,1)</f>
        <v>44287</v>
      </c>
      <c r="N15" s="61">
        <f>DATE($F$12,5,1)</f>
        <v>44317</v>
      </c>
      <c r="O15" s="61">
        <f>DATE($F$12,6,1)</f>
        <v>44348</v>
      </c>
      <c r="P15" s="61">
        <f>DATE($F$12,7,1)</f>
        <v>44378</v>
      </c>
      <c r="Q15" s="61">
        <f>DATE($F$12,8,1)</f>
        <v>44409</v>
      </c>
      <c r="R15" s="61">
        <f>DATE($F$12,9,1)</f>
        <v>44440</v>
      </c>
      <c r="S15" s="61">
        <f>DATE($F$12,10,1)</f>
        <v>44470</v>
      </c>
      <c r="T15" s="61">
        <f>DATE($F$12,11,1)</f>
        <v>44501</v>
      </c>
      <c r="U15" s="61">
        <f>DATE($F$12,12,1)</f>
        <v>44531</v>
      </c>
      <c r="V15" s="50"/>
      <c r="W15" s="50"/>
      <c r="X15" s="50"/>
      <c r="Y15" s="50"/>
      <c r="Z15" s="50"/>
      <c r="AA15" s="50"/>
    </row>
    <row r="16" spans="1:36" ht="7.5" customHeight="1" x14ac:dyDescent="0.2">
      <c r="B16" s="2"/>
      <c r="C16" s="49"/>
      <c r="D16" s="49"/>
      <c r="E16" s="49"/>
      <c r="F16" s="49"/>
      <c r="G16" s="49"/>
      <c r="H16" s="49"/>
      <c r="I16" s="49"/>
      <c r="J16" s="61">
        <f>DATE($F$12,1,31)</f>
        <v>44227</v>
      </c>
      <c r="K16" s="61">
        <f>DATE($F$12,2,29)</f>
        <v>44256</v>
      </c>
      <c r="L16" s="61">
        <f>DATE($F$12,3,31)</f>
        <v>44286</v>
      </c>
      <c r="M16" s="61">
        <f>DATE($F$12,4,30)</f>
        <v>44316</v>
      </c>
      <c r="N16" s="61">
        <f>DATE($F$12,5,31)</f>
        <v>44347</v>
      </c>
      <c r="O16" s="61">
        <f>DATE($F$12,6,30)</f>
        <v>44377</v>
      </c>
      <c r="P16" s="61">
        <f>DATE($F$12,7,31)</f>
        <v>44408</v>
      </c>
      <c r="Q16" s="61">
        <f>DATE($F$12,8,31)</f>
        <v>44439</v>
      </c>
      <c r="R16" s="61">
        <f>DATE($F$12,9,30)</f>
        <v>44469</v>
      </c>
      <c r="S16" s="61">
        <f>DATE($F$12,10,31)</f>
        <v>44500</v>
      </c>
      <c r="T16" s="61">
        <f>DATE($F$12,11,30)</f>
        <v>44530</v>
      </c>
      <c r="U16" s="61">
        <f>DATE($F$12,12,31)</f>
        <v>44561</v>
      </c>
      <c r="V16" s="50"/>
      <c r="W16" s="50"/>
      <c r="X16" s="50"/>
      <c r="Y16" s="50"/>
      <c r="Z16" s="50"/>
      <c r="AA16" s="50"/>
    </row>
    <row r="17" spans="1:58" s="83" customFormat="1" ht="12" customHeight="1" x14ac:dyDescent="0.25">
      <c r="A17" s="102" t="s">
        <v>125</v>
      </c>
      <c r="B17" s="102" t="s">
        <v>18</v>
      </c>
      <c r="C17" s="102" t="s">
        <v>70</v>
      </c>
      <c r="D17" s="103" t="s">
        <v>12</v>
      </c>
      <c r="E17" s="103" t="s">
        <v>19</v>
      </c>
      <c r="F17" s="103" t="s">
        <v>20</v>
      </c>
      <c r="G17" s="103" t="s">
        <v>21</v>
      </c>
      <c r="H17" s="242" t="s">
        <v>13</v>
      </c>
      <c r="I17" s="242"/>
      <c r="J17" s="243" t="s">
        <v>14</v>
      </c>
      <c r="K17" s="243"/>
      <c r="L17" s="243"/>
      <c r="M17" s="243"/>
      <c r="N17" s="243"/>
      <c r="O17" s="243"/>
      <c r="P17" s="243"/>
      <c r="Q17" s="243"/>
      <c r="R17" s="243"/>
      <c r="S17" s="243"/>
      <c r="T17" s="243"/>
      <c r="U17" s="243"/>
      <c r="V17" s="103" t="s">
        <v>37</v>
      </c>
      <c r="W17" s="103" t="s">
        <v>56</v>
      </c>
      <c r="X17" s="244" t="s">
        <v>15</v>
      </c>
      <c r="Y17" s="244"/>
      <c r="Z17" s="244"/>
      <c r="AA17" s="105" t="s">
        <v>38</v>
      </c>
      <c r="AB17" s="105" t="s">
        <v>55</v>
      </c>
      <c r="AD17" s="104"/>
    </row>
    <row r="18" spans="1:58" s="3" customFormat="1" ht="46.5" customHeight="1" x14ac:dyDescent="0.2">
      <c r="A18" s="201" t="s">
        <v>125</v>
      </c>
      <c r="B18" s="201" t="s">
        <v>18</v>
      </c>
      <c r="C18" s="201" t="s">
        <v>70</v>
      </c>
      <c r="D18" s="201" t="s">
        <v>12</v>
      </c>
      <c r="E18" s="201" t="s">
        <v>19</v>
      </c>
      <c r="F18" s="201" t="s">
        <v>20</v>
      </c>
      <c r="G18" s="201" t="s">
        <v>21</v>
      </c>
      <c r="H18" s="201" t="s">
        <v>34</v>
      </c>
      <c r="I18" s="201" t="s">
        <v>35</v>
      </c>
      <c r="J18" s="51" t="s">
        <v>22</v>
      </c>
      <c r="K18" s="51" t="s">
        <v>23</v>
      </c>
      <c r="L18" s="51" t="s">
        <v>24</v>
      </c>
      <c r="M18" s="51" t="s">
        <v>25</v>
      </c>
      <c r="N18" s="51" t="s">
        <v>26</v>
      </c>
      <c r="O18" s="51" t="s">
        <v>27</v>
      </c>
      <c r="P18" s="51" t="s">
        <v>28</v>
      </c>
      <c r="Q18" s="51" t="s">
        <v>29</v>
      </c>
      <c r="R18" s="51" t="s">
        <v>30</v>
      </c>
      <c r="S18" s="51" t="s">
        <v>31</v>
      </c>
      <c r="T18" s="51" t="s">
        <v>32</v>
      </c>
      <c r="U18" s="51" t="s">
        <v>33</v>
      </c>
      <c r="V18" s="201" t="s">
        <v>37</v>
      </c>
      <c r="W18" s="202" t="s">
        <v>56</v>
      </c>
      <c r="X18" s="52" t="s">
        <v>36</v>
      </c>
      <c r="Y18" s="52" t="s">
        <v>16</v>
      </c>
      <c r="Z18" s="52" t="s">
        <v>17</v>
      </c>
      <c r="AA18" s="53" t="s">
        <v>38</v>
      </c>
      <c r="AB18" s="53" t="s">
        <v>55</v>
      </c>
      <c r="AC18" s="53" t="s">
        <v>187</v>
      </c>
      <c r="AD18" s="159" t="s">
        <v>226</v>
      </c>
      <c r="AE18" s="159" t="s">
        <v>254</v>
      </c>
      <c r="AF18" s="161">
        <v>44377</v>
      </c>
      <c r="AG18" s="159" t="s">
        <v>215</v>
      </c>
      <c r="AH18" s="159" t="s">
        <v>227</v>
      </c>
      <c r="AI18" s="159" t="s">
        <v>213</v>
      </c>
      <c r="AJ18" s="159" t="s">
        <v>370</v>
      </c>
    </row>
    <row r="19" spans="1:58" s="3" customFormat="1" ht="35.450000000000003" customHeight="1" x14ac:dyDescent="0.2">
      <c r="A19" s="132" t="s">
        <v>44</v>
      </c>
      <c r="B19" s="122" t="s">
        <v>255</v>
      </c>
      <c r="C19" s="121" t="s">
        <v>89</v>
      </c>
      <c r="D19" s="121" t="s">
        <v>96</v>
      </c>
      <c r="E19" s="121" t="s">
        <v>165</v>
      </c>
      <c r="F19" s="43" t="s">
        <v>159</v>
      </c>
      <c r="G19" s="44" t="str">
        <f t="shared" ref="G19:G82" si="0">IF(LEN(C19)&gt;0,VLOOKUP(C19,PROCESO2,3,0),"")</f>
        <v>Subdirector Financiero</v>
      </c>
      <c r="H19" s="116">
        <v>44174</v>
      </c>
      <c r="I19" s="116">
        <v>44204</v>
      </c>
      <c r="J19" s="54"/>
      <c r="K19" s="54"/>
      <c r="L19" s="54"/>
      <c r="M19" s="54"/>
      <c r="N19" s="54"/>
      <c r="O19" s="54"/>
      <c r="P19" s="54"/>
      <c r="Q19" s="54"/>
      <c r="R19" s="54"/>
      <c r="S19" s="54"/>
      <c r="T19" s="54"/>
      <c r="U19" s="54"/>
      <c r="V19" s="41" t="s">
        <v>123</v>
      </c>
      <c r="W19" s="168">
        <v>2E-3</v>
      </c>
      <c r="X19" s="116">
        <v>44204</v>
      </c>
      <c r="Y19" s="42" t="s">
        <v>258</v>
      </c>
      <c r="Z19" s="65" t="s">
        <v>387</v>
      </c>
      <c r="AA19" s="41" t="s">
        <v>176</v>
      </c>
      <c r="AB19" s="126">
        <f t="shared" ref="AB19:AB82" ca="1" si="1">IF(ISERROR(VLOOKUP(AA19,INDIRECT(VLOOKUP(A19,ACTA,2,0)&amp;"A"),2,0))=TRUE,0,W19*(VLOOKUP(AA19,INDIRECT(VLOOKUP(A19,ACTA,2,0)&amp;"A"),2,0)))</f>
        <v>1.9999999999999996E-3</v>
      </c>
      <c r="AC19" s="126">
        <f t="shared" ref="AC19:AC82" ca="1" si="2">+W19-AB19</f>
        <v>0</v>
      </c>
      <c r="AD19" s="176"/>
      <c r="AE19" s="177"/>
      <c r="AF19" s="177"/>
      <c r="AG19" s="178"/>
      <c r="AH19" s="179"/>
      <c r="AI19" s="178"/>
      <c r="AJ19" s="160" t="s">
        <v>218</v>
      </c>
      <c r="BF19" s="3" t="s">
        <v>217</v>
      </c>
    </row>
    <row r="20" spans="1:58" s="3" customFormat="1" ht="35.450000000000003" customHeight="1" x14ac:dyDescent="0.2">
      <c r="A20" s="121" t="s">
        <v>51</v>
      </c>
      <c r="B20" s="115" t="s">
        <v>291</v>
      </c>
      <c r="C20" s="121" t="s">
        <v>90</v>
      </c>
      <c r="D20" s="121" t="s">
        <v>97</v>
      </c>
      <c r="E20" s="121" t="s">
        <v>165</v>
      </c>
      <c r="F20" s="123" t="s">
        <v>246</v>
      </c>
      <c r="G20" s="44" t="str">
        <f t="shared" si="0"/>
        <v>Asesor de Control Interno</v>
      </c>
      <c r="H20" s="116">
        <v>44174</v>
      </c>
      <c r="I20" s="116">
        <v>44217</v>
      </c>
      <c r="J20" s="54"/>
      <c r="K20" s="54"/>
      <c r="L20" s="54"/>
      <c r="M20" s="54"/>
      <c r="N20" s="54"/>
      <c r="O20" s="54"/>
      <c r="P20" s="54"/>
      <c r="Q20" s="54"/>
      <c r="R20" s="54"/>
      <c r="S20" s="54"/>
      <c r="T20" s="54"/>
      <c r="U20" s="54"/>
      <c r="V20" s="41" t="s">
        <v>208</v>
      </c>
      <c r="W20" s="168">
        <v>0.01</v>
      </c>
      <c r="X20" s="116">
        <v>44217</v>
      </c>
      <c r="Y20" s="42" t="s">
        <v>341</v>
      </c>
      <c r="Z20" s="65" t="s">
        <v>326</v>
      </c>
      <c r="AA20" s="41" t="s">
        <v>176</v>
      </c>
      <c r="AB20" s="126">
        <f t="shared" ca="1" si="1"/>
        <v>9.9999999999999985E-3</v>
      </c>
      <c r="AC20" s="126">
        <f t="shared" ca="1" si="2"/>
        <v>0</v>
      </c>
      <c r="AD20" s="176"/>
      <c r="AE20" s="177"/>
      <c r="AF20" s="177"/>
      <c r="AG20" s="178"/>
      <c r="AH20" s="179"/>
      <c r="AI20" s="178"/>
      <c r="AJ20" s="160" t="s">
        <v>218</v>
      </c>
      <c r="BF20" s="3" t="s">
        <v>216</v>
      </c>
    </row>
    <row r="21" spans="1:58" s="3" customFormat="1" ht="35.450000000000003" customHeight="1" x14ac:dyDescent="0.2">
      <c r="A21" s="121" t="s">
        <v>45</v>
      </c>
      <c r="B21" s="42" t="s">
        <v>270</v>
      </c>
      <c r="C21" s="121" t="s">
        <v>90</v>
      </c>
      <c r="D21" s="121" t="s">
        <v>97</v>
      </c>
      <c r="E21" s="121" t="s">
        <v>165</v>
      </c>
      <c r="F21" s="43" t="s">
        <v>199</v>
      </c>
      <c r="G21" s="44" t="str">
        <f t="shared" si="0"/>
        <v>Asesor de Control Interno</v>
      </c>
      <c r="H21" s="116">
        <v>44187</v>
      </c>
      <c r="I21" s="116">
        <v>44201</v>
      </c>
      <c r="J21" s="54"/>
      <c r="K21" s="54"/>
      <c r="L21" s="54"/>
      <c r="M21" s="54"/>
      <c r="N21" s="54"/>
      <c r="O21" s="54"/>
      <c r="P21" s="54"/>
      <c r="Q21" s="54"/>
      <c r="R21" s="54"/>
      <c r="S21" s="54"/>
      <c r="T21" s="54"/>
      <c r="U21" s="54"/>
      <c r="V21" s="121" t="s">
        <v>208</v>
      </c>
      <c r="W21" s="168">
        <v>3.0000000000000001E-3</v>
      </c>
      <c r="X21" s="116">
        <v>44201</v>
      </c>
      <c r="Y21" s="117" t="s">
        <v>268</v>
      </c>
      <c r="Z21" s="65" t="s">
        <v>269</v>
      </c>
      <c r="AA21" s="121" t="s">
        <v>57</v>
      </c>
      <c r="AB21" s="126">
        <f t="shared" ca="1" si="1"/>
        <v>3.0000000000000001E-3</v>
      </c>
      <c r="AC21" s="126">
        <f t="shared" ca="1" si="2"/>
        <v>0</v>
      </c>
      <c r="AD21" s="176"/>
      <c r="AE21" s="177"/>
      <c r="AF21" s="177"/>
      <c r="AG21" s="178"/>
      <c r="AH21" s="179"/>
      <c r="AI21" s="178"/>
      <c r="AJ21" s="160" t="s">
        <v>218</v>
      </c>
    </row>
    <row r="22" spans="1:58" ht="35.450000000000003" customHeight="1" x14ac:dyDescent="0.2">
      <c r="A22" s="132" t="s">
        <v>51</v>
      </c>
      <c r="B22" s="122" t="s">
        <v>256</v>
      </c>
      <c r="C22" s="121" t="s">
        <v>98</v>
      </c>
      <c r="D22" s="121" t="s">
        <v>98</v>
      </c>
      <c r="E22" s="121" t="s">
        <v>165</v>
      </c>
      <c r="F22" s="123" t="s">
        <v>246</v>
      </c>
      <c r="G22" s="44" t="str">
        <f t="shared" si="0"/>
        <v>Líderes de Cada Proceso</v>
      </c>
      <c r="H22" s="116">
        <v>44193</v>
      </c>
      <c r="I22" s="116">
        <v>44210</v>
      </c>
      <c r="J22" s="54"/>
      <c r="K22" s="54"/>
      <c r="L22" s="54"/>
      <c r="M22" s="54"/>
      <c r="N22" s="54"/>
      <c r="O22" s="54"/>
      <c r="P22" s="54"/>
      <c r="Q22" s="54"/>
      <c r="R22" s="54"/>
      <c r="S22" s="54"/>
      <c r="T22" s="54"/>
      <c r="U22" s="54"/>
      <c r="V22" s="121" t="s">
        <v>123</v>
      </c>
      <c r="W22" s="168">
        <v>1.6E-2</v>
      </c>
      <c r="X22" s="116">
        <v>44210</v>
      </c>
      <c r="Y22" s="42" t="s">
        <v>388</v>
      </c>
      <c r="Z22" s="65" t="s">
        <v>389</v>
      </c>
      <c r="AA22" s="41" t="s">
        <v>176</v>
      </c>
      <c r="AB22" s="126">
        <f t="shared" ca="1" si="1"/>
        <v>1.5999999999999997E-2</v>
      </c>
      <c r="AC22" s="126">
        <f t="shared" ca="1" si="2"/>
        <v>0</v>
      </c>
      <c r="AD22" s="176"/>
      <c r="AE22" s="177"/>
      <c r="AF22" s="177"/>
      <c r="AG22" s="178"/>
      <c r="AH22" s="179"/>
      <c r="AI22" s="178"/>
      <c r="AJ22" s="160" t="s">
        <v>218</v>
      </c>
    </row>
    <row r="23" spans="1:58" s="3" customFormat="1" ht="35.450000000000003" customHeight="1" x14ac:dyDescent="0.2">
      <c r="A23" s="132" t="s">
        <v>51</v>
      </c>
      <c r="B23" s="122" t="s">
        <v>257</v>
      </c>
      <c r="C23" s="121" t="s">
        <v>98</v>
      </c>
      <c r="D23" s="121" t="s">
        <v>98</v>
      </c>
      <c r="E23" s="121" t="s">
        <v>165</v>
      </c>
      <c r="F23" s="43" t="s">
        <v>199</v>
      </c>
      <c r="G23" s="44" t="str">
        <f t="shared" si="0"/>
        <v>Líderes de Cada Proceso</v>
      </c>
      <c r="H23" s="116">
        <v>44193</v>
      </c>
      <c r="I23" s="116">
        <v>44210</v>
      </c>
      <c r="J23" s="54"/>
      <c r="K23" s="54"/>
      <c r="L23" s="54"/>
      <c r="M23" s="54"/>
      <c r="N23" s="54"/>
      <c r="O23" s="54"/>
      <c r="P23" s="54"/>
      <c r="Q23" s="54"/>
      <c r="R23" s="54"/>
      <c r="S23" s="54"/>
      <c r="T23" s="54"/>
      <c r="U23" s="54"/>
      <c r="V23" s="121" t="s">
        <v>123</v>
      </c>
      <c r="W23" s="168">
        <v>1.6E-2</v>
      </c>
      <c r="X23" s="116">
        <v>44210</v>
      </c>
      <c r="Y23" s="42" t="s">
        <v>388</v>
      </c>
      <c r="Z23" s="65" t="s">
        <v>389</v>
      </c>
      <c r="AA23" s="41" t="s">
        <v>176</v>
      </c>
      <c r="AB23" s="126">
        <f t="shared" ca="1" si="1"/>
        <v>1.5999999999999997E-2</v>
      </c>
      <c r="AC23" s="126">
        <f t="shared" ca="1" si="2"/>
        <v>0</v>
      </c>
      <c r="AD23" s="176"/>
      <c r="AE23" s="177"/>
      <c r="AF23" s="177"/>
      <c r="AG23" s="178"/>
      <c r="AH23" s="179"/>
      <c r="AI23" s="178"/>
      <c r="AJ23" s="160" t="s">
        <v>218</v>
      </c>
    </row>
    <row r="24" spans="1:58" s="3" customFormat="1" ht="35.450000000000003" customHeight="1" x14ac:dyDescent="0.2">
      <c r="A24" s="132" t="s">
        <v>43</v>
      </c>
      <c r="B24" s="122" t="s">
        <v>260</v>
      </c>
      <c r="C24" s="121" t="s">
        <v>98</v>
      </c>
      <c r="D24" s="121" t="s">
        <v>98</v>
      </c>
      <c r="E24" s="121" t="s">
        <v>165</v>
      </c>
      <c r="F24" s="123" t="s">
        <v>246</v>
      </c>
      <c r="G24" s="44" t="str">
        <f t="shared" si="0"/>
        <v>Líderes de Cada Proceso</v>
      </c>
      <c r="H24" s="116">
        <v>44194</v>
      </c>
      <c r="I24" s="116">
        <v>44218</v>
      </c>
      <c r="J24" s="54"/>
      <c r="K24" s="54"/>
      <c r="L24" s="54"/>
      <c r="M24" s="54"/>
      <c r="N24" s="54"/>
      <c r="O24" s="54"/>
      <c r="P24" s="54"/>
      <c r="Q24" s="54"/>
      <c r="R24" s="54"/>
      <c r="S24" s="54"/>
      <c r="T24" s="54"/>
      <c r="U24" s="54"/>
      <c r="V24" s="41" t="s">
        <v>208</v>
      </c>
      <c r="W24" s="168">
        <v>1.4999999999999999E-2</v>
      </c>
      <c r="X24" s="116">
        <v>44227</v>
      </c>
      <c r="Y24" s="122" t="s">
        <v>359</v>
      </c>
      <c r="Z24" s="122" t="s">
        <v>390</v>
      </c>
      <c r="AA24" s="41" t="s">
        <v>182</v>
      </c>
      <c r="AB24" s="126">
        <f t="shared" ca="1" si="1"/>
        <v>1.4999999999999999E-2</v>
      </c>
      <c r="AC24" s="126">
        <f t="shared" ca="1" si="2"/>
        <v>0</v>
      </c>
      <c r="AD24" s="176"/>
      <c r="AE24" s="177"/>
      <c r="AF24" s="177"/>
      <c r="AG24" s="178"/>
      <c r="AH24" s="179"/>
      <c r="AI24" s="178"/>
      <c r="AJ24" s="160" t="s">
        <v>218</v>
      </c>
    </row>
    <row r="25" spans="1:58" s="3" customFormat="1" ht="35.450000000000003" customHeight="1" x14ac:dyDescent="0.2">
      <c r="A25" s="121" t="s">
        <v>43</v>
      </c>
      <c r="B25" s="42" t="s">
        <v>276</v>
      </c>
      <c r="C25" s="121" t="s">
        <v>90</v>
      </c>
      <c r="D25" s="121" t="s">
        <v>97</v>
      </c>
      <c r="E25" s="121" t="s">
        <v>165</v>
      </c>
      <c r="F25" s="43" t="s">
        <v>222</v>
      </c>
      <c r="G25" s="44" t="str">
        <f t="shared" si="0"/>
        <v>Asesor de Control Interno</v>
      </c>
      <c r="H25" s="116">
        <v>44200</v>
      </c>
      <c r="I25" s="116">
        <v>44202</v>
      </c>
      <c r="J25" s="54"/>
      <c r="K25" s="54"/>
      <c r="L25" s="54"/>
      <c r="M25" s="54"/>
      <c r="N25" s="54"/>
      <c r="O25" s="54"/>
      <c r="P25" s="54"/>
      <c r="Q25" s="54"/>
      <c r="R25" s="54"/>
      <c r="S25" s="54"/>
      <c r="T25" s="54"/>
      <c r="U25" s="54"/>
      <c r="V25" s="41" t="s">
        <v>123</v>
      </c>
      <c r="W25" s="170">
        <v>5.0000000000000001E-3</v>
      </c>
      <c r="X25" s="116">
        <v>44202</v>
      </c>
      <c r="Y25" s="65" t="s">
        <v>274</v>
      </c>
      <c r="Z25" s="65" t="s">
        <v>275</v>
      </c>
      <c r="AA25" s="121" t="s">
        <v>182</v>
      </c>
      <c r="AB25" s="126">
        <f t="shared" ca="1" si="1"/>
        <v>5.0000000000000001E-3</v>
      </c>
      <c r="AC25" s="126">
        <f t="shared" ca="1" si="2"/>
        <v>0</v>
      </c>
      <c r="AD25" s="176"/>
      <c r="AE25" s="177"/>
      <c r="AF25" s="177"/>
      <c r="AG25" s="178"/>
      <c r="AH25" s="179"/>
      <c r="AI25" s="178"/>
      <c r="AJ25" s="160" t="s">
        <v>218</v>
      </c>
    </row>
    <row r="26" spans="1:58" ht="35.450000000000003" customHeight="1" x14ac:dyDescent="0.2">
      <c r="A26" s="132" t="s">
        <v>46</v>
      </c>
      <c r="B26" s="122" t="s">
        <v>294</v>
      </c>
      <c r="C26" s="121" t="s">
        <v>127</v>
      </c>
      <c r="D26" s="121" t="s">
        <v>95</v>
      </c>
      <c r="E26" s="121" t="s">
        <v>165</v>
      </c>
      <c r="F26" s="43" t="s">
        <v>222</v>
      </c>
      <c r="G26" s="44" t="str">
        <f t="shared" si="0"/>
        <v xml:space="preserve">Director Jurídico </v>
      </c>
      <c r="H26" s="116">
        <v>44200</v>
      </c>
      <c r="I26" s="116">
        <v>44203</v>
      </c>
      <c r="J26" s="54"/>
      <c r="K26" s="54"/>
      <c r="L26" s="54"/>
      <c r="M26" s="54"/>
      <c r="N26" s="54"/>
      <c r="O26" s="54"/>
      <c r="P26" s="54"/>
      <c r="Q26" s="54"/>
      <c r="R26" s="54"/>
      <c r="S26" s="54"/>
      <c r="T26" s="54"/>
      <c r="U26" s="54"/>
      <c r="V26" s="119" t="s">
        <v>297</v>
      </c>
      <c r="W26" s="168">
        <v>1E-3</v>
      </c>
      <c r="X26" s="116">
        <v>44203</v>
      </c>
      <c r="Y26" s="65" t="s">
        <v>329</v>
      </c>
      <c r="Z26" s="65" t="s">
        <v>391</v>
      </c>
      <c r="AA26" s="41" t="s">
        <v>152</v>
      </c>
      <c r="AB26" s="126">
        <f t="shared" ca="1" si="1"/>
        <v>1E-3</v>
      </c>
      <c r="AC26" s="126">
        <f t="shared" ca="1" si="2"/>
        <v>0</v>
      </c>
      <c r="AD26" s="176"/>
      <c r="AE26" s="177"/>
      <c r="AF26" s="177"/>
      <c r="AG26" s="178"/>
      <c r="AH26" s="179"/>
      <c r="AI26" s="178"/>
      <c r="AJ26" s="160" t="s">
        <v>218</v>
      </c>
      <c r="BF26" s="81" t="s">
        <v>218</v>
      </c>
    </row>
    <row r="27" spans="1:58" ht="35.450000000000003" customHeight="1" x14ac:dyDescent="0.2">
      <c r="A27" s="132" t="s">
        <v>44</v>
      </c>
      <c r="B27" s="122" t="s">
        <v>310</v>
      </c>
      <c r="C27" s="121" t="s">
        <v>127</v>
      </c>
      <c r="D27" s="121" t="s">
        <v>95</v>
      </c>
      <c r="E27" s="121" t="s">
        <v>165</v>
      </c>
      <c r="F27" s="124" t="s">
        <v>160</v>
      </c>
      <c r="G27" s="44" t="str">
        <f t="shared" si="0"/>
        <v xml:space="preserve">Director Jurídico </v>
      </c>
      <c r="H27" s="116">
        <v>44200</v>
      </c>
      <c r="I27" s="116">
        <v>44204</v>
      </c>
      <c r="J27" s="54"/>
      <c r="K27" s="54"/>
      <c r="L27" s="54"/>
      <c r="M27" s="54"/>
      <c r="N27" s="54"/>
      <c r="O27" s="54"/>
      <c r="P27" s="54"/>
      <c r="Q27" s="54"/>
      <c r="R27" s="54"/>
      <c r="S27" s="54"/>
      <c r="T27" s="54"/>
      <c r="U27" s="54"/>
      <c r="V27" s="41" t="s">
        <v>123</v>
      </c>
      <c r="W27" s="168">
        <v>2.5000000000000001E-3</v>
      </c>
      <c r="X27" s="116">
        <v>44203</v>
      </c>
      <c r="Y27" s="73" t="s">
        <v>327</v>
      </c>
      <c r="Z27" s="65" t="s">
        <v>392</v>
      </c>
      <c r="AA27" s="121" t="s">
        <v>176</v>
      </c>
      <c r="AB27" s="126">
        <f t="shared" ca="1" si="1"/>
        <v>2.4999999999999996E-3</v>
      </c>
      <c r="AC27" s="126">
        <f t="shared" ca="1" si="2"/>
        <v>0</v>
      </c>
      <c r="AD27" s="176"/>
      <c r="AE27" s="177"/>
      <c r="AF27" s="177"/>
      <c r="AG27" s="178"/>
      <c r="AH27" s="179"/>
      <c r="AI27" s="178"/>
      <c r="AJ27" s="160" t="s">
        <v>218</v>
      </c>
    </row>
    <row r="28" spans="1:58" ht="35.450000000000003" customHeight="1" x14ac:dyDescent="0.2">
      <c r="A28" s="121" t="s">
        <v>45</v>
      </c>
      <c r="B28" s="42" t="s">
        <v>114</v>
      </c>
      <c r="C28" s="121" t="s">
        <v>90</v>
      </c>
      <c r="D28" s="121" t="s">
        <v>97</v>
      </c>
      <c r="E28" s="121" t="s">
        <v>165</v>
      </c>
      <c r="F28" s="123" t="s">
        <v>199</v>
      </c>
      <c r="G28" s="44" t="str">
        <f t="shared" si="0"/>
        <v>Asesor de Control Interno</v>
      </c>
      <c r="H28" s="116">
        <v>44200</v>
      </c>
      <c r="I28" s="116">
        <v>44204</v>
      </c>
      <c r="J28" s="54"/>
      <c r="K28" s="54"/>
      <c r="L28" s="54"/>
      <c r="M28" s="54"/>
      <c r="N28" s="54"/>
      <c r="O28" s="54"/>
      <c r="P28" s="54"/>
      <c r="Q28" s="54"/>
      <c r="R28" s="54"/>
      <c r="S28" s="54"/>
      <c r="T28" s="54"/>
      <c r="U28" s="54"/>
      <c r="V28" s="41" t="s">
        <v>195</v>
      </c>
      <c r="W28" s="168">
        <v>3.0000000000000001E-3</v>
      </c>
      <c r="X28" s="116">
        <v>44204</v>
      </c>
      <c r="Y28" s="65" t="s">
        <v>375</v>
      </c>
      <c r="Z28" s="117" t="s">
        <v>342</v>
      </c>
      <c r="AA28" s="41" t="s">
        <v>57</v>
      </c>
      <c r="AB28" s="126">
        <f t="shared" ca="1" si="1"/>
        <v>3.0000000000000001E-3</v>
      </c>
      <c r="AC28" s="126">
        <f t="shared" ca="1" si="2"/>
        <v>0</v>
      </c>
      <c r="AD28" s="176"/>
      <c r="AE28" s="177"/>
      <c r="AF28" s="177"/>
      <c r="AG28" s="178"/>
      <c r="AH28" s="179"/>
      <c r="AI28" s="178"/>
      <c r="AJ28" s="160" t="s">
        <v>218</v>
      </c>
    </row>
    <row r="29" spans="1:58" ht="35.450000000000003" customHeight="1" x14ac:dyDescent="0.2">
      <c r="A29" s="121" t="s">
        <v>45</v>
      </c>
      <c r="B29" s="65" t="s">
        <v>237</v>
      </c>
      <c r="C29" s="121" t="s">
        <v>90</v>
      </c>
      <c r="D29" s="121" t="s">
        <v>97</v>
      </c>
      <c r="E29" s="121" t="s">
        <v>165</v>
      </c>
      <c r="F29" s="43" t="s">
        <v>160</v>
      </c>
      <c r="G29" s="44" t="str">
        <f t="shared" si="0"/>
        <v>Asesor de Control Interno</v>
      </c>
      <c r="H29" s="116">
        <v>44200</v>
      </c>
      <c r="I29" s="116">
        <v>44208</v>
      </c>
      <c r="J29" s="54"/>
      <c r="K29" s="54"/>
      <c r="L29" s="54"/>
      <c r="M29" s="54"/>
      <c r="N29" s="54"/>
      <c r="O29" s="54"/>
      <c r="P29" s="54"/>
      <c r="Q29" s="54"/>
      <c r="R29" s="54"/>
      <c r="S29" s="54"/>
      <c r="T29" s="54"/>
      <c r="U29" s="54"/>
      <c r="V29" s="41" t="s">
        <v>208</v>
      </c>
      <c r="W29" s="168">
        <v>3.0000000000000001E-3</v>
      </c>
      <c r="X29" s="116">
        <v>44204</v>
      </c>
      <c r="Y29" s="65" t="s">
        <v>393</v>
      </c>
      <c r="Z29" s="122" t="s">
        <v>267</v>
      </c>
      <c r="AA29" s="41" t="s">
        <v>57</v>
      </c>
      <c r="AB29" s="126">
        <f t="shared" ca="1" si="1"/>
        <v>3.0000000000000001E-3</v>
      </c>
      <c r="AC29" s="126">
        <f t="shared" ca="1" si="2"/>
        <v>0</v>
      </c>
      <c r="AD29" s="176"/>
      <c r="AE29" s="177"/>
      <c r="AF29" s="177"/>
      <c r="AG29" s="178"/>
      <c r="AH29" s="179"/>
      <c r="AI29" s="178"/>
      <c r="AJ29" s="160" t="s">
        <v>218</v>
      </c>
    </row>
    <row r="30" spans="1:58" ht="35.450000000000003" customHeight="1" x14ac:dyDescent="0.2">
      <c r="A30" s="132" t="s">
        <v>46</v>
      </c>
      <c r="B30" s="122" t="s">
        <v>93</v>
      </c>
      <c r="C30" s="121" t="s">
        <v>89</v>
      </c>
      <c r="D30" s="121" t="s">
        <v>96</v>
      </c>
      <c r="E30" s="121" t="s">
        <v>165</v>
      </c>
      <c r="F30" s="43" t="s">
        <v>223</v>
      </c>
      <c r="G30" s="44" t="str">
        <f t="shared" si="0"/>
        <v>Subdirector Financiero</v>
      </c>
      <c r="H30" s="116">
        <v>44200</v>
      </c>
      <c r="I30" s="116">
        <v>44209</v>
      </c>
      <c r="J30" s="54"/>
      <c r="K30" s="54"/>
      <c r="L30" s="54"/>
      <c r="M30" s="54"/>
      <c r="N30" s="54"/>
      <c r="O30" s="54"/>
      <c r="P30" s="54"/>
      <c r="Q30" s="54"/>
      <c r="R30" s="54"/>
      <c r="S30" s="54"/>
      <c r="T30" s="54"/>
      <c r="U30" s="54"/>
      <c r="V30" s="41" t="s">
        <v>312</v>
      </c>
      <c r="W30" s="168">
        <v>1E-3</v>
      </c>
      <c r="X30" s="116">
        <v>44215</v>
      </c>
      <c r="Y30" s="117" t="s">
        <v>378</v>
      </c>
      <c r="Z30" s="122" t="s">
        <v>394</v>
      </c>
      <c r="AA30" s="41" t="s">
        <v>152</v>
      </c>
      <c r="AB30" s="126">
        <f t="shared" ca="1" si="1"/>
        <v>1E-3</v>
      </c>
      <c r="AC30" s="126">
        <f t="shared" ca="1" si="2"/>
        <v>0</v>
      </c>
      <c r="AD30" s="176"/>
      <c r="AE30" s="177"/>
      <c r="AF30" s="177"/>
      <c r="AG30" s="178"/>
      <c r="AH30" s="179"/>
      <c r="AI30" s="178"/>
      <c r="AJ30" s="160" t="s">
        <v>218</v>
      </c>
    </row>
    <row r="31" spans="1:58" ht="35.450000000000003" customHeight="1" x14ac:dyDescent="0.2">
      <c r="A31" s="132" t="s">
        <v>44</v>
      </c>
      <c r="B31" s="122" t="s">
        <v>92</v>
      </c>
      <c r="C31" s="121" t="s">
        <v>89</v>
      </c>
      <c r="D31" s="121" t="s">
        <v>96</v>
      </c>
      <c r="E31" s="121" t="s">
        <v>165</v>
      </c>
      <c r="F31" s="43" t="s">
        <v>196</v>
      </c>
      <c r="G31" s="44" t="str">
        <f t="shared" si="0"/>
        <v>Subdirector Financiero</v>
      </c>
      <c r="H31" s="116">
        <v>44200</v>
      </c>
      <c r="I31" s="116">
        <v>44209</v>
      </c>
      <c r="J31" s="54"/>
      <c r="K31" s="54"/>
      <c r="L31" s="54"/>
      <c r="M31" s="54"/>
      <c r="N31" s="54"/>
      <c r="O31" s="54"/>
      <c r="P31" s="54"/>
      <c r="Q31" s="54"/>
      <c r="R31" s="54"/>
      <c r="S31" s="54"/>
      <c r="T31" s="54"/>
      <c r="U31" s="54"/>
      <c r="V31" s="41" t="s">
        <v>123</v>
      </c>
      <c r="W31" s="168">
        <v>1E-3</v>
      </c>
      <c r="X31" s="116">
        <v>44211</v>
      </c>
      <c r="Y31" s="65" t="s">
        <v>380</v>
      </c>
      <c r="Z31" s="65" t="s">
        <v>259</v>
      </c>
      <c r="AA31" s="121" t="s">
        <v>176</v>
      </c>
      <c r="AB31" s="126">
        <f t="shared" ca="1" si="1"/>
        <v>9.999999999999998E-4</v>
      </c>
      <c r="AC31" s="126">
        <f t="shared" ca="1" si="2"/>
        <v>0</v>
      </c>
      <c r="AD31" s="176"/>
      <c r="AE31" s="177"/>
      <c r="AF31" s="177"/>
      <c r="AG31" s="178"/>
      <c r="AH31" s="179"/>
      <c r="AI31" s="178"/>
      <c r="AJ31" s="160" t="s">
        <v>218</v>
      </c>
    </row>
    <row r="32" spans="1:58" ht="35.450000000000003" customHeight="1" x14ac:dyDescent="0.2">
      <c r="A32" s="121" t="s">
        <v>51</v>
      </c>
      <c r="B32" s="122" t="s">
        <v>261</v>
      </c>
      <c r="C32" s="121" t="s">
        <v>98</v>
      </c>
      <c r="D32" s="121" t="s">
        <v>98</v>
      </c>
      <c r="E32" s="121" t="s">
        <v>165</v>
      </c>
      <c r="F32" s="43" t="s">
        <v>199</v>
      </c>
      <c r="G32" s="44" t="str">
        <f t="shared" si="0"/>
        <v>Líderes de Cada Proceso</v>
      </c>
      <c r="H32" s="116">
        <v>44200</v>
      </c>
      <c r="I32" s="116">
        <v>44214</v>
      </c>
      <c r="J32" s="54"/>
      <c r="K32" s="54"/>
      <c r="L32" s="54"/>
      <c r="M32" s="54"/>
      <c r="N32" s="54"/>
      <c r="O32" s="54"/>
      <c r="P32" s="54"/>
      <c r="Q32" s="54"/>
      <c r="R32" s="54"/>
      <c r="S32" s="54"/>
      <c r="T32" s="54"/>
      <c r="U32" s="54"/>
      <c r="V32" s="41" t="s">
        <v>195</v>
      </c>
      <c r="W32" s="170">
        <v>5.0000000000000001E-3</v>
      </c>
      <c r="X32" s="116">
        <v>44214</v>
      </c>
      <c r="Y32" s="65" t="s">
        <v>343</v>
      </c>
      <c r="Z32" s="65" t="s">
        <v>328</v>
      </c>
      <c r="AA32" s="41" t="s">
        <v>176</v>
      </c>
      <c r="AB32" s="126">
        <f t="shared" ca="1" si="1"/>
        <v>4.9999999999999992E-3</v>
      </c>
      <c r="AC32" s="126">
        <f t="shared" ca="1" si="2"/>
        <v>0</v>
      </c>
      <c r="AD32" s="176"/>
      <c r="AE32" s="177"/>
      <c r="AF32" s="177"/>
      <c r="AG32" s="178"/>
      <c r="AH32" s="179"/>
      <c r="AI32" s="178"/>
      <c r="AJ32" s="160" t="s">
        <v>218</v>
      </c>
    </row>
    <row r="33" spans="1:36" ht="35.450000000000003" customHeight="1" x14ac:dyDescent="0.2">
      <c r="A33" s="121" t="s">
        <v>52</v>
      </c>
      <c r="B33" s="185" t="s">
        <v>266</v>
      </c>
      <c r="C33" s="121" t="s">
        <v>90</v>
      </c>
      <c r="D33" s="121" t="s">
        <v>97</v>
      </c>
      <c r="E33" s="121" t="s">
        <v>165</v>
      </c>
      <c r="F33" s="43" t="s">
        <v>160</v>
      </c>
      <c r="G33" s="44" t="str">
        <f t="shared" si="0"/>
        <v>Asesor de Control Interno</v>
      </c>
      <c r="H33" s="116">
        <v>44200</v>
      </c>
      <c r="I33" s="116">
        <v>44540</v>
      </c>
      <c r="J33" s="54"/>
      <c r="K33" s="54"/>
      <c r="L33" s="54"/>
      <c r="M33" s="54"/>
      <c r="N33" s="54"/>
      <c r="O33" s="54"/>
      <c r="P33" s="54"/>
      <c r="Q33" s="54"/>
      <c r="R33" s="54"/>
      <c r="S33" s="54"/>
      <c r="T33" s="54"/>
      <c r="U33" s="54"/>
      <c r="V33" s="121" t="s">
        <v>207</v>
      </c>
      <c r="W33" s="170">
        <v>2E-3</v>
      </c>
      <c r="X33" s="116"/>
      <c r="Y33" s="66" t="s">
        <v>480</v>
      </c>
      <c r="Z33" s="66" t="s">
        <v>561</v>
      </c>
      <c r="AA33" s="41" t="s">
        <v>166</v>
      </c>
      <c r="AB33" s="130">
        <f t="shared" ca="1" si="1"/>
        <v>1.1000000000000001E-3</v>
      </c>
      <c r="AC33" s="130">
        <f t="shared" ca="1" si="2"/>
        <v>8.9999999999999998E-4</v>
      </c>
      <c r="AD33" s="176">
        <f t="shared" ref="AD33:AD41" si="3">MONTH(I33)</f>
        <v>12</v>
      </c>
      <c r="AE33" s="177">
        <f t="shared" ref="AE33:AE41" si="4">+I33-H33</f>
        <v>340</v>
      </c>
      <c r="AF33" s="177">
        <f t="shared" ref="AF33:AF41" si="5">+$AF$18-H33</f>
        <v>177</v>
      </c>
      <c r="AG33" s="178">
        <f t="shared" ref="AG33:AG41" si="6">+AF33/AE33</f>
        <v>0.52058823529411768</v>
      </c>
      <c r="AH33" s="179">
        <f t="shared" ref="AH33:AH41" si="7">+AG33*W33</f>
        <v>1.0411764705882355E-3</v>
      </c>
      <c r="AI33" s="178">
        <f t="shared" ref="AI33:AI41" ca="1" si="8">+AB33-AH33</f>
        <v>5.8823529411764592E-5</v>
      </c>
      <c r="AJ33" s="162" t="s">
        <v>384</v>
      </c>
    </row>
    <row r="34" spans="1:36" ht="35.450000000000003" customHeight="1" x14ac:dyDescent="0.2">
      <c r="A34" s="121" t="s">
        <v>52</v>
      </c>
      <c r="B34" s="185" t="s">
        <v>266</v>
      </c>
      <c r="C34" s="121" t="s">
        <v>90</v>
      </c>
      <c r="D34" s="121" t="s">
        <v>97</v>
      </c>
      <c r="E34" s="121" t="s">
        <v>165</v>
      </c>
      <c r="F34" s="123" t="s">
        <v>223</v>
      </c>
      <c r="G34" s="44" t="str">
        <f t="shared" si="0"/>
        <v>Asesor de Control Interno</v>
      </c>
      <c r="H34" s="116">
        <v>44200</v>
      </c>
      <c r="I34" s="116">
        <v>44540</v>
      </c>
      <c r="J34" s="54"/>
      <c r="K34" s="54"/>
      <c r="L34" s="54"/>
      <c r="M34" s="54"/>
      <c r="N34" s="54"/>
      <c r="O34" s="54"/>
      <c r="P34" s="54"/>
      <c r="Q34" s="54"/>
      <c r="R34" s="54"/>
      <c r="S34" s="54"/>
      <c r="T34" s="54"/>
      <c r="U34" s="54"/>
      <c r="V34" s="41" t="s">
        <v>207</v>
      </c>
      <c r="W34" s="170">
        <v>2E-3</v>
      </c>
      <c r="X34" s="116"/>
      <c r="Y34" s="66" t="s">
        <v>586</v>
      </c>
      <c r="Z34" s="66" t="s">
        <v>586</v>
      </c>
      <c r="AA34" s="41" t="s">
        <v>166</v>
      </c>
      <c r="AB34" s="130">
        <f t="shared" ca="1" si="1"/>
        <v>1.1000000000000001E-3</v>
      </c>
      <c r="AC34" s="130">
        <f t="shared" ca="1" si="2"/>
        <v>8.9999999999999998E-4</v>
      </c>
      <c r="AD34" s="176">
        <f t="shared" si="3"/>
        <v>12</v>
      </c>
      <c r="AE34" s="177">
        <f t="shared" si="4"/>
        <v>340</v>
      </c>
      <c r="AF34" s="177">
        <f t="shared" si="5"/>
        <v>177</v>
      </c>
      <c r="AG34" s="178">
        <f t="shared" si="6"/>
        <v>0.52058823529411768</v>
      </c>
      <c r="AH34" s="179">
        <f t="shared" si="7"/>
        <v>1.0411764705882355E-3</v>
      </c>
      <c r="AI34" s="178">
        <f t="shared" ca="1" si="8"/>
        <v>5.8823529411764592E-5</v>
      </c>
      <c r="AJ34" s="162" t="s">
        <v>384</v>
      </c>
    </row>
    <row r="35" spans="1:36" s="3" customFormat="1" ht="35.450000000000003" customHeight="1" x14ac:dyDescent="0.2">
      <c r="A35" s="121" t="s">
        <v>52</v>
      </c>
      <c r="B35" s="185" t="s">
        <v>266</v>
      </c>
      <c r="C35" s="121" t="s">
        <v>90</v>
      </c>
      <c r="D35" s="121" t="s">
        <v>97</v>
      </c>
      <c r="E35" s="121" t="s">
        <v>165</v>
      </c>
      <c r="F35" s="43" t="s">
        <v>222</v>
      </c>
      <c r="G35" s="44" t="str">
        <f t="shared" si="0"/>
        <v>Asesor de Control Interno</v>
      </c>
      <c r="H35" s="116">
        <v>44200</v>
      </c>
      <c r="I35" s="116">
        <v>44540</v>
      </c>
      <c r="J35" s="54"/>
      <c r="K35" s="54"/>
      <c r="L35" s="54"/>
      <c r="M35" s="54"/>
      <c r="N35" s="54"/>
      <c r="O35" s="54"/>
      <c r="P35" s="54"/>
      <c r="Q35" s="54"/>
      <c r="R35" s="54"/>
      <c r="S35" s="54"/>
      <c r="T35" s="54"/>
      <c r="U35" s="54"/>
      <c r="V35" s="41" t="s">
        <v>207</v>
      </c>
      <c r="W35" s="170">
        <v>2E-3</v>
      </c>
      <c r="X35" s="116"/>
      <c r="Y35" s="65" t="s">
        <v>439</v>
      </c>
      <c r="Z35" s="65" t="s">
        <v>600</v>
      </c>
      <c r="AA35" s="121" t="s">
        <v>166</v>
      </c>
      <c r="AB35" s="130">
        <f t="shared" ca="1" si="1"/>
        <v>1.1000000000000001E-3</v>
      </c>
      <c r="AC35" s="130">
        <f t="shared" ca="1" si="2"/>
        <v>8.9999999999999998E-4</v>
      </c>
      <c r="AD35" s="176">
        <f t="shared" si="3"/>
        <v>12</v>
      </c>
      <c r="AE35" s="177">
        <f t="shared" si="4"/>
        <v>340</v>
      </c>
      <c r="AF35" s="177">
        <f t="shared" si="5"/>
        <v>177</v>
      </c>
      <c r="AG35" s="178">
        <f t="shared" si="6"/>
        <v>0.52058823529411768</v>
      </c>
      <c r="AH35" s="179">
        <f t="shared" si="7"/>
        <v>1.0411764705882355E-3</v>
      </c>
      <c r="AI35" s="178">
        <f t="shared" ca="1" si="8"/>
        <v>5.8823529411764592E-5</v>
      </c>
      <c r="AJ35" s="162" t="s">
        <v>384</v>
      </c>
    </row>
    <row r="36" spans="1:36" s="3" customFormat="1" ht="35.450000000000003" customHeight="1" x14ac:dyDescent="0.2">
      <c r="A36" s="121" t="s">
        <v>52</v>
      </c>
      <c r="B36" s="185" t="s">
        <v>266</v>
      </c>
      <c r="C36" s="121" t="s">
        <v>90</v>
      </c>
      <c r="D36" s="121" t="s">
        <v>97</v>
      </c>
      <c r="E36" s="121" t="s">
        <v>165</v>
      </c>
      <c r="F36" s="43" t="s">
        <v>246</v>
      </c>
      <c r="G36" s="44" t="str">
        <f t="shared" si="0"/>
        <v>Asesor de Control Interno</v>
      </c>
      <c r="H36" s="116">
        <v>44200</v>
      </c>
      <c r="I36" s="116">
        <v>44540</v>
      </c>
      <c r="J36" s="54"/>
      <c r="K36" s="54"/>
      <c r="L36" s="54"/>
      <c r="M36" s="54"/>
      <c r="N36" s="54"/>
      <c r="O36" s="54"/>
      <c r="P36" s="54"/>
      <c r="Q36" s="54"/>
      <c r="R36" s="54"/>
      <c r="S36" s="54"/>
      <c r="T36" s="54"/>
      <c r="U36" s="54"/>
      <c r="V36" s="41" t="s">
        <v>207</v>
      </c>
      <c r="W36" s="170">
        <v>2E-3</v>
      </c>
      <c r="X36" s="116"/>
      <c r="Y36" s="122" t="s">
        <v>459</v>
      </c>
      <c r="Z36" s="65" t="s">
        <v>599</v>
      </c>
      <c r="AA36" s="121" t="s">
        <v>166</v>
      </c>
      <c r="AB36" s="130">
        <f t="shared" ca="1" si="1"/>
        <v>1.1000000000000001E-3</v>
      </c>
      <c r="AC36" s="130">
        <f t="shared" ca="1" si="2"/>
        <v>8.9999999999999998E-4</v>
      </c>
      <c r="AD36" s="176">
        <f t="shared" si="3"/>
        <v>12</v>
      </c>
      <c r="AE36" s="177">
        <f t="shared" si="4"/>
        <v>340</v>
      </c>
      <c r="AF36" s="177">
        <f t="shared" si="5"/>
        <v>177</v>
      </c>
      <c r="AG36" s="178">
        <f t="shared" si="6"/>
        <v>0.52058823529411768</v>
      </c>
      <c r="AH36" s="179">
        <f t="shared" si="7"/>
        <v>1.0411764705882355E-3</v>
      </c>
      <c r="AI36" s="178">
        <f t="shared" ca="1" si="8"/>
        <v>5.8823529411764592E-5</v>
      </c>
      <c r="AJ36" s="162" t="s">
        <v>384</v>
      </c>
    </row>
    <row r="37" spans="1:36" s="3" customFormat="1" ht="35.450000000000003" customHeight="1" x14ac:dyDescent="0.2">
      <c r="A37" s="121" t="s">
        <v>52</v>
      </c>
      <c r="B37" s="185" t="s">
        <v>266</v>
      </c>
      <c r="C37" s="121" t="s">
        <v>90</v>
      </c>
      <c r="D37" s="121" t="s">
        <v>97</v>
      </c>
      <c r="E37" s="121" t="s">
        <v>165</v>
      </c>
      <c r="F37" s="43" t="s">
        <v>159</v>
      </c>
      <c r="G37" s="44" t="str">
        <f t="shared" si="0"/>
        <v>Asesor de Control Interno</v>
      </c>
      <c r="H37" s="116">
        <v>44200</v>
      </c>
      <c r="I37" s="116">
        <v>44540</v>
      </c>
      <c r="J37" s="54"/>
      <c r="K37" s="54"/>
      <c r="L37" s="54"/>
      <c r="M37" s="54"/>
      <c r="N37" s="54"/>
      <c r="O37" s="54"/>
      <c r="P37" s="54"/>
      <c r="Q37" s="54"/>
      <c r="R37" s="54"/>
      <c r="S37" s="54"/>
      <c r="T37" s="54"/>
      <c r="U37" s="54"/>
      <c r="V37" s="121" t="s">
        <v>207</v>
      </c>
      <c r="W37" s="170">
        <v>2E-3</v>
      </c>
      <c r="X37" s="116"/>
      <c r="Y37" s="122" t="s">
        <v>464</v>
      </c>
      <c r="Z37" s="122" t="s">
        <v>477</v>
      </c>
      <c r="AA37" s="121" t="s">
        <v>166</v>
      </c>
      <c r="AB37" s="130">
        <f t="shared" ca="1" si="1"/>
        <v>1.1000000000000001E-3</v>
      </c>
      <c r="AC37" s="130">
        <f t="shared" ca="1" si="2"/>
        <v>8.9999999999999998E-4</v>
      </c>
      <c r="AD37" s="176">
        <f t="shared" si="3"/>
        <v>12</v>
      </c>
      <c r="AE37" s="177">
        <f t="shared" si="4"/>
        <v>340</v>
      </c>
      <c r="AF37" s="177">
        <f t="shared" si="5"/>
        <v>177</v>
      </c>
      <c r="AG37" s="178">
        <f t="shared" si="6"/>
        <v>0.52058823529411768</v>
      </c>
      <c r="AH37" s="179">
        <f t="shared" si="7"/>
        <v>1.0411764705882355E-3</v>
      </c>
      <c r="AI37" s="178">
        <f t="shared" ca="1" si="8"/>
        <v>5.8823529411764592E-5</v>
      </c>
      <c r="AJ37" s="162" t="s">
        <v>384</v>
      </c>
    </row>
    <row r="38" spans="1:36" s="3" customFormat="1" ht="35.450000000000003" customHeight="1" x14ac:dyDescent="0.2">
      <c r="A38" s="121" t="s">
        <v>43</v>
      </c>
      <c r="B38" s="186" t="s">
        <v>284</v>
      </c>
      <c r="C38" s="121" t="s">
        <v>98</v>
      </c>
      <c r="D38" s="121" t="s">
        <v>98</v>
      </c>
      <c r="E38" s="121" t="s">
        <v>165</v>
      </c>
      <c r="F38" s="43" t="s">
        <v>160</v>
      </c>
      <c r="G38" s="44" t="str">
        <f t="shared" si="0"/>
        <v>Líderes de Cada Proceso</v>
      </c>
      <c r="H38" s="116">
        <v>44200</v>
      </c>
      <c r="I38" s="116">
        <v>44540</v>
      </c>
      <c r="J38" s="54"/>
      <c r="K38" s="54"/>
      <c r="L38" s="54"/>
      <c r="M38" s="54"/>
      <c r="N38" s="54"/>
      <c r="O38" s="54"/>
      <c r="P38" s="54"/>
      <c r="Q38" s="54"/>
      <c r="R38" s="54"/>
      <c r="S38" s="54"/>
      <c r="T38" s="54"/>
      <c r="U38" s="54"/>
      <c r="V38" s="121" t="s">
        <v>314</v>
      </c>
      <c r="W38" s="170">
        <v>2.5000000000000001E-3</v>
      </c>
      <c r="X38" s="116"/>
      <c r="Y38" s="65" t="s">
        <v>350</v>
      </c>
      <c r="Z38" s="65" t="s">
        <v>562</v>
      </c>
      <c r="AA38" s="121" t="s">
        <v>58</v>
      </c>
      <c r="AB38" s="130">
        <f t="shared" ca="1" si="1"/>
        <v>1.4000000000000002E-3</v>
      </c>
      <c r="AC38" s="130">
        <f t="shared" ca="1" si="2"/>
        <v>1.0999999999999998E-3</v>
      </c>
      <c r="AD38" s="176">
        <f t="shared" si="3"/>
        <v>12</v>
      </c>
      <c r="AE38" s="177">
        <f t="shared" si="4"/>
        <v>340</v>
      </c>
      <c r="AF38" s="177">
        <f t="shared" si="5"/>
        <v>177</v>
      </c>
      <c r="AG38" s="178">
        <f t="shared" si="6"/>
        <v>0.52058823529411768</v>
      </c>
      <c r="AH38" s="179">
        <f t="shared" si="7"/>
        <v>1.3014705882352943E-3</v>
      </c>
      <c r="AI38" s="178">
        <f t="shared" ca="1" si="8"/>
        <v>9.852941176470586E-5</v>
      </c>
      <c r="AJ38" s="162" t="s">
        <v>384</v>
      </c>
    </row>
    <row r="39" spans="1:36" s="3" customFormat="1" ht="35.25" customHeight="1" x14ac:dyDescent="0.2">
      <c r="A39" s="121" t="s">
        <v>43</v>
      </c>
      <c r="B39" s="186" t="s">
        <v>284</v>
      </c>
      <c r="C39" s="121" t="s">
        <v>98</v>
      </c>
      <c r="D39" s="121" t="s">
        <v>98</v>
      </c>
      <c r="E39" s="121" t="s">
        <v>165</v>
      </c>
      <c r="F39" s="43" t="s">
        <v>223</v>
      </c>
      <c r="G39" s="44" t="str">
        <f t="shared" si="0"/>
        <v>Líderes de Cada Proceso</v>
      </c>
      <c r="H39" s="116">
        <v>44200</v>
      </c>
      <c r="I39" s="116">
        <v>44540</v>
      </c>
      <c r="J39" s="54"/>
      <c r="K39" s="54"/>
      <c r="L39" s="54"/>
      <c r="M39" s="54"/>
      <c r="N39" s="54"/>
      <c r="O39" s="54"/>
      <c r="P39" s="54"/>
      <c r="Q39" s="54"/>
      <c r="R39" s="54"/>
      <c r="S39" s="54"/>
      <c r="T39" s="54"/>
      <c r="U39" s="54"/>
      <c r="V39" s="41" t="s">
        <v>314</v>
      </c>
      <c r="W39" s="170">
        <v>2.5000000000000001E-3</v>
      </c>
      <c r="X39" s="116"/>
      <c r="Y39" s="65"/>
      <c r="Z39" s="65" t="s">
        <v>587</v>
      </c>
      <c r="AA39" s="41" t="s">
        <v>58</v>
      </c>
      <c r="AB39" s="130">
        <f t="shared" ca="1" si="1"/>
        <v>1.4000000000000002E-3</v>
      </c>
      <c r="AC39" s="130">
        <f t="shared" ca="1" si="2"/>
        <v>1.0999999999999998E-3</v>
      </c>
      <c r="AD39" s="176">
        <f t="shared" si="3"/>
        <v>12</v>
      </c>
      <c r="AE39" s="177">
        <f t="shared" si="4"/>
        <v>340</v>
      </c>
      <c r="AF39" s="177">
        <f t="shared" si="5"/>
        <v>177</v>
      </c>
      <c r="AG39" s="178">
        <f t="shared" si="6"/>
        <v>0.52058823529411768</v>
      </c>
      <c r="AH39" s="179">
        <f t="shared" si="7"/>
        <v>1.3014705882352943E-3</v>
      </c>
      <c r="AI39" s="178">
        <f t="shared" ca="1" si="8"/>
        <v>9.852941176470586E-5</v>
      </c>
      <c r="AJ39" s="162" t="s">
        <v>384</v>
      </c>
    </row>
    <row r="40" spans="1:36" s="3" customFormat="1" ht="35.450000000000003" customHeight="1" x14ac:dyDescent="0.2">
      <c r="A40" s="121" t="s">
        <v>43</v>
      </c>
      <c r="B40" s="186" t="s">
        <v>284</v>
      </c>
      <c r="C40" s="121" t="s">
        <v>98</v>
      </c>
      <c r="D40" s="121" t="s">
        <v>98</v>
      </c>
      <c r="E40" s="121" t="s">
        <v>165</v>
      </c>
      <c r="F40" s="43" t="s">
        <v>246</v>
      </c>
      <c r="G40" s="44" t="str">
        <f t="shared" si="0"/>
        <v>Líderes de Cada Proceso</v>
      </c>
      <c r="H40" s="116">
        <v>44200</v>
      </c>
      <c r="I40" s="116">
        <v>44540</v>
      </c>
      <c r="J40" s="54"/>
      <c r="K40" s="54"/>
      <c r="L40" s="54"/>
      <c r="M40" s="54"/>
      <c r="N40" s="54"/>
      <c r="O40" s="54"/>
      <c r="P40" s="54"/>
      <c r="Q40" s="54"/>
      <c r="R40" s="54"/>
      <c r="S40" s="54"/>
      <c r="T40" s="54"/>
      <c r="U40" s="54"/>
      <c r="V40" s="121" t="s">
        <v>314</v>
      </c>
      <c r="W40" s="170">
        <v>2.5000000000000001E-3</v>
      </c>
      <c r="X40" s="116"/>
      <c r="Y40" s="65" t="s">
        <v>570</v>
      </c>
      <c r="Z40" s="122" t="s">
        <v>601</v>
      </c>
      <c r="AA40" s="41" t="s">
        <v>58</v>
      </c>
      <c r="AB40" s="130">
        <f t="shared" ca="1" si="1"/>
        <v>1.4000000000000002E-3</v>
      </c>
      <c r="AC40" s="130">
        <f t="shared" ca="1" si="2"/>
        <v>1.0999999999999998E-3</v>
      </c>
      <c r="AD40" s="176">
        <f t="shared" si="3"/>
        <v>12</v>
      </c>
      <c r="AE40" s="177">
        <f t="shared" si="4"/>
        <v>340</v>
      </c>
      <c r="AF40" s="177">
        <f t="shared" si="5"/>
        <v>177</v>
      </c>
      <c r="AG40" s="178">
        <f t="shared" si="6"/>
        <v>0.52058823529411768</v>
      </c>
      <c r="AH40" s="179">
        <f t="shared" si="7"/>
        <v>1.3014705882352943E-3</v>
      </c>
      <c r="AI40" s="178">
        <f t="shared" ca="1" si="8"/>
        <v>9.852941176470586E-5</v>
      </c>
      <c r="AJ40" s="162" t="s">
        <v>384</v>
      </c>
    </row>
    <row r="41" spans="1:36" s="3" customFormat="1" ht="35.450000000000003" customHeight="1" x14ac:dyDescent="0.2">
      <c r="A41" s="121" t="s">
        <v>43</v>
      </c>
      <c r="B41" s="186" t="s">
        <v>284</v>
      </c>
      <c r="C41" s="121" t="s">
        <v>98</v>
      </c>
      <c r="D41" s="121" t="s">
        <v>98</v>
      </c>
      <c r="E41" s="121" t="s">
        <v>165</v>
      </c>
      <c r="F41" s="43" t="s">
        <v>159</v>
      </c>
      <c r="G41" s="44" t="str">
        <f t="shared" si="0"/>
        <v>Líderes de Cada Proceso</v>
      </c>
      <c r="H41" s="116">
        <v>44200</v>
      </c>
      <c r="I41" s="116">
        <v>44540</v>
      </c>
      <c r="J41" s="54"/>
      <c r="K41" s="54"/>
      <c r="L41" s="54"/>
      <c r="M41" s="54"/>
      <c r="N41" s="54"/>
      <c r="O41" s="54"/>
      <c r="P41" s="54"/>
      <c r="Q41" s="54"/>
      <c r="R41" s="54"/>
      <c r="S41" s="54"/>
      <c r="T41" s="54"/>
      <c r="U41" s="54"/>
      <c r="V41" s="41" t="s">
        <v>314</v>
      </c>
      <c r="W41" s="170">
        <v>2.5000000000000001E-3</v>
      </c>
      <c r="X41" s="116"/>
      <c r="Y41" s="65" t="s">
        <v>569</v>
      </c>
      <c r="Z41" s="65" t="s">
        <v>552</v>
      </c>
      <c r="AA41" s="41" t="s">
        <v>58</v>
      </c>
      <c r="AB41" s="130">
        <f t="shared" ca="1" si="1"/>
        <v>1.4000000000000002E-3</v>
      </c>
      <c r="AC41" s="130">
        <f t="shared" ca="1" si="2"/>
        <v>1.0999999999999998E-3</v>
      </c>
      <c r="AD41" s="176">
        <f t="shared" si="3"/>
        <v>12</v>
      </c>
      <c r="AE41" s="177">
        <f t="shared" si="4"/>
        <v>340</v>
      </c>
      <c r="AF41" s="177">
        <f t="shared" si="5"/>
        <v>177</v>
      </c>
      <c r="AG41" s="178">
        <f t="shared" si="6"/>
        <v>0.52058823529411768</v>
      </c>
      <c r="AH41" s="179">
        <f t="shared" si="7"/>
        <v>1.3014705882352943E-3</v>
      </c>
      <c r="AI41" s="178">
        <f t="shared" ca="1" si="8"/>
        <v>9.852941176470586E-5</v>
      </c>
      <c r="AJ41" s="162" t="s">
        <v>384</v>
      </c>
    </row>
    <row r="42" spans="1:36" s="3" customFormat="1" ht="35.450000000000003" customHeight="1" x14ac:dyDescent="0.2">
      <c r="A42" s="132" t="s">
        <v>44</v>
      </c>
      <c r="B42" s="122" t="s">
        <v>202</v>
      </c>
      <c r="C42" s="121" t="s">
        <v>87</v>
      </c>
      <c r="D42" s="121" t="s">
        <v>96</v>
      </c>
      <c r="E42" s="121" t="s">
        <v>165</v>
      </c>
      <c r="F42" s="123" t="s">
        <v>223</v>
      </c>
      <c r="G42" s="44" t="str">
        <f t="shared" si="0"/>
        <v>Subdirector Administrativo</v>
      </c>
      <c r="H42" s="116">
        <v>44201</v>
      </c>
      <c r="I42" s="116">
        <v>44223</v>
      </c>
      <c r="J42" s="54"/>
      <c r="K42" s="54"/>
      <c r="L42" s="54"/>
      <c r="M42" s="54"/>
      <c r="N42" s="54"/>
      <c r="O42" s="54"/>
      <c r="P42" s="54"/>
      <c r="Q42" s="54"/>
      <c r="R42" s="54"/>
      <c r="S42" s="54"/>
      <c r="T42" s="54"/>
      <c r="U42" s="54"/>
      <c r="V42" s="41" t="s">
        <v>123</v>
      </c>
      <c r="W42" s="168">
        <v>7.4999999999999997E-3</v>
      </c>
      <c r="X42" s="116">
        <v>44225</v>
      </c>
      <c r="Y42" s="65" t="s">
        <v>355</v>
      </c>
      <c r="Z42" s="65" t="s">
        <v>395</v>
      </c>
      <c r="AA42" s="41" t="s">
        <v>176</v>
      </c>
      <c r="AB42" s="126">
        <f t="shared" ca="1" si="1"/>
        <v>7.4999999999999989E-3</v>
      </c>
      <c r="AC42" s="126">
        <f t="shared" ca="1" si="2"/>
        <v>0</v>
      </c>
      <c r="AD42" s="176"/>
      <c r="AE42" s="177"/>
      <c r="AF42" s="177"/>
      <c r="AG42" s="178"/>
      <c r="AH42" s="179"/>
      <c r="AI42" s="178"/>
      <c r="AJ42" s="160" t="s">
        <v>218</v>
      </c>
    </row>
    <row r="43" spans="1:36" s="3" customFormat="1" ht="35.450000000000003" customHeight="1" x14ac:dyDescent="0.2">
      <c r="A43" s="132" t="s">
        <v>44</v>
      </c>
      <c r="B43" s="65" t="s">
        <v>262</v>
      </c>
      <c r="C43" s="121" t="s">
        <v>89</v>
      </c>
      <c r="D43" s="121" t="s">
        <v>96</v>
      </c>
      <c r="E43" s="121" t="s">
        <v>165</v>
      </c>
      <c r="F43" s="43" t="s">
        <v>223</v>
      </c>
      <c r="G43" s="44" t="str">
        <f t="shared" si="0"/>
        <v>Subdirector Financiero</v>
      </c>
      <c r="H43" s="116">
        <v>44201</v>
      </c>
      <c r="I43" s="158">
        <v>44253</v>
      </c>
      <c r="J43" s="54"/>
      <c r="K43" s="54"/>
      <c r="L43" s="54"/>
      <c r="M43" s="54"/>
      <c r="N43" s="54"/>
      <c r="O43" s="54"/>
      <c r="P43" s="54"/>
      <c r="Q43" s="54"/>
      <c r="R43" s="54"/>
      <c r="S43" s="54"/>
      <c r="T43" s="54"/>
      <c r="U43" s="54"/>
      <c r="V43" s="121" t="s">
        <v>123</v>
      </c>
      <c r="W43" s="168">
        <v>3.0000000000000001E-3</v>
      </c>
      <c r="X43" s="116">
        <v>44253</v>
      </c>
      <c r="Y43" s="65" t="s">
        <v>419</v>
      </c>
      <c r="Z43" s="65" t="s">
        <v>418</v>
      </c>
      <c r="AA43" s="121" t="s">
        <v>176</v>
      </c>
      <c r="AB43" s="126">
        <f t="shared" ca="1" si="1"/>
        <v>2.9999999999999996E-3</v>
      </c>
      <c r="AC43" s="126">
        <f t="shared" ca="1" si="2"/>
        <v>0</v>
      </c>
      <c r="AD43" s="176"/>
      <c r="AE43" s="177"/>
      <c r="AF43" s="177"/>
      <c r="AG43" s="178"/>
      <c r="AH43" s="179"/>
      <c r="AI43" s="178"/>
      <c r="AJ43" s="160" t="s">
        <v>218</v>
      </c>
    </row>
    <row r="44" spans="1:36" s="3" customFormat="1" ht="35.450000000000003" customHeight="1" x14ac:dyDescent="0.2">
      <c r="A44" s="132" t="s">
        <v>45</v>
      </c>
      <c r="B44" s="122" t="s">
        <v>286</v>
      </c>
      <c r="C44" s="121" t="s">
        <v>90</v>
      </c>
      <c r="D44" s="121" t="s">
        <v>97</v>
      </c>
      <c r="E44" s="121" t="s">
        <v>165</v>
      </c>
      <c r="F44" s="43" t="s">
        <v>222</v>
      </c>
      <c r="G44" s="44" t="str">
        <f t="shared" si="0"/>
        <v>Asesor de Control Interno</v>
      </c>
      <c r="H44" s="116">
        <v>44202</v>
      </c>
      <c r="I44" s="116">
        <v>44214</v>
      </c>
      <c r="J44" s="54"/>
      <c r="K44" s="54"/>
      <c r="L44" s="54"/>
      <c r="M44" s="54"/>
      <c r="N44" s="54"/>
      <c r="O44" s="54"/>
      <c r="P44" s="54"/>
      <c r="Q44" s="54"/>
      <c r="R44" s="54"/>
      <c r="S44" s="54"/>
      <c r="T44" s="54"/>
      <c r="U44" s="54"/>
      <c r="V44" s="121" t="s">
        <v>123</v>
      </c>
      <c r="W44" s="168">
        <v>1.2E-2</v>
      </c>
      <c r="X44" s="116">
        <v>44227</v>
      </c>
      <c r="Y44" s="73" t="s">
        <v>356</v>
      </c>
      <c r="Z44" s="73" t="s">
        <v>356</v>
      </c>
      <c r="AA44" s="121" t="s">
        <v>57</v>
      </c>
      <c r="AB44" s="126">
        <f t="shared" ca="1" si="1"/>
        <v>1.2E-2</v>
      </c>
      <c r="AC44" s="126">
        <f t="shared" ca="1" si="2"/>
        <v>0</v>
      </c>
      <c r="AD44" s="176"/>
      <c r="AE44" s="177"/>
      <c r="AF44" s="177"/>
      <c r="AG44" s="178"/>
      <c r="AH44" s="179"/>
      <c r="AI44" s="178"/>
      <c r="AJ44" s="160" t="s">
        <v>218</v>
      </c>
    </row>
    <row r="45" spans="1:36" s="3" customFormat="1" ht="35.450000000000003" customHeight="1" x14ac:dyDescent="0.2">
      <c r="A45" s="132" t="s">
        <v>43</v>
      </c>
      <c r="B45" s="185" t="s">
        <v>201</v>
      </c>
      <c r="C45" s="121" t="s">
        <v>98</v>
      </c>
      <c r="D45" s="121" t="s">
        <v>98</v>
      </c>
      <c r="E45" s="121" t="s">
        <v>165</v>
      </c>
      <c r="F45" s="43" t="s">
        <v>160</v>
      </c>
      <c r="G45" s="44" t="str">
        <f t="shared" si="0"/>
        <v>Líderes de Cada Proceso</v>
      </c>
      <c r="H45" s="116">
        <v>44202</v>
      </c>
      <c r="I45" s="158">
        <v>44281</v>
      </c>
      <c r="J45" s="54"/>
      <c r="K45" s="54"/>
      <c r="L45" s="54"/>
      <c r="M45" s="54"/>
      <c r="N45" s="54"/>
      <c r="O45" s="54"/>
      <c r="P45" s="54"/>
      <c r="Q45" s="54"/>
      <c r="R45" s="54"/>
      <c r="S45" s="54"/>
      <c r="T45" s="54"/>
      <c r="U45" s="54"/>
      <c r="V45" s="41" t="s">
        <v>208</v>
      </c>
      <c r="W45" s="168">
        <v>1.4999999999999999E-2</v>
      </c>
      <c r="X45" s="116">
        <v>44347</v>
      </c>
      <c r="Y45" s="65" t="s">
        <v>349</v>
      </c>
      <c r="Z45" s="65" t="s">
        <v>471</v>
      </c>
      <c r="AA45" s="124" t="s">
        <v>182</v>
      </c>
      <c r="AB45" s="183">
        <f t="shared" ca="1" si="1"/>
        <v>1.4999999999999999E-2</v>
      </c>
      <c r="AC45" s="126">
        <f t="shared" ca="1" si="2"/>
        <v>0</v>
      </c>
      <c r="AD45" s="176"/>
      <c r="AE45" s="177"/>
      <c r="AF45" s="177"/>
      <c r="AG45" s="178"/>
      <c r="AH45" s="179"/>
      <c r="AI45" s="178"/>
      <c r="AJ45" s="160" t="s">
        <v>218</v>
      </c>
    </row>
    <row r="46" spans="1:36" s="3" customFormat="1" ht="33.6" customHeight="1" x14ac:dyDescent="0.2">
      <c r="A46" s="132" t="s">
        <v>47</v>
      </c>
      <c r="B46" s="125" t="s">
        <v>288</v>
      </c>
      <c r="C46" s="121" t="s">
        <v>98</v>
      </c>
      <c r="D46" s="121" t="s">
        <v>98</v>
      </c>
      <c r="E46" s="121" t="s">
        <v>165</v>
      </c>
      <c r="F46" s="43" t="s">
        <v>246</v>
      </c>
      <c r="G46" s="44" t="str">
        <f t="shared" si="0"/>
        <v>Líderes de Cada Proceso</v>
      </c>
      <c r="H46" s="116">
        <v>44204</v>
      </c>
      <c r="I46" s="116">
        <v>44224</v>
      </c>
      <c r="J46" s="54"/>
      <c r="K46" s="54"/>
      <c r="L46" s="54"/>
      <c r="M46" s="54"/>
      <c r="N46" s="54"/>
      <c r="O46" s="54"/>
      <c r="P46" s="54"/>
      <c r="Q46" s="54"/>
      <c r="R46" s="54"/>
      <c r="S46" s="54"/>
      <c r="T46" s="54"/>
      <c r="U46" s="54"/>
      <c r="V46" s="41" t="s">
        <v>208</v>
      </c>
      <c r="W46" s="170">
        <v>0.02</v>
      </c>
      <c r="X46" s="116">
        <v>44227</v>
      </c>
      <c r="Y46" s="122" t="s">
        <v>358</v>
      </c>
      <c r="Z46" s="65" t="s">
        <v>357</v>
      </c>
      <c r="AA46" s="121" t="s">
        <v>176</v>
      </c>
      <c r="AB46" s="126">
        <f t="shared" ca="1" si="1"/>
        <v>1.9999999999999997E-2</v>
      </c>
      <c r="AC46" s="126">
        <f t="shared" ca="1" si="2"/>
        <v>0</v>
      </c>
      <c r="AD46" s="176"/>
      <c r="AE46" s="177"/>
      <c r="AF46" s="177"/>
      <c r="AG46" s="178"/>
      <c r="AH46" s="179"/>
      <c r="AI46" s="178"/>
      <c r="AJ46" s="160" t="s">
        <v>218</v>
      </c>
    </row>
    <row r="47" spans="1:36" s="3" customFormat="1" ht="35.450000000000003" customHeight="1" x14ac:dyDescent="0.2">
      <c r="A47" s="121" t="s">
        <v>43</v>
      </c>
      <c r="B47" s="122" t="s">
        <v>273</v>
      </c>
      <c r="C47" s="121" t="s">
        <v>90</v>
      </c>
      <c r="D47" s="121" t="s">
        <v>97</v>
      </c>
      <c r="E47" s="121" t="s">
        <v>165</v>
      </c>
      <c r="F47" s="43" t="s">
        <v>222</v>
      </c>
      <c r="G47" s="44" t="str">
        <f t="shared" si="0"/>
        <v>Asesor de Control Interno</v>
      </c>
      <c r="H47" s="116">
        <v>44208</v>
      </c>
      <c r="I47" s="116">
        <v>44214</v>
      </c>
      <c r="J47" s="54"/>
      <c r="K47" s="54"/>
      <c r="L47" s="54"/>
      <c r="M47" s="54"/>
      <c r="N47" s="54"/>
      <c r="O47" s="54"/>
      <c r="P47" s="54"/>
      <c r="Q47" s="54"/>
      <c r="R47" s="54"/>
      <c r="S47" s="54"/>
      <c r="T47" s="54"/>
      <c r="U47" s="54"/>
      <c r="V47" s="121" t="s">
        <v>208</v>
      </c>
      <c r="W47" s="170">
        <v>5.0000000000000001E-3</v>
      </c>
      <c r="X47" s="116">
        <v>44222</v>
      </c>
      <c r="Y47" s="65" t="s">
        <v>345</v>
      </c>
      <c r="Z47" s="65" t="s">
        <v>344</v>
      </c>
      <c r="AA47" s="41" t="s">
        <v>182</v>
      </c>
      <c r="AB47" s="126">
        <f t="shared" ca="1" si="1"/>
        <v>5.0000000000000001E-3</v>
      </c>
      <c r="AC47" s="126">
        <f t="shared" ca="1" si="2"/>
        <v>0</v>
      </c>
      <c r="AD47" s="176"/>
      <c r="AE47" s="177"/>
      <c r="AF47" s="177"/>
      <c r="AG47" s="178"/>
      <c r="AH47" s="179"/>
      <c r="AI47" s="178"/>
      <c r="AJ47" s="160" t="s">
        <v>218</v>
      </c>
    </row>
    <row r="48" spans="1:36" s="3" customFormat="1" ht="35.450000000000003" customHeight="1" x14ac:dyDescent="0.2">
      <c r="A48" s="121" t="s">
        <v>43</v>
      </c>
      <c r="B48" s="122" t="s">
        <v>285</v>
      </c>
      <c r="C48" s="121" t="s">
        <v>90</v>
      </c>
      <c r="D48" s="121" t="s">
        <v>97</v>
      </c>
      <c r="E48" s="121" t="s">
        <v>165</v>
      </c>
      <c r="F48" s="123" t="s">
        <v>222</v>
      </c>
      <c r="G48" s="44" t="str">
        <f t="shared" si="0"/>
        <v>Asesor de Control Interno</v>
      </c>
      <c r="H48" s="116">
        <v>44208</v>
      </c>
      <c r="I48" s="116">
        <v>44235</v>
      </c>
      <c r="J48" s="54"/>
      <c r="K48" s="54"/>
      <c r="L48" s="54"/>
      <c r="M48" s="54"/>
      <c r="N48" s="54"/>
      <c r="O48" s="54"/>
      <c r="P48" s="54"/>
      <c r="Q48" s="54"/>
      <c r="R48" s="54"/>
      <c r="S48" s="54"/>
      <c r="T48" s="54"/>
      <c r="U48" s="54"/>
      <c r="V48" s="41" t="s">
        <v>314</v>
      </c>
      <c r="W48" s="170">
        <v>5.0000000000000001E-3</v>
      </c>
      <c r="X48" s="116">
        <v>44249</v>
      </c>
      <c r="Y48" s="122" t="s">
        <v>348</v>
      </c>
      <c r="Z48" s="65" t="s">
        <v>420</v>
      </c>
      <c r="AA48" s="121" t="s">
        <v>182</v>
      </c>
      <c r="AB48" s="126">
        <f t="shared" ca="1" si="1"/>
        <v>5.0000000000000001E-3</v>
      </c>
      <c r="AC48" s="126">
        <f t="shared" ca="1" si="2"/>
        <v>0</v>
      </c>
      <c r="AD48" s="176"/>
      <c r="AE48" s="177"/>
      <c r="AF48" s="177"/>
      <c r="AG48" s="178"/>
      <c r="AH48" s="179"/>
      <c r="AI48" s="178"/>
      <c r="AJ48" s="160" t="s">
        <v>218</v>
      </c>
    </row>
    <row r="49" spans="1:36" s="3" customFormat="1" ht="35.450000000000003" customHeight="1" x14ac:dyDescent="0.2">
      <c r="A49" s="132" t="s">
        <v>50</v>
      </c>
      <c r="B49" s="122" t="s">
        <v>282</v>
      </c>
      <c r="C49" s="121" t="s">
        <v>140</v>
      </c>
      <c r="D49" s="121" t="s">
        <v>100</v>
      </c>
      <c r="E49" s="121" t="s">
        <v>165</v>
      </c>
      <c r="F49" s="43" t="s">
        <v>159</v>
      </c>
      <c r="G49" s="44" t="str">
        <f t="shared" si="0"/>
        <v>Director de Gestión Corporativa y CID</v>
      </c>
      <c r="H49" s="116">
        <v>44208</v>
      </c>
      <c r="I49" s="158">
        <v>44267</v>
      </c>
      <c r="J49" s="54"/>
      <c r="K49" s="54"/>
      <c r="L49" s="54"/>
      <c r="M49" s="54"/>
      <c r="N49" s="54"/>
      <c r="O49" s="54"/>
      <c r="P49" s="54"/>
      <c r="Q49" s="54"/>
      <c r="R49" s="54"/>
      <c r="S49" s="54"/>
      <c r="T49" s="54"/>
      <c r="U49" s="54"/>
      <c r="V49" s="41" t="s">
        <v>123</v>
      </c>
      <c r="W49" s="168">
        <v>2.5000000000000001E-3</v>
      </c>
      <c r="X49" s="116">
        <v>44278</v>
      </c>
      <c r="Y49" s="65" t="s">
        <v>433</v>
      </c>
      <c r="Z49" s="65" t="s">
        <v>467</v>
      </c>
      <c r="AA49" s="41" t="s">
        <v>177</v>
      </c>
      <c r="AB49" s="183">
        <f t="shared" ca="1" si="1"/>
        <v>2.5000000000000005E-3</v>
      </c>
      <c r="AC49" s="126">
        <f t="shared" ca="1" si="2"/>
        <v>0</v>
      </c>
      <c r="AD49" s="176"/>
      <c r="AE49" s="177"/>
      <c r="AF49" s="177"/>
      <c r="AG49" s="178"/>
      <c r="AH49" s="179"/>
      <c r="AI49" s="178"/>
      <c r="AJ49" s="160" t="s">
        <v>218</v>
      </c>
    </row>
    <row r="50" spans="1:36" s="3" customFormat="1" ht="35.450000000000003" customHeight="1" x14ac:dyDescent="0.2">
      <c r="A50" s="121" t="s">
        <v>45</v>
      </c>
      <c r="B50" s="122" t="s">
        <v>334</v>
      </c>
      <c r="C50" s="121" t="s">
        <v>90</v>
      </c>
      <c r="D50" s="121" t="s">
        <v>97</v>
      </c>
      <c r="E50" s="121" t="s">
        <v>165</v>
      </c>
      <c r="F50" s="43" t="s">
        <v>222</v>
      </c>
      <c r="G50" s="44" t="str">
        <f t="shared" si="0"/>
        <v>Asesor de Control Interno</v>
      </c>
      <c r="H50" s="116">
        <v>44210</v>
      </c>
      <c r="I50" s="158">
        <v>44253</v>
      </c>
      <c r="J50" s="54"/>
      <c r="K50" s="54"/>
      <c r="L50" s="54"/>
      <c r="M50" s="54"/>
      <c r="N50" s="54"/>
      <c r="O50" s="54"/>
      <c r="P50" s="54"/>
      <c r="Q50" s="54"/>
      <c r="R50" s="54"/>
      <c r="S50" s="54"/>
      <c r="T50" s="54"/>
      <c r="U50" s="54"/>
      <c r="V50" s="41" t="s">
        <v>314</v>
      </c>
      <c r="W50" s="168">
        <v>5.0000000000000001E-3</v>
      </c>
      <c r="X50" s="116">
        <v>44255</v>
      </c>
      <c r="Y50" s="65" t="s">
        <v>351</v>
      </c>
      <c r="Z50" s="65" t="s">
        <v>410</v>
      </c>
      <c r="AA50" s="41" t="s">
        <v>57</v>
      </c>
      <c r="AB50" s="126">
        <f t="shared" ca="1" si="1"/>
        <v>5.0000000000000001E-3</v>
      </c>
      <c r="AC50" s="126">
        <f t="shared" ca="1" si="2"/>
        <v>0</v>
      </c>
      <c r="AD50" s="176"/>
      <c r="AE50" s="177"/>
      <c r="AF50" s="177"/>
      <c r="AG50" s="178"/>
      <c r="AH50" s="179"/>
      <c r="AI50" s="178"/>
      <c r="AJ50" s="160" t="s">
        <v>218</v>
      </c>
    </row>
    <row r="51" spans="1:36" ht="35.450000000000003" customHeight="1" x14ac:dyDescent="0.2">
      <c r="A51" s="121" t="s">
        <v>45</v>
      </c>
      <c r="B51" s="42" t="s">
        <v>335</v>
      </c>
      <c r="C51" s="121" t="s">
        <v>90</v>
      </c>
      <c r="D51" s="121" t="s">
        <v>97</v>
      </c>
      <c r="E51" s="121" t="s">
        <v>165</v>
      </c>
      <c r="F51" s="43" t="s">
        <v>160</v>
      </c>
      <c r="G51" s="44" t="str">
        <f t="shared" si="0"/>
        <v>Asesor de Control Interno</v>
      </c>
      <c r="H51" s="116">
        <v>44210</v>
      </c>
      <c r="I51" s="158">
        <v>44253</v>
      </c>
      <c r="J51" s="54"/>
      <c r="K51" s="54"/>
      <c r="L51" s="54"/>
      <c r="M51" s="54"/>
      <c r="N51" s="54"/>
      <c r="O51" s="54"/>
      <c r="P51" s="54"/>
      <c r="Q51" s="54"/>
      <c r="R51" s="54"/>
      <c r="S51" s="54"/>
      <c r="T51" s="54"/>
      <c r="U51" s="54"/>
      <c r="V51" s="41" t="s">
        <v>314</v>
      </c>
      <c r="W51" s="168">
        <v>5.0000000000000001E-3</v>
      </c>
      <c r="X51" s="116">
        <v>44255</v>
      </c>
      <c r="Y51" s="65" t="s">
        <v>351</v>
      </c>
      <c r="Z51" s="65" t="s">
        <v>410</v>
      </c>
      <c r="AA51" s="41" t="s">
        <v>57</v>
      </c>
      <c r="AB51" s="126">
        <f t="shared" ca="1" si="1"/>
        <v>5.0000000000000001E-3</v>
      </c>
      <c r="AC51" s="126">
        <f t="shared" ca="1" si="2"/>
        <v>0</v>
      </c>
      <c r="AD51" s="176"/>
      <c r="AE51" s="177"/>
      <c r="AF51" s="177"/>
      <c r="AG51" s="178"/>
      <c r="AH51" s="179"/>
      <c r="AI51" s="178"/>
      <c r="AJ51" s="160" t="s">
        <v>218</v>
      </c>
    </row>
    <row r="52" spans="1:36" ht="35.450000000000003" customHeight="1" x14ac:dyDescent="0.2">
      <c r="A52" s="132" t="s">
        <v>46</v>
      </c>
      <c r="B52" s="42" t="s">
        <v>330</v>
      </c>
      <c r="C52" s="121" t="s">
        <v>98</v>
      </c>
      <c r="D52" s="121" t="s">
        <v>98</v>
      </c>
      <c r="E52" s="121" t="s">
        <v>165</v>
      </c>
      <c r="F52" s="43" t="s">
        <v>223</v>
      </c>
      <c r="G52" s="44" t="str">
        <f t="shared" si="0"/>
        <v>Líderes de Cada Proceso</v>
      </c>
      <c r="H52" s="116">
        <v>44211</v>
      </c>
      <c r="I52" s="116">
        <v>44242</v>
      </c>
      <c r="J52" s="54"/>
      <c r="K52" s="54"/>
      <c r="L52" s="54"/>
      <c r="M52" s="54"/>
      <c r="N52" s="54"/>
      <c r="O52" s="54"/>
      <c r="P52" s="54"/>
      <c r="Q52" s="54"/>
      <c r="R52" s="54"/>
      <c r="S52" s="54"/>
      <c r="T52" s="54"/>
      <c r="U52" s="54"/>
      <c r="V52" s="41" t="s">
        <v>312</v>
      </c>
      <c r="W52" s="168">
        <v>0.01</v>
      </c>
      <c r="X52" s="116">
        <v>44242</v>
      </c>
      <c r="Y52" s="65" t="s">
        <v>352</v>
      </c>
      <c r="Z52" s="65" t="s">
        <v>396</v>
      </c>
      <c r="AA52" s="121" t="s">
        <v>152</v>
      </c>
      <c r="AB52" s="126">
        <f t="shared" ca="1" si="1"/>
        <v>0.01</v>
      </c>
      <c r="AC52" s="126">
        <f t="shared" ca="1" si="2"/>
        <v>0</v>
      </c>
      <c r="AD52" s="176"/>
      <c r="AE52" s="177"/>
      <c r="AF52" s="177"/>
      <c r="AG52" s="178"/>
      <c r="AH52" s="179"/>
      <c r="AI52" s="178"/>
      <c r="AJ52" s="160" t="s">
        <v>218</v>
      </c>
    </row>
    <row r="53" spans="1:36" ht="35.450000000000003" customHeight="1" x14ac:dyDescent="0.2">
      <c r="A53" s="132" t="s">
        <v>44</v>
      </c>
      <c r="B53" s="122" t="s">
        <v>271</v>
      </c>
      <c r="C53" s="121" t="s">
        <v>90</v>
      </c>
      <c r="D53" s="121" t="s">
        <v>97</v>
      </c>
      <c r="E53" s="121" t="s">
        <v>165</v>
      </c>
      <c r="F53" s="43" t="s">
        <v>222</v>
      </c>
      <c r="G53" s="44" t="str">
        <f t="shared" si="0"/>
        <v>Asesor de Control Interno</v>
      </c>
      <c r="H53" s="116">
        <v>44214</v>
      </c>
      <c r="I53" s="116">
        <v>44224</v>
      </c>
      <c r="J53" s="54"/>
      <c r="K53" s="54"/>
      <c r="L53" s="54"/>
      <c r="M53" s="54"/>
      <c r="N53" s="54"/>
      <c r="O53" s="54"/>
      <c r="P53" s="54"/>
      <c r="Q53" s="54"/>
      <c r="R53" s="54"/>
      <c r="S53" s="54"/>
      <c r="T53" s="54"/>
      <c r="U53" s="54"/>
      <c r="V53" s="41" t="s">
        <v>208</v>
      </c>
      <c r="W53" s="168">
        <v>5.0000000000000001E-3</v>
      </c>
      <c r="X53" s="116">
        <v>44222</v>
      </c>
      <c r="Y53" s="65" t="s">
        <v>346</v>
      </c>
      <c r="Z53" s="65" t="s">
        <v>397</v>
      </c>
      <c r="AA53" s="121" t="s">
        <v>176</v>
      </c>
      <c r="AB53" s="126">
        <f t="shared" ca="1" si="1"/>
        <v>4.9999999999999992E-3</v>
      </c>
      <c r="AC53" s="126">
        <f t="shared" ca="1" si="2"/>
        <v>0</v>
      </c>
      <c r="AD53" s="176"/>
      <c r="AE53" s="177"/>
      <c r="AF53" s="177"/>
      <c r="AG53" s="178"/>
      <c r="AH53" s="179"/>
      <c r="AI53" s="178"/>
      <c r="AJ53" s="160" t="s">
        <v>218</v>
      </c>
    </row>
    <row r="54" spans="1:36" ht="35.450000000000003" customHeight="1" x14ac:dyDescent="0.2">
      <c r="A54" s="121" t="s">
        <v>45</v>
      </c>
      <c r="B54" s="122" t="s">
        <v>290</v>
      </c>
      <c r="C54" s="121" t="s">
        <v>90</v>
      </c>
      <c r="D54" s="121" t="s">
        <v>97</v>
      </c>
      <c r="E54" s="121" t="s">
        <v>165</v>
      </c>
      <c r="F54" s="43" t="s">
        <v>222</v>
      </c>
      <c r="G54" s="44" t="str">
        <f t="shared" si="0"/>
        <v>Asesor de Control Interno</v>
      </c>
      <c r="H54" s="116">
        <v>44215</v>
      </c>
      <c r="I54" s="116">
        <v>44222</v>
      </c>
      <c r="J54" s="54"/>
      <c r="K54" s="54"/>
      <c r="L54" s="54"/>
      <c r="M54" s="54"/>
      <c r="N54" s="54"/>
      <c r="O54" s="54"/>
      <c r="P54" s="54"/>
      <c r="Q54" s="54"/>
      <c r="R54" s="54"/>
      <c r="S54" s="54"/>
      <c r="T54" s="54"/>
      <c r="U54" s="54"/>
      <c r="V54" s="121" t="s">
        <v>208</v>
      </c>
      <c r="W54" s="168">
        <v>3.0000000000000001E-3</v>
      </c>
      <c r="X54" s="116">
        <v>44223</v>
      </c>
      <c r="Y54" s="65" t="s">
        <v>347</v>
      </c>
      <c r="Z54" s="65" t="s">
        <v>347</v>
      </c>
      <c r="AA54" s="121" t="s">
        <v>57</v>
      </c>
      <c r="AB54" s="126">
        <f t="shared" ca="1" si="1"/>
        <v>3.0000000000000001E-3</v>
      </c>
      <c r="AC54" s="126">
        <f t="shared" ca="1" si="2"/>
        <v>0</v>
      </c>
      <c r="AD54" s="176"/>
      <c r="AE54" s="177"/>
      <c r="AF54" s="177"/>
      <c r="AG54" s="178"/>
      <c r="AH54" s="179"/>
      <c r="AI54" s="178"/>
      <c r="AJ54" s="160" t="s">
        <v>218</v>
      </c>
    </row>
    <row r="55" spans="1:36" ht="35.450000000000003" customHeight="1" x14ac:dyDescent="0.2">
      <c r="A55" s="132" t="s">
        <v>46</v>
      </c>
      <c r="B55" s="42" t="s">
        <v>277</v>
      </c>
      <c r="C55" s="121" t="s">
        <v>98</v>
      </c>
      <c r="D55" s="121" t="s">
        <v>98</v>
      </c>
      <c r="E55" s="121" t="s">
        <v>165</v>
      </c>
      <c r="F55" s="43" t="s">
        <v>223</v>
      </c>
      <c r="G55" s="44" t="str">
        <f t="shared" si="0"/>
        <v>Líderes de Cada Proceso</v>
      </c>
      <c r="H55" s="116">
        <v>44215</v>
      </c>
      <c r="I55" s="116">
        <v>44242</v>
      </c>
      <c r="J55" s="54"/>
      <c r="K55" s="54"/>
      <c r="L55" s="54"/>
      <c r="M55" s="54"/>
      <c r="N55" s="54"/>
      <c r="O55" s="54"/>
      <c r="P55" s="54"/>
      <c r="Q55" s="54"/>
      <c r="R55" s="54"/>
      <c r="S55" s="54"/>
      <c r="T55" s="54"/>
      <c r="U55" s="54"/>
      <c r="V55" s="41" t="s">
        <v>123</v>
      </c>
      <c r="W55" s="168">
        <v>2E-3</v>
      </c>
      <c r="X55" s="116">
        <v>44242</v>
      </c>
      <c r="Y55" s="65" t="s">
        <v>352</v>
      </c>
      <c r="Z55" s="65" t="s">
        <v>398</v>
      </c>
      <c r="AA55" s="41" t="s">
        <v>152</v>
      </c>
      <c r="AB55" s="126">
        <f t="shared" ca="1" si="1"/>
        <v>2E-3</v>
      </c>
      <c r="AC55" s="126">
        <f t="shared" ca="1" si="2"/>
        <v>0</v>
      </c>
      <c r="AD55" s="176"/>
      <c r="AE55" s="177"/>
      <c r="AF55" s="177"/>
      <c r="AG55" s="178"/>
      <c r="AH55" s="179"/>
      <c r="AI55" s="178"/>
      <c r="AJ55" s="160" t="s">
        <v>218</v>
      </c>
    </row>
    <row r="56" spans="1:36" ht="35.450000000000003" customHeight="1" x14ac:dyDescent="0.2">
      <c r="A56" s="132" t="s">
        <v>46</v>
      </c>
      <c r="B56" s="122" t="s">
        <v>278</v>
      </c>
      <c r="C56" s="121" t="s">
        <v>87</v>
      </c>
      <c r="D56" s="121" t="s">
        <v>96</v>
      </c>
      <c r="E56" s="121" t="s">
        <v>165</v>
      </c>
      <c r="F56" s="43" t="s">
        <v>223</v>
      </c>
      <c r="G56" s="44" t="str">
        <f t="shared" si="0"/>
        <v>Subdirector Administrativo</v>
      </c>
      <c r="H56" s="116">
        <v>44215</v>
      </c>
      <c r="I56" s="116">
        <v>44242</v>
      </c>
      <c r="J56" s="54"/>
      <c r="K56" s="54"/>
      <c r="L56" s="54"/>
      <c r="M56" s="54"/>
      <c r="N56" s="54"/>
      <c r="O56" s="54"/>
      <c r="P56" s="54"/>
      <c r="Q56" s="54"/>
      <c r="R56" s="54"/>
      <c r="S56" s="54"/>
      <c r="T56" s="54"/>
      <c r="U56" s="54"/>
      <c r="V56" s="41" t="s">
        <v>123</v>
      </c>
      <c r="W56" s="168">
        <v>2E-3</v>
      </c>
      <c r="X56" s="116">
        <v>44242</v>
      </c>
      <c r="Y56" s="65" t="s">
        <v>352</v>
      </c>
      <c r="Z56" s="65" t="s">
        <v>371</v>
      </c>
      <c r="AA56" s="121" t="s">
        <v>152</v>
      </c>
      <c r="AB56" s="126">
        <f t="shared" ca="1" si="1"/>
        <v>2E-3</v>
      </c>
      <c r="AC56" s="126">
        <f t="shared" ca="1" si="2"/>
        <v>0</v>
      </c>
      <c r="AD56" s="176"/>
      <c r="AE56" s="177"/>
      <c r="AF56" s="177"/>
      <c r="AG56" s="178"/>
      <c r="AH56" s="179"/>
      <c r="AI56" s="178"/>
      <c r="AJ56" s="160" t="s">
        <v>218</v>
      </c>
    </row>
    <row r="57" spans="1:36" ht="35.450000000000003" customHeight="1" x14ac:dyDescent="0.2">
      <c r="A57" s="132" t="s">
        <v>46</v>
      </c>
      <c r="B57" s="122" t="s">
        <v>279</v>
      </c>
      <c r="C57" s="121" t="s">
        <v>87</v>
      </c>
      <c r="D57" s="121" t="s">
        <v>96</v>
      </c>
      <c r="E57" s="121" t="s">
        <v>165</v>
      </c>
      <c r="F57" s="43" t="s">
        <v>223</v>
      </c>
      <c r="G57" s="44" t="str">
        <f t="shared" si="0"/>
        <v>Subdirector Administrativo</v>
      </c>
      <c r="H57" s="116">
        <v>44215</v>
      </c>
      <c r="I57" s="116">
        <v>44242</v>
      </c>
      <c r="J57" s="54"/>
      <c r="K57" s="54"/>
      <c r="L57" s="54"/>
      <c r="M57" s="54"/>
      <c r="N57" s="54"/>
      <c r="O57" s="54"/>
      <c r="P57" s="54"/>
      <c r="Q57" s="54"/>
      <c r="R57" s="54"/>
      <c r="S57" s="54"/>
      <c r="T57" s="54"/>
      <c r="U57" s="54"/>
      <c r="V57" s="41" t="s">
        <v>123</v>
      </c>
      <c r="W57" s="168">
        <v>2E-3</v>
      </c>
      <c r="X57" s="116">
        <v>44242</v>
      </c>
      <c r="Y57" s="65" t="s">
        <v>352</v>
      </c>
      <c r="Z57" s="65" t="s">
        <v>399</v>
      </c>
      <c r="AA57" s="121" t="s">
        <v>152</v>
      </c>
      <c r="AB57" s="126">
        <f t="shared" ca="1" si="1"/>
        <v>2E-3</v>
      </c>
      <c r="AC57" s="126">
        <f t="shared" ca="1" si="2"/>
        <v>0</v>
      </c>
      <c r="AD57" s="176"/>
      <c r="AE57" s="177"/>
      <c r="AF57" s="177"/>
      <c r="AG57" s="178"/>
      <c r="AH57" s="179"/>
      <c r="AI57" s="178"/>
      <c r="AJ57" s="160" t="s">
        <v>218</v>
      </c>
    </row>
    <row r="58" spans="1:36" ht="35.450000000000003" customHeight="1" x14ac:dyDescent="0.2">
      <c r="A58" s="132" t="s">
        <v>46</v>
      </c>
      <c r="B58" s="122" t="s">
        <v>281</v>
      </c>
      <c r="C58" s="121" t="s">
        <v>90</v>
      </c>
      <c r="D58" s="121" t="s">
        <v>97</v>
      </c>
      <c r="E58" s="121" t="s">
        <v>165</v>
      </c>
      <c r="F58" s="43" t="s">
        <v>223</v>
      </c>
      <c r="G58" s="44" t="str">
        <f t="shared" si="0"/>
        <v>Asesor de Control Interno</v>
      </c>
      <c r="H58" s="116">
        <v>44215</v>
      </c>
      <c r="I58" s="116">
        <v>44242</v>
      </c>
      <c r="J58" s="54"/>
      <c r="K58" s="54"/>
      <c r="L58" s="54"/>
      <c r="M58" s="54"/>
      <c r="N58" s="54"/>
      <c r="O58" s="54"/>
      <c r="P58" s="54"/>
      <c r="Q58" s="54"/>
      <c r="R58" s="54"/>
      <c r="S58" s="54"/>
      <c r="T58" s="54"/>
      <c r="U58" s="54"/>
      <c r="V58" s="41" t="s">
        <v>123</v>
      </c>
      <c r="W58" s="168">
        <v>2E-3</v>
      </c>
      <c r="X58" s="116">
        <v>44242</v>
      </c>
      <c r="Y58" s="65" t="s">
        <v>352</v>
      </c>
      <c r="Z58" s="65" t="s">
        <v>400</v>
      </c>
      <c r="AA58" s="121" t="s">
        <v>152</v>
      </c>
      <c r="AB58" s="126">
        <f t="shared" ca="1" si="1"/>
        <v>2E-3</v>
      </c>
      <c r="AC58" s="126">
        <f t="shared" ca="1" si="2"/>
        <v>0</v>
      </c>
      <c r="AD58" s="176"/>
      <c r="AE58" s="177"/>
      <c r="AF58" s="177"/>
      <c r="AG58" s="178"/>
      <c r="AH58" s="179"/>
      <c r="AI58" s="178"/>
      <c r="AJ58" s="160" t="s">
        <v>218</v>
      </c>
    </row>
    <row r="59" spans="1:36" ht="35.450000000000003" customHeight="1" x14ac:dyDescent="0.2">
      <c r="A59" s="132" t="s">
        <v>46</v>
      </c>
      <c r="B59" s="122" t="s">
        <v>280</v>
      </c>
      <c r="C59" s="121" t="s">
        <v>87</v>
      </c>
      <c r="D59" s="121" t="s">
        <v>96</v>
      </c>
      <c r="E59" s="121" t="s">
        <v>165</v>
      </c>
      <c r="F59" s="43" t="s">
        <v>223</v>
      </c>
      <c r="G59" s="44" t="str">
        <f t="shared" si="0"/>
        <v>Subdirector Administrativo</v>
      </c>
      <c r="H59" s="116">
        <v>44215</v>
      </c>
      <c r="I59" s="116">
        <v>44242</v>
      </c>
      <c r="J59" s="54"/>
      <c r="K59" s="54"/>
      <c r="L59" s="54"/>
      <c r="M59" s="54"/>
      <c r="N59" s="54"/>
      <c r="O59" s="54"/>
      <c r="P59" s="54"/>
      <c r="Q59" s="54"/>
      <c r="R59" s="54"/>
      <c r="S59" s="54"/>
      <c r="T59" s="54"/>
      <c r="U59" s="54"/>
      <c r="V59" s="41" t="s">
        <v>123</v>
      </c>
      <c r="W59" s="168">
        <v>2E-3</v>
      </c>
      <c r="X59" s="116">
        <v>44242</v>
      </c>
      <c r="Y59" s="65" t="s">
        <v>352</v>
      </c>
      <c r="Z59" s="65" t="s">
        <v>401</v>
      </c>
      <c r="AA59" s="121" t="s">
        <v>152</v>
      </c>
      <c r="AB59" s="126">
        <f t="shared" ca="1" si="1"/>
        <v>2E-3</v>
      </c>
      <c r="AC59" s="126">
        <f t="shared" ca="1" si="2"/>
        <v>0</v>
      </c>
      <c r="AD59" s="176"/>
      <c r="AE59" s="177"/>
      <c r="AF59" s="177"/>
      <c r="AG59" s="178"/>
      <c r="AH59" s="179"/>
      <c r="AI59" s="178"/>
      <c r="AJ59" s="160" t="s">
        <v>218</v>
      </c>
    </row>
    <row r="60" spans="1:36" ht="35.450000000000003" customHeight="1" x14ac:dyDescent="0.2">
      <c r="A60" s="121" t="s">
        <v>45</v>
      </c>
      <c r="B60" s="122" t="s">
        <v>272</v>
      </c>
      <c r="C60" s="121" t="s">
        <v>90</v>
      </c>
      <c r="D60" s="121" t="s">
        <v>97</v>
      </c>
      <c r="E60" s="121" t="s">
        <v>165</v>
      </c>
      <c r="F60" s="43" t="s">
        <v>222</v>
      </c>
      <c r="G60" s="44" t="str">
        <f t="shared" si="0"/>
        <v>Asesor de Control Interno</v>
      </c>
      <c r="H60" s="116">
        <v>44223</v>
      </c>
      <c r="I60" s="116">
        <v>44229</v>
      </c>
      <c r="J60" s="54"/>
      <c r="K60" s="54"/>
      <c r="L60" s="54"/>
      <c r="M60" s="54"/>
      <c r="N60" s="54"/>
      <c r="O60" s="54"/>
      <c r="P60" s="54"/>
      <c r="Q60" s="54"/>
      <c r="R60" s="54"/>
      <c r="S60" s="54"/>
      <c r="T60" s="54"/>
      <c r="U60" s="54"/>
      <c r="V60" s="41" t="s">
        <v>208</v>
      </c>
      <c r="W60" s="168">
        <v>3.0000000000000001E-3</v>
      </c>
      <c r="X60" s="116">
        <v>44230</v>
      </c>
      <c r="Y60" s="122" t="s">
        <v>372</v>
      </c>
      <c r="Z60" s="65" t="s">
        <v>373</v>
      </c>
      <c r="AA60" s="121" t="s">
        <v>57</v>
      </c>
      <c r="AB60" s="126">
        <f t="shared" ca="1" si="1"/>
        <v>3.0000000000000001E-3</v>
      </c>
      <c r="AC60" s="126">
        <f t="shared" ca="1" si="2"/>
        <v>0</v>
      </c>
      <c r="AD60" s="176"/>
      <c r="AE60" s="177"/>
      <c r="AF60" s="177"/>
      <c r="AG60" s="178"/>
      <c r="AH60" s="179"/>
      <c r="AI60" s="178"/>
      <c r="AJ60" s="160" t="s">
        <v>218</v>
      </c>
    </row>
    <row r="61" spans="1:36" ht="35.450000000000003" customHeight="1" x14ac:dyDescent="0.2">
      <c r="A61" s="132" t="s">
        <v>46</v>
      </c>
      <c r="B61" s="42" t="s">
        <v>294</v>
      </c>
      <c r="C61" s="121" t="s">
        <v>82</v>
      </c>
      <c r="D61" s="121" t="s">
        <v>100</v>
      </c>
      <c r="E61" s="121" t="s">
        <v>165</v>
      </c>
      <c r="F61" s="43" t="s">
        <v>222</v>
      </c>
      <c r="G61" s="44" t="str">
        <f t="shared" si="0"/>
        <v>Director de Mejoramiento de Barrios</v>
      </c>
      <c r="H61" s="116">
        <v>44224</v>
      </c>
      <c r="I61" s="116">
        <v>44229</v>
      </c>
      <c r="J61" s="54"/>
      <c r="K61" s="54"/>
      <c r="L61" s="54"/>
      <c r="M61" s="54"/>
      <c r="N61" s="54"/>
      <c r="O61" s="54"/>
      <c r="P61" s="54"/>
      <c r="Q61" s="54"/>
      <c r="R61" s="54"/>
      <c r="S61" s="54"/>
      <c r="T61" s="54"/>
      <c r="U61" s="54"/>
      <c r="V61" s="119" t="s">
        <v>297</v>
      </c>
      <c r="W61" s="168">
        <v>1E-3</v>
      </c>
      <c r="X61" s="116">
        <v>44229</v>
      </c>
      <c r="Y61" s="65" t="s">
        <v>353</v>
      </c>
      <c r="Z61" s="65" t="s">
        <v>374</v>
      </c>
      <c r="AA61" s="121" t="s">
        <v>152</v>
      </c>
      <c r="AB61" s="126">
        <f t="shared" ca="1" si="1"/>
        <v>1E-3</v>
      </c>
      <c r="AC61" s="126">
        <f t="shared" ca="1" si="2"/>
        <v>0</v>
      </c>
      <c r="AD61" s="176"/>
      <c r="AE61" s="177"/>
      <c r="AF61" s="177"/>
      <c r="AG61" s="178"/>
      <c r="AH61" s="179"/>
      <c r="AI61" s="178"/>
      <c r="AJ61" s="160" t="s">
        <v>218</v>
      </c>
    </row>
    <row r="62" spans="1:36" ht="35.450000000000003" customHeight="1" x14ac:dyDescent="0.2">
      <c r="A62" s="121" t="s">
        <v>45</v>
      </c>
      <c r="B62" s="122" t="s">
        <v>114</v>
      </c>
      <c r="C62" s="121" t="s">
        <v>90</v>
      </c>
      <c r="D62" s="121" t="s">
        <v>97</v>
      </c>
      <c r="E62" s="121" t="s">
        <v>165</v>
      </c>
      <c r="F62" s="43" t="s">
        <v>199</v>
      </c>
      <c r="G62" s="44" t="str">
        <f t="shared" si="0"/>
        <v>Asesor de Control Interno</v>
      </c>
      <c r="H62" s="116">
        <v>44228</v>
      </c>
      <c r="I62" s="116">
        <v>44231</v>
      </c>
      <c r="J62" s="54"/>
      <c r="K62" s="54"/>
      <c r="L62" s="54"/>
      <c r="M62" s="54"/>
      <c r="N62" s="54"/>
      <c r="O62" s="54"/>
      <c r="P62" s="54"/>
      <c r="Q62" s="54"/>
      <c r="R62" s="54"/>
      <c r="S62" s="54"/>
      <c r="T62" s="54"/>
      <c r="U62" s="54"/>
      <c r="V62" s="121" t="s">
        <v>195</v>
      </c>
      <c r="W62" s="168">
        <v>3.0000000000000001E-3</v>
      </c>
      <c r="X62" s="116">
        <v>44231</v>
      </c>
      <c r="Y62" s="65" t="s">
        <v>376</v>
      </c>
      <c r="Z62" s="117" t="s">
        <v>377</v>
      </c>
      <c r="AA62" s="121" t="s">
        <v>57</v>
      </c>
      <c r="AB62" s="126">
        <f t="shared" ca="1" si="1"/>
        <v>3.0000000000000001E-3</v>
      </c>
      <c r="AC62" s="126">
        <f t="shared" ca="1" si="2"/>
        <v>0</v>
      </c>
      <c r="AD62" s="176"/>
      <c r="AE62" s="177"/>
      <c r="AF62" s="177"/>
      <c r="AG62" s="178"/>
      <c r="AH62" s="179"/>
      <c r="AI62" s="178"/>
      <c r="AJ62" s="160" t="s">
        <v>218</v>
      </c>
    </row>
    <row r="63" spans="1:36" ht="35.450000000000003" customHeight="1" x14ac:dyDescent="0.2">
      <c r="A63" s="132" t="s">
        <v>46</v>
      </c>
      <c r="B63" s="122" t="s">
        <v>93</v>
      </c>
      <c r="C63" s="121" t="s">
        <v>141</v>
      </c>
      <c r="D63" s="121" t="s">
        <v>96</v>
      </c>
      <c r="E63" s="121" t="s">
        <v>165</v>
      </c>
      <c r="F63" s="43" t="s">
        <v>223</v>
      </c>
      <c r="G63" s="44" t="str">
        <f t="shared" si="0"/>
        <v>Director de Gestión Corporativa y CID</v>
      </c>
      <c r="H63" s="116">
        <v>44228</v>
      </c>
      <c r="I63" s="116">
        <v>44236</v>
      </c>
      <c r="J63" s="54"/>
      <c r="K63" s="54"/>
      <c r="L63" s="54"/>
      <c r="M63" s="54"/>
      <c r="N63" s="54"/>
      <c r="O63" s="54"/>
      <c r="P63" s="54"/>
      <c r="Q63" s="54"/>
      <c r="R63" s="54"/>
      <c r="S63" s="54"/>
      <c r="T63" s="54"/>
      <c r="U63" s="54"/>
      <c r="V63" s="121" t="s">
        <v>312</v>
      </c>
      <c r="W63" s="168">
        <v>1E-3</v>
      </c>
      <c r="X63" s="116">
        <v>44237</v>
      </c>
      <c r="Y63" s="65" t="s">
        <v>379</v>
      </c>
      <c r="Z63" s="122" t="s">
        <v>402</v>
      </c>
      <c r="AA63" s="121" t="s">
        <v>152</v>
      </c>
      <c r="AB63" s="126">
        <f t="shared" ca="1" si="1"/>
        <v>1E-3</v>
      </c>
      <c r="AC63" s="126">
        <f t="shared" ca="1" si="2"/>
        <v>0</v>
      </c>
      <c r="AD63" s="176"/>
      <c r="AE63" s="177"/>
      <c r="AF63" s="177"/>
      <c r="AG63" s="178"/>
      <c r="AH63" s="179"/>
      <c r="AI63" s="178"/>
      <c r="AJ63" s="160" t="s">
        <v>218</v>
      </c>
    </row>
    <row r="64" spans="1:36" ht="35.450000000000003" customHeight="1" x14ac:dyDescent="0.2">
      <c r="A64" s="132" t="s">
        <v>44</v>
      </c>
      <c r="B64" s="122" t="s">
        <v>92</v>
      </c>
      <c r="C64" s="121" t="s">
        <v>89</v>
      </c>
      <c r="D64" s="121" t="s">
        <v>96</v>
      </c>
      <c r="E64" s="121" t="s">
        <v>165</v>
      </c>
      <c r="F64" s="123" t="s">
        <v>196</v>
      </c>
      <c r="G64" s="44" t="str">
        <f t="shared" si="0"/>
        <v>Subdirector Financiero</v>
      </c>
      <c r="H64" s="116">
        <v>44228</v>
      </c>
      <c r="I64" s="116">
        <v>44236</v>
      </c>
      <c r="J64" s="54"/>
      <c r="K64" s="54"/>
      <c r="L64" s="54"/>
      <c r="M64" s="54"/>
      <c r="N64" s="54"/>
      <c r="O64" s="54"/>
      <c r="P64" s="54"/>
      <c r="Q64" s="54"/>
      <c r="R64" s="54"/>
      <c r="S64" s="54"/>
      <c r="T64" s="54"/>
      <c r="U64" s="54"/>
      <c r="V64" s="121" t="s">
        <v>123</v>
      </c>
      <c r="W64" s="168">
        <v>1E-3</v>
      </c>
      <c r="X64" s="116">
        <v>44237</v>
      </c>
      <c r="Y64" s="65" t="s">
        <v>381</v>
      </c>
      <c r="Z64" s="65" t="s">
        <v>259</v>
      </c>
      <c r="AA64" s="121" t="s">
        <v>176</v>
      </c>
      <c r="AB64" s="126">
        <f t="shared" ca="1" si="1"/>
        <v>9.999999999999998E-4</v>
      </c>
      <c r="AC64" s="126">
        <f t="shared" ca="1" si="2"/>
        <v>0</v>
      </c>
      <c r="AD64" s="176"/>
      <c r="AE64" s="177"/>
      <c r="AF64" s="177"/>
      <c r="AG64" s="178"/>
      <c r="AH64" s="179"/>
      <c r="AI64" s="178"/>
      <c r="AJ64" s="160" t="s">
        <v>218</v>
      </c>
    </row>
    <row r="65" spans="1:36" ht="35.450000000000003" customHeight="1" x14ac:dyDescent="0.2">
      <c r="A65" s="121" t="s">
        <v>47</v>
      </c>
      <c r="B65" s="185" t="s">
        <v>192</v>
      </c>
      <c r="C65" s="121" t="s">
        <v>90</v>
      </c>
      <c r="D65" s="121" t="s">
        <v>97</v>
      </c>
      <c r="E65" s="121" t="s">
        <v>165</v>
      </c>
      <c r="F65" s="43" t="s">
        <v>246</v>
      </c>
      <c r="G65" s="44" t="str">
        <f t="shared" si="0"/>
        <v>Asesor de Control Interno</v>
      </c>
      <c r="H65" s="116">
        <v>44228</v>
      </c>
      <c r="I65" s="116">
        <v>44540</v>
      </c>
      <c r="J65" s="54"/>
      <c r="K65" s="54"/>
      <c r="L65" s="54"/>
      <c r="M65" s="54"/>
      <c r="N65" s="54"/>
      <c r="O65" s="54"/>
      <c r="P65" s="54"/>
      <c r="Q65" s="54"/>
      <c r="R65" s="54"/>
      <c r="S65" s="54"/>
      <c r="T65" s="54"/>
      <c r="U65" s="54"/>
      <c r="V65" s="121" t="s">
        <v>208</v>
      </c>
      <c r="W65" s="170">
        <v>7.4999999999999997E-3</v>
      </c>
      <c r="X65" s="169"/>
      <c r="Y65" s="122" t="s">
        <v>460</v>
      </c>
      <c r="Z65" s="122" t="s">
        <v>461</v>
      </c>
      <c r="AA65" s="121" t="s">
        <v>172</v>
      </c>
      <c r="AB65" s="130">
        <f t="shared" ca="1" si="1"/>
        <v>3.6749999999999999E-3</v>
      </c>
      <c r="AC65" s="130">
        <f t="shared" ca="1" si="2"/>
        <v>3.8249999999999998E-3</v>
      </c>
      <c r="AD65" s="176">
        <f>MONTH(I65)</f>
        <v>12</v>
      </c>
      <c r="AE65" s="177">
        <f>+I65-H65</f>
        <v>312</v>
      </c>
      <c r="AF65" s="177">
        <f>+$AF$18-H65</f>
        <v>149</v>
      </c>
      <c r="AG65" s="178">
        <f>+AF65/AE65</f>
        <v>0.47756410256410259</v>
      </c>
      <c r="AH65" s="179">
        <f>+AG65*W65</f>
        <v>3.5817307692307693E-3</v>
      </c>
      <c r="AI65" s="178">
        <f ca="1">+AB65-AH65</f>
        <v>9.3269230769230538E-5</v>
      </c>
      <c r="AJ65" s="162" t="s">
        <v>384</v>
      </c>
    </row>
    <row r="66" spans="1:36" ht="35.450000000000003" customHeight="1" x14ac:dyDescent="0.2">
      <c r="A66" s="121" t="s">
        <v>47</v>
      </c>
      <c r="B66" s="125" t="s">
        <v>192</v>
      </c>
      <c r="C66" s="121" t="s">
        <v>90</v>
      </c>
      <c r="D66" s="121" t="s">
        <v>97</v>
      </c>
      <c r="E66" s="121" t="s">
        <v>165</v>
      </c>
      <c r="F66" s="43" t="s">
        <v>159</v>
      </c>
      <c r="G66" s="44" t="str">
        <f t="shared" si="0"/>
        <v>Asesor de Control Interno</v>
      </c>
      <c r="H66" s="116">
        <v>44228</v>
      </c>
      <c r="I66" s="116">
        <v>44540</v>
      </c>
      <c r="J66" s="54"/>
      <c r="K66" s="54"/>
      <c r="L66" s="54"/>
      <c r="M66" s="54"/>
      <c r="N66" s="54"/>
      <c r="O66" s="54"/>
      <c r="P66" s="54"/>
      <c r="Q66" s="54"/>
      <c r="R66" s="54"/>
      <c r="S66" s="54"/>
      <c r="T66" s="54"/>
      <c r="U66" s="54"/>
      <c r="V66" s="121" t="s">
        <v>208</v>
      </c>
      <c r="W66" s="170">
        <v>7.4999999999999997E-3</v>
      </c>
      <c r="X66" s="169"/>
      <c r="Y66" s="65" t="s">
        <v>553</v>
      </c>
      <c r="Z66" s="65" t="s">
        <v>602</v>
      </c>
      <c r="AA66" s="41" t="s">
        <v>172</v>
      </c>
      <c r="AB66" s="130">
        <f t="shared" ca="1" si="1"/>
        <v>3.6749999999999999E-3</v>
      </c>
      <c r="AC66" s="130">
        <f t="shared" ca="1" si="2"/>
        <v>3.8249999999999998E-3</v>
      </c>
      <c r="AD66" s="176">
        <f>MONTH(I66)</f>
        <v>12</v>
      </c>
      <c r="AE66" s="177">
        <f>+I66-H66</f>
        <v>312</v>
      </c>
      <c r="AF66" s="177">
        <f>+$AF$18-H66</f>
        <v>149</v>
      </c>
      <c r="AG66" s="178">
        <f>+AF66/AE66</f>
        <v>0.47756410256410259</v>
      </c>
      <c r="AH66" s="179">
        <f>+AG66*W66</f>
        <v>3.5817307692307693E-3</v>
      </c>
      <c r="AI66" s="178">
        <f ca="1">+AB66-AH66</f>
        <v>9.3269230769230538E-5</v>
      </c>
      <c r="AJ66" s="162" t="s">
        <v>384</v>
      </c>
    </row>
    <row r="67" spans="1:36" ht="35.450000000000003" customHeight="1" x14ac:dyDescent="0.2">
      <c r="A67" s="132" t="s">
        <v>45</v>
      </c>
      <c r="B67" s="122" t="s">
        <v>336</v>
      </c>
      <c r="C67" s="121" t="s">
        <v>90</v>
      </c>
      <c r="D67" s="121" t="s">
        <v>97</v>
      </c>
      <c r="E67" s="121" t="s">
        <v>165</v>
      </c>
      <c r="F67" s="123" t="s">
        <v>196</v>
      </c>
      <c r="G67" s="44" t="str">
        <f t="shared" si="0"/>
        <v>Asesor de Control Interno</v>
      </c>
      <c r="H67" s="116">
        <v>44230</v>
      </c>
      <c r="I67" s="116">
        <v>44249</v>
      </c>
      <c r="J67" s="54"/>
      <c r="K67" s="54"/>
      <c r="L67" s="54"/>
      <c r="M67" s="54"/>
      <c r="N67" s="54"/>
      <c r="O67" s="54"/>
      <c r="P67" s="54"/>
      <c r="Q67" s="54"/>
      <c r="R67" s="54"/>
      <c r="S67" s="54"/>
      <c r="T67" s="54"/>
      <c r="U67" s="54"/>
      <c r="V67" s="41" t="s">
        <v>312</v>
      </c>
      <c r="W67" s="168">
        <v>1E-3</v>
      </c>
      <c r="X67" s="116">
        <v>44245</v>
      </c>
      <c r="Y67" s="65" t="s">
        <v>403</v>
      </c>
      <c r="Z67" s="65" t="s">
        <v>382</v>
      </c>
      <c r="AA67" s="41" t="s">
        <v>57</v>
      </c>
      <c r="AB67" s="126">
        <f t="shared" ca="1" si="1"/>
        <v>1E-3</v>
      </c>
      <c r="AC67" s="126">
        <f t="shared" ca="1" si="2"/>
        <v>0</v>
      </c>
      <c r="AD67" s="176"/>
      <c r="AE67" s="177"/>
      <c r="AF67" s="177"/>
      <c r="AG67" s="178"/>
      <c r="AH67" s="179"/>
      <c r="AI67" s="178"/>
      <c r="AJ67" s="160" t="s">
        <v>218</v>
      </c>
    </row>
    <row r="68" spans="1:36" ht="35.450000000000003" customHeight="1" x14ac:dyDescent="0.2">
      <c r="A68" s="132" t="s">
        <v>44</v>
      </c>
      <c r="B68" s="65" t="s">
        <v>292</v>
      </c>
      <c r="C68" s="121" t="s">
        <v>89</v>
      </c>
      <c r="D68" s="121" t="s">
        <v>96</v>
      </c>
      <c r="E68" s="121" t="s">
        <v>165</v>
      </c>
      <c r="F68" s="123" t="s">
        <v>223</v>
      </c>
      <c r="G68" s="44" t="str">
        <f t="shared" si="0"/>
        <v>Subdirector Financiero</v>
      </c>
      <c r="H68" s="158">
        <v>44237</v>
      </c>
      <c r="I68" s="158">
        <v>44251</v>
      </c>
      <c r="J68" s="54"/>
      <c r="K68" s="54"/>
      <c r="L68" s="54"/>
      <c r="M68" s="54"/>
      <c r="N68" s="54"/>
      <c r="O68" s="54"/>
      <c r="P68" s="54"/>
      <c r="Q68" s="54"/>
      <c r="R68" s="54"/>
      <c r="S68" s="54"/>
      <c r="T68" s="54"/>
      <c r="U68" s="54"/>
      <c r="V68" s="41" t="s">
        <v>123</v>
      </c>
      <c r="W68" s="168">
        <v>0.01</v>
      </c>
      <c r="X68" s="116">
        <v>44253</v>
      </c>
      <c r="Y68" s="65" t="s">
        <v>385</v>
      </c>
      <c r="Z68" s="65" t="s">
        <v>411</v>
      </c>
      <c r="AA68" s="121" t="s">
        <v>176</v>
      </c>
      <c r="AB68" s="126">
        <f t="shared" ca="1" si="1"/>
        <v>9.9999999999999985E-3</v>
      </c>
      <c r="AC68" s="126">
        <f t="shared" ca="1" si="2"/>
        <v>0</v>
      </c>
      <c r="AD68" s="176"/>
      <c r="AE68" s="177"/>
      <c r="AF68" s="177"/>
      <c r="AG68" s="178"/>
      <c r="AH68" s="179"/>
      <c r="AI68" s="178"/>
      <c r="AJ68" s="160" t="s">
        <v>218</v>
      </c>
    </row>
    <row r="69" spans="1:36" ht="35.450000000000003" customHeight="1" x14ac:dyDescent="0.2">
      <c r="A69" s="132" t="s">
        <v>44</v>
      </c>
      <c r="B69" s="65" t="s">
        <v>292</v>
      </c>
      <c r="C69" s="121" t="s">
        <v>89</v>
      </c>
      <c r="D69" s="121" t="s">
        <v>96</v>
      </c>
      <c r="E69" s="121" t="s">
        <v>165</v>
      </c>
      <c r="F69" s="43" t="s">
        <v>159</v>
      </c>
      <c r="G69" s="44" t="str">
        <f t="shared" si="0"/>
        <v>Subdirector Financiero</v>
      </c>
      <c r="H69" s="158">
        <v>44237</v>
      </c>
      <c r="I69" s="158">
        <v>44251</v>
      </c>
      <c r="J69" s="54"/>
      <c r="K69" s="54"/>
      <c r="L69" s="54"/>
      <c r="M69" s="54"/>
      <c r="N69" s="54"/>
      <c r="O69" s="54"/>
      <c r="P69" s="54"/>
      <c r="Q69" s="54"/>
      <c r="R69" s="54"/>
      <c r="S69" s="54"/>
      <c r="T69" s="54"/>
      <c r="U69" s="54"/>
      <c r="V69" s="121" t="s">
        <v>123</v>
      </c>
      <c r="W69" s="168">
        <v>0.01</v>
      </c>
      <c r="X69" s="116">
        <v>44253</v>
      </c>
      <c r="Y69" s="65" t="s">
        <v>385</v>
      </c>
      <c r="Z69" s="65" t="s">
        <v>411</v>
      </c>
      <c r="AA69" s="121" t="s">
        <v>176</v>
      </c>
      <c r="AB69" s="126">
        <f t="shared" ca="1" si="1"/>
        <v>9.9999999999999985E-3</v>
      </c>
      <c r="AC69" s="126">
        <f t="shared" ca="1" si="2"/>
        <v>0</v>
      </c>
      <c r="AD69" s="176"/>
      <c r="AE69" s="177"/>
      <c r="AF69" s="177"/>
      <c r="AG69" s="178"/>
      <c r="AH69" s="179"/>
      <c r="AI69" s="178"/>
      <c r="AJ69" s="160" t="s">
        <v>218</v>
      </c>
    </row>
    <row r="70" spans="1:36" ht="35.450000000000003" customHeight="1" x14ac:dyDescent="0.2">
      <c r="A70" s="121" t="s">
        <v>43</v>
      </c>
      <c r="B70" s="122" t="s">
        <v>285</v>
      </c>
      <c r="C70" s="121" t="s">
        <v>90</v>
      </c>
      <c r="D70" s="121" t="s">
        <v>97</v>
      </c>
      <c r="E70" s="121" t="s">
        <v>165</v>
      </c>
      <c r="F70" s="123" t="s">
        <v>222</v>
      </c>
      <c r="G70" s="44" t="str">
        <f t="shared" si="0"/>
        <v>Asesor de Control Interno</v>
      </c>
      <c r="H70" s="116">
        <v>44241</v>
      </c>
      <c r="I70" s="116">
        <v>44260</v>
      </c>
      <c r="J70" s="54"/>
      <c r="K70" s="54"/>
      <c r="L70" s="54"/>
      <c r="M70" s="54"/>
      <c r="N70" s="54"/>
      <c r="O70" s="54"/>
      <c r="P70" s="54"/>
      <c r="Q70" s="54"/>
      <c r="R70" s="54"/>
      <c r="S70" s="54"/>
      <c r="T70" s="54"/>
      <c r="U70" s="54"/>
      <c r="V70" s="41" t="s">
        <v>314</v>
      </c>
      <c r="W70" s="170">
        <v>5.0000000000000001E-3</v>
      </c>
      <c r="X70" s="116">
        <v>44293</v>
      </c>
      <c r="Y70" s="122" t="s">
        <v>405</v>
      </c>
      <c r="Z70" s="65" t="s">
        <v>444</v>
      </c>
      <c r="AA70" s="121" t="s">
        <v>182</v>
      </c>
      <c r="AB70" s="183">
        <f t="shared" ca="1" si="1"/>
        <v>5.0000000000000001E-3</v>
      </c>
      <c r="AC70" s="126">
        <f t="shared" ca="1" si="2"/>
        <v>0</v>
      </c>
      <c r="AD70" s="176"/>
      <c r="AE70" s="177"/>
      <c r="AF70" s="177"/>
      <c r="AG70" s="178"/>
      <c r="AH70" s="179"/>
      <c r="AI70" s="178"/>
      <c r="AJ70" s="160" t="s">
        <v>218</v>
      </c>
    </row>
    <row r="71" spans="1:36" ht="35.450000000000003" customHeight="1" x14ac:dyDescent="0.2">
      <c r="A71" s="132" t="s">
        <v>46</v>
      </c>
      <c r="B71" s="122" t="s">
        <v>212</v>
      </c>
      <c r="C71" s="121" t="s">
        <v>89</v>
      </c>
      <c r="D71" s="121" t="s">
        <v>96</v>
      </c>
      <c r="E71" s="121" t="s">
        <v>165</v>
      </c>
      <c r="F71" s="123" t="s">
        <v>223</v>
      </c>
      <c r="G71" s="44" t="str">
        <f t="shared" si="0"/>
        <v>Subdirector Financiero</v>
      </c>
      <c r="H71" s="116">
        <v>44250</v>
      </c>
      <c r="I71" s="116">
        <v>44253</v>
      </c>
      <c r="J71" s="54"/>
      <c r="K71" s="54"/>
      <c r="L71" s="54"/>
      <c r="M71" s="54"/>
      <c r="N71" s="54"/>
      <c r="O71" s="54"/>
      <c r="P71" s="54"/>
      <c r="Q71" s="54"/>
      <c r="R71" s="54"/>
      <c r="S71" s="54"/>
      <c r="T71" s="54"/>
      <c r="U71" s="54"/>
      <c r="V71" s="41" t="s">
        <v>312</v>
      </c>
      <c r="W71" s="168">
        <v>2E-3</v>
      </c>
      <c r="X71" s="116">
        <v>44253</v>
      </c>
      <c r="Y71" s="72" t="s">
        <v>386</v>
      </c>
      <c r="Z71" s="65" t="s">
        <v>411</v>
      </c>
      <c r="AA71" s="41" t="s">
        <v>152</v>
      </c>
      <c r="AB71" s="126">
        <f t="shared" ca="1" si="1"/>
        <v>2E-3</v>
      </c>
      <c r="AC71" s="126">
        <f t="shared" ca="1" si="2"/>
        <v>0</v>
      </c>
      <c r="AD71" s="176"/>
      <c r="AE71" s="177"/>
      <c r="AF71" s="177"/>
      <c r="AG71" s="178"/>
      <c r="AH71" s="179"/>
      <c r="AI71" s="178"/>
      <c r="AJ71" s="160" t="s">
        <v>218</v>
      </c>
    </row>
    <row r="72" spans="1:36" ht="35.450000000000003" customHeight="1" x14ac:dyDescent="0.2">
      <c r="A72" s="132" t="s">
        <v>46</v>
      </c>
      <c r="B72" s="122" t="s">
        <v>293</v>
      </c>
      <c r="C72" s="121" t="s">
        <v>89</v>
      </c>
      <c r="D72" s="121" t="s">
        <v>96</v>
      </c>
      <c r="E72" s="121" t="s">
        <v>165</v>
      </c>
      <c r="F72" s="123" t="s">
        <v>223</v>
      </c>
      <c r="G72" s="44" t="str">
        <f t="shared" si="0"/>
        <v>Subdirector Financiero</v>
      </c>
      <c r="H72" s="116">
        <v>44250</v>
      </c>
      <c r="I72" s="116">
        <v>44253</v>
      </c>
      <c r="J72" s="54"/>
      <c r="K72" s="54"/>
      <c r="L72" s="54"/>
      <c r="M72" s="54"/>
      <c r="N72" s="54"/>
      <c r="O72" s="54"/>
      <c r="P72" s="54"/>
      <c r="Q72" s="54"/>
      <c r="R72" s="54"/>
      <c r="S72" s="54"/>
      <c r="T72" s="54"/>
      <c r="U72" s="54"/>
      <c r="V72" s="121" t="s">
        <v>312</v>
      </c>
      <c r="W72" s="168">
        <v>2E-3</v>
      </c>
      <c r="X72" s="116">
        <v>44253</v>
      </c>
      <c r="Y72" s="73" t="s">
        <v>383</v>
      </c>
      <c r="Z72" s="65" t="s">
        <v>411</v>
      </c>
      <c r="AA72" s="121" t="s">
        <v>152</v>
      </c>
      <c r="AB72" s="126">
        <f t="shared" ca="1" si="1"/>
        <v>2E-3</v>
      </c>
      <c r="AC72" s="126">
        <f t="shared" ca="1" si="2"/>
        <v>0</v>
      </c>
      <c r="AD72" s="176"/>
      <c r="AE72" s="177"/>
      <c r="AF72" s="177"/>
      <c r="AG72" s="178"/>
      <c r="AH72" s="179"/>
      <c r="AI72" s="178"/>
      <c r="AJ72" s="160" t="s">
        <v>218</v>
      </c>
    </row>
    <row r="73" spans="1:36" ht="35.450000000000003" customHeight="1" x14ac:dyDescent="0.2">
      <c r="A73" s="121" t="s">
        <v>45</v>
      </c>
      <c r="B73" s="122" t="s">
        <v>272</v>
      </c>
      <c r="C73" s="121" t="s">
        <v>90</v>
      </c>
      <c r="D73" s="121" t="s">
        <v>97</v>
      </c>
      <c r="E73" s="121" t="s">
        <v>165</v>
      </c>
      <c r="F73" s="43" t="s">
        <v>222</v>
      </c>
      <c r="G73" s="44" t="str">
        <f t="shared" si="0"/>
        <v>Asesor de Control Interno</v>
      </c>
      <c r="H73" s="116">
        <v>44251</v>
      </c>
      <c r="I73" s="116">
        <v>44257</v>
      </c>
      <c r="J73" s="54"/>
      <c r="K73" s="54"/>
      <c r="L73" s="54"/>
      <c r="M73" s="54"/>
      <c r="N73" s="54"/>
      <c r="O73" s="54"/>
      <c r="P73" s="54"/>
      <c r="Q73" s="54"/>
      <c r="R73" s="54"/>
      <c r="S73" s="54"/>
      <c r="T73" s="54"/>
      <c r="U73" s="54"/>
      <c r="V73" s="41" t="s">
        <v>208</v>
      </c>
      <c r="W73" s="168">
        <v>3.0000000000000001E-3</v>
      </c>
      <c r="X73" s="116">
        <v>44258</v>
      </c>
      <c r="Y73" s="122" t="s">
        <v>372</v>
      </c>
      <c r="Z73" s="65" t="s">
        <v>422</v>
      </c>
      <c r="AA73" s="121" t="s">
        <v>57</v>
      </c>
      <c r="AB73" s="183">
        <f t="shared" ca="1" si="1"/>
        <v>3.0000000000000001E-3</v>
      </c>
      <c r="AC73" s="126">
        <f t="shared" ca="1" si="2"/>
        <v>0</v>
      </c>
      <c r="AD73" s="176"/>
      <c r="AE73" s="177"/>
      <c r="AF73" s="177"/>
      <c r="AG73" s="178"/>
      <c r="AH73" s="179"/>
      <c r="AI73" s="178"/>
      <c r="AJ73" s="160" t="s">
        <v>218</v>
      </c>
    </row>
    <row r="74" spans="1:36" ht="35.450000000000003" customHeight="1" x14ac:dyDescent="0.2">
      <c r="A74" s="132" t="s">
        <v>46</v>
      </c>
      <c r="B74" s="122" t="s">
        <v>294</v>
      </c>
      <c r="C74" s="121" t="s">
        <v>82</v>
      </c>
      <c r="D74" s="121" t="s">
        <v>100</v>
      </c>
      <c r="E74" s="121" t="s">
        <v>165</v>
      </c>
      <c r="F74" s="43" t="s">
        <v>222</v>
      </c>
      <c r="G74" s="44" t="str">
        <f t="shared" si="0"/>
        <v>Director de Mejoramiento de Barrios</v>
      </c>
      <c r="H74" s="116">
        <v>44252</v>
      </c>
      <c r="I74" s="116">
        <v>44257</v>
      </c>
      <c r="J74" s="54"/>
      <c r="K74" s="54"/>
      <c r="L74" s="54"/>
      <c r="M74" s="54"/>
      <c r="N74" s="54"/>
      <c r="O74" s="54"/>
      <c r="P74" s="54"/>
      <c r="Q74" s="54"/>
      <c r="R74" s="54"/>
      <c r="S74" s="54"/>
      <c r="T74" s="54"/>
      <c r="U74" s="54"/>
      <c r="V74" s="119" t="s">
        <v>297</v>
      </c>
      <c r="W74" s="168">
        <v>1E-3</v>
      </c>
      <c r="X74" s="116">
        <v>44260</v>
      </c>
      <c r="Y74" s="65" t="s">
        <v>404</v>
      </c>
      <c r="Z74" s="65" t="s">
        <v>427</v>
      </c>
      <c r="AA74" s="41" t="s">
        <v>152</v>
      </c>
      <c r="AB74" s="183">
        <f t="shared" ca="1" si="1"/>
        <v>1E-3</v>
      </c>
      <c r="AC74" s="126">
        <f t="shared" ca="1" si="2"/>
        <v>0</v>
      </c>
      <c r="AD74" s="176"/>
      <c r="AE74" s="177"/>
      <c r="AF74" s="177"/>
      <c r="AG74" s="178"/>
      <c r="AH74" s="179"/>
      <c r="AI74" s="178"/>
      <c r="AJ74" s="160" t="s">
        <v>218</v>
      </c>
    </row>
    <row r="75" spans="1:36" ht="35.450000000000003" customHeight="1" x14ac:dyDescent="0.2">
      <c r="A75" s="132" t="s">
        <v>44</v>
      </c>
      <c r="B75" s="122" t="s">
        <v>311</v>
      </c>
      <c r="C75" s="121" t="s">
        <v>98</v>
      </c>
      <c r="D75" s="121" t="s">
        <v>98</v>
      </c>
      <c r="E75" s="121" t="s">
        <v>165</v>
      </c>
      <c r="F75" s="124" t="s">
        <v>222</v>
      </c>
      <c r="G75" s="44" t="str">
        <f t="shared" si="0"/>
        <v>Líderes de Cada Proceso</v>
      </c>
      <c r="H75" s="158">
        <v>44252</v>
      </c>
      <c r="I75" s="158">
        <v>44280</v>
      </c>
      <c r="J75" s="54"/>
      <c r="K75" s="54"/>
      <c r="L75" s="54"/>
      <c r="M75" s="54"/>
      <c r="N75" s="54"/>
      <c r="O75" s="54"/>
      <c r="P75" s="54"/>
      <c r="Q75" s="54"/>
      <c r="R75" s="54"/>
      <c r="S75" s="54"/>
      <c r="T75" s="54"/>
      <c r="U75" s="54"/>
      <c r="V75" s="121" t="s">
        <v>312</v>
      </c>
      <c r="W75" s="168">
        <v>0.02</v>
      </c>
      <c r="X75" s="116">
        <v>44280</v>
      </c>
      <c r="Y75" s="73" t="s">
        <v>383</v>
      </c>
      <c r="Z75" s="65" t="s">
        <v>426</v>
      </c>
      <c r="AA75" s="41" t="s">
        <v>176</v>
      </c>
      <c r="AB75" s="183">
        <f t="shared" ca="1" si="1"/>
        <v>1.9999999999999997E-2</v>
      </c>
      <c r="AC75" s="126">
        <f t="shared" ca="1" si="2"/>
        <v>0</v>
      </c>
      <c r="AD75" s="176"/>
      <c r="AE75" s="177"/>
      <c r="AF75" s="177"/>
      <c r="AG75" s="178"/>
      <c r="AH75" s="179"/>
      <c r="AI75" s="178"/>
      <c r="AJ75" s="160" t="s">
        <v>218</v>
      </c>
    </row>
    <row r="76" spans="1:36" ht="35.450000000000003" customHeight="1" x14ac:dyDescent="0.2">
      <c r="A76" s="121" t="s">
        <v>45</v>
      </c>
      <c r="B76" s="122" t="s">
        <v>114</v>
      </c>
      <c r="C76" s="121" t="s">
        <v>90</v>
      </c>
      <c r="D76" s="121" t="s">
        <v>97</v>
      </c>
      <c r="E76" s="121" t="s">
        <v>165</v>
      </c>
      <c r="F76" s="123" t="s">
        <v>222</v>
      </c>
      <c r="G76" s="44" t="str">
        <f t="shared" si="0"/>
        <v>Asesor de Control Interno</v>
      </c>
      <c r="H76" s="116">
        <v>44257</v>
      </c>
      <c r="I76" s="116">
        <v>44259</v>
      </c>
      <c r="J76" s="54"/>
      <c r="K76" s="54"/>
      <c r="L76" s="54"/>
      <c r="M76" s="54"/>
      <c r="N76" s="54"/>
      <c r="O76" s="54"/>
      <c r="P76" s="54"/>
      <c r="Q76" s="54"/>
      <c r="R76" s="54"/>
      <c r="S76" s="54"/>
      <c r="T76" s="54"/>
      <c r="U76" s="54"/>
      <c r="V76" s="121" t="s">
        <v>195</v>
      </c>
      <c r="W76" s="168">
        <v>3.0000000000000001E-3</v>
      </c>
      <c r="X76" s="116">
        <v>44263</v>
      </c>
      <c r="Y76" s="65" t="s">
        <v>424</v>
      </c>
      <c r="Z76" s="65" t="s">
        <v>425</v>
      </c>
      <c r="AA76" s="121" t="s">
        <v>57</v>
      </c>
      <c r="AB76" s="183">
        <f t="shared" ca="1" si="1"/>
        <v>3.0000000000000001E-3</v>
      </c>
      <c r="AC76" s="126">
        <f t="shared" ca="1" si="2"/>
        <v>0</v>
      </c>
      <c r="AD76" s="176"/>
      <c r="AE76" s="177"/>
      <c r="AF76" s="177"/>
      <c r="AG76" s="178"/>
      <c r="AH76" s="179"/>
      <c r="AI76" s="178"/>
      <c r="AJ76" s="160" t="s">
        <v>218</v>
      </c>
    </row>
    <row r="77" spans="1:36" ht="35.450000000000003" customHeight="1" x14ac:dyDescent="0.2">
      <c r="A77" s="132" t="s">
        <v>46</v>
      </c>
      <c r="B77" s="122" t="s">
        <v>93</v>
      </c>
      <c r="C77" s="121" t="s">
        <v>89</v>
      </c>
      <c r="D77" s="121" t="s">
        <v>96</v>
      </c>
      <c r="E77" s="121" t="s">
        <v>165</v>
      </c>
      <c r="F77" s="123" t="s">
        <v>223</v>
      </c>
      <c r="G77" s="44" t="str">
        <f t="shared" si="0"/>
        <v>Subdirector Financiero</v>
      </c>
      <c r="H77" s="116">
        <v>44257</v>
      </c>
      <c r="I77" s="116">
        <v>44264</v>
      </c>
      <c r="J77" s="54"/>
      <c r="K77" s="54"/>
      <c r="L77" s="54"/>
      <c r="M77" s="54"/>
      <c r="N77" s="54"/>
      <c r="O77" s="54"/>
      <c r="P77" s="54"/>
      <c r="Q77" s="54"/>
      <c r="R77" s="54"/>
      <c r="S77" s="54"/>
      <c r="T77" s="54"/>
      <c r="U77" s="54"/>
      <c r="V77" s="121" t="s">
        <v>312</v>
      </c>
      <c r="W77" s="168">
        <v>1E-3</v>
      </c>
      <c r="X77" s="116">
        <v>44264</v>
      </c>
      <c r="Y77" s="65" t="s">
        <v>435</v>
      </c>
      <c r="Z77" s="65" t="s">
        <v>436</v>
      </c>
      <c r="AA77" s="121" t="s">
        <v>152</v>
      </c>
      <c r="AB77" s="183">
        <f t="shared" ca="1" si="1"/>
        <v>1E-3</v>
      </c>
      <c r="AC77" s="126">
        <f t="shared" ca="1" si="2"/>
        <v>0</v>
      </c>
      <c r="AD77" s="176"/>
      <c r="AE77" s="177"/>
      <c r="AF77" s="177"/>
      <c r="AG77" s="178"/>
      <c r="AH77" s="179"/>
      <c r="AI77" s="178"/>
      <c r="AJ77" s="160" t="s">
        <v>218</v>
      </c>
    </row>
    <row r="78" spans="1:36" ht="35.450000000000003" customHeight="1" x14ac:dyDescent="0.2">
      <c r="A78" s="132" t="s">
        <v>44</v>
      </c>
      <c r="B78" s="122" t="s">
        <v>92</v>
      </c>
      <c r="C78" s="121" t="s">
        <v>89</v>
      </c>
      <c r="D78" s="121" t="s">
        <v>96</v>
      </c>
      <c r="E78" s="121" t="s">
        <v>165</v>
      </c>
      <c r="F78" s="123" t="s">
        <v>196</v>
      </c>
      <c r="G78" s="44" t="str">
        <f t="shared" si="0"/>
        <v>Subdirector Financiero</v>
      </c>
      <c r="H78" s="116">
        <v>44257</v>
      </c>
      <c r="I78" s="116">
        <v>44264</v>
      </c>
      <c r="J78" s="54"/>
      <c r="K78" s="54"/>
      <c r="L78" s="54"/>
      <c r="M78" s="54"/>
      <c r="N78" s="54"/>
      <c r="O78" s="54"/>
      <c r="P78" s="54"/>
      <c r="Q78" s="54"/>
      <c r="R78" s="54"/>
      <c r="S78" s="54"/>
      <c r="T78" s="54"/>
      <c r="U78" s="54"/>
      <c r="V78" s="41" t="s">
        <v>123</v>
      </c>
      <c r="W78" s="168">
        <v>1E-3</v>
      </c>
      <c r="X78" s="116">
        <v>44264</v>
      </c>
      <c r="Y78" s="122" t="s">
        <v>428</v>
      </c>
      <c r="Z78" s="65" t="s">
        <v>428</v>
      </c>
      <c r="AA78" s="121" t="s">
        <v>176</v>
      </c>
      <c r="AB78" s="183">
        <f t="shared" ca="1" si="1"/>
        <v>9.999999999999998E-4</v>
      </c>
      <c r="AC78" s="126">
        <f t="shared" ca="1" si="2"/>
        <v>0</v>
      </c>
      <c r="AD78" s="176"/>
      <c r="AE78" s="177"/>
      <c r="AF78" s="177"/>
      <c r="AG78" s="178"/>
      <c r="AH78" s="179"/>
      <c r="AI78" s="178"/>
      <c r="AJ78" s="160" t="s">
        <v>218</v>
      </c>
    </row>
    <row r="79" spans="1:36" ht="35.450000000000003" customHeight="1" x14ac:dyDescent="0.2">
      <c r="A79" s="121" t="s">
        <v>47</v>
      </c>
      <c r="B79" s="125" t="s">
        <v>289</v>
      </c>
      <c r="C79" s="121" t="s">
        <v>98</v>
      </c>
      <c r="D79" s="121" t="s">
        <v>98</v>
      </c>
      <c r="E79" s="121" t="s">
        <v>165</v>
      </c>
      <c r="F79" s="123" t="s">
        <v>246</v>
      </c>
      <c r="G79" s="44" t="str">
        <f t="shared" si="0"/>
        <v>Líderes de Cada Proceso</v>
      </c>
      <c r="H79" s="158">
        <v>44257</v>
      </c>
      <c r="I79" s="158">
        <v>44272</v>
      </c>
      <c r="J79" s="54"/>
      <c r="K79" s="54"/>
      <c r="L79" s="54"/>
      <c r="M79" s="54"/>
      <c r="N79" s="54"/>
      <c r="O79" s="54"/>
      <c r="P79" s="54"/>
      <c r="Q79" s="54"/>
      <c r="R79" s="54"/>
      <c r="S79" s="54"/>
      <c r="T79" s="54"/>
      <c r="U79" s="54"/>
      <c r="V79" s="41" t="s">
        <v>208</v>
      </c>
      <c r="W79" s="170">
        <v>0.03</v>
      </c>
      <c r="X79" s="116">
        <v>44284</v>
      </c>
      <c r="Y79" s="65" t="s">
        <v>430</v>
      </c>
      <c r="Z79" s="65" t="s">
        <v>438</v>
      </c>
      <c r="AA79" s="121" t="s">
        <v>176</v>
      </c>
      <c r="AB79" s="183">
        <f t="shared" ca="1" si="1"/>
        <v>2.9999999999999995E-2</v>
      </c>
      <c r="AC79" s="126">
        <f t="shared" ca="1" si="2"/>
        <v>0</v>
      </c>
      <c r="AD79" s="176"/>
      <c r="AE79" s="177"/>
      <c r="AF79" s="177"/>
      <c r="AG79" s="178"/>
      <c r="AH79" s="179"/>
      <c r="AI79" s="178"/>
      <c r="AJ79" s="160" t="s">
        <v>218</v>
      </c>
    </row>
    <row r="80" spans="1:36" ht="35.450000000000003" customHeight="1" x14ac:dyDescent="0.2">
      <c r="A80" s="121" t="s">
        <v>52</v>
      </c>
      <c r="B80" s="185" t="s">
        <v>369</v>
      </c>
      <c r="C80" s="121" t="s">
        <v>87</v>
      </c>
      <c r="D80" s="121" t="s">
        <v>96</v>
      </c>
      <c r="E80" s="121" t="s">
        <v>165</v>
      </c>
      <c r="F80" s="124" t="s">
        <v>159</v>
      </c>
      <c r="G80" s="44" t="str">
        <f t="shared" si="0"/>
        <v>Subdirector Administrativo</v>
      </c>
      <c r="H80" s="158">
        <v>44257</v>
      </c>
      <c r="I80" s="158">
        <v>44281</v>
      </c>
      <c r="J80" s="54"/>
      <c r="K80" s="54"/>
      <c r="L80" s="54"/>
      <c r="M80" s="54"/>
      <c r="N80" s="54"/>
      <c r="O80" s="54"/>
      <c r="P80" s="54"/>
      <c r="Q80" s="54"/>
      <c r="R80" s="54"/>
      <c r="S80" s="54"/>
      <c r="T80" s="54"/>
      <c r="U80" s="54"/>
      <c r="V80" s="121" t="s">
        <v>314</v>
      </c>
      <c r="W80" s="168">
        <v>2.5000000000000001E-3</v>
      </c>
      <c r="X80" s="116"/>
      <c r="Y80" s="65" t="s">
        <v>470</v>
      </c>
      <c r="Z80" s="65" t="s">
        <v>493</v>
      </c>
      <c r="AA80" s="121" t="s">
        <v>168</v>
      </c>
      <c r="AB80" s="181">
        <f t="shared" ca="1" si="1"/>
        <v>2.3750000000000004E-3</v>
      </c>
      <c r="AC80" s="181">
        <f t="shared" ca="1" si="2"/>
        <v>1.2499999999999968E-4</v>
      </c>
      <c r="AD80" s="176">
        <f>MONTH(I80)</f>
        <v>3</v>
      </c>
      <c r="AE80" s="177">
        <f>+I80-H80</f>
        <v>24</v>
      </c>
      <c r="AF80" s="177">
        <f>+$AF$18-H80</f>
        <v>120</v>
      </c>
      <c r="AG80" s="178">
        <f>+AF80/AE80</f>
        <v>5</v>
      </c>
      <c r="AH80" s="179">
        <f>+AG80*W80</f>
        <v>1.2500000000000001E-2</v>
      </c>
      <c r="AI80" s="178">
        <f ca="1">+AB80-AH80</f>
        <v>-1.0125E-2</v>
      </c>
      <c r="AJ80" s="175" t="s">
        <v>432</v>
      </c>
    </row>
    <row r="81" spans="1:36" ht="35.450000000000003" customHeight="1" x14ac:dyDescent="0.2">
      <c r="A81" s="121" t="s">
        <v>52</v>
      </c>
      <c r="B81" s="185" t="s">
        <v>368</v>
      </c>
      <c r="C81" s="121" t="s">
        <v>89</v>
      </c>
      <c r="D81" s="121" t="s">
        <v>96</v>
      </c>
      <c r="E81" s="121" t="s">
        <v>165</v>
      </c>
      <c r="F81" s="124" t="s">
        <v>159</v>
      </c>
      <c r="G81" s="44" t="str">
        <f t="shared" si="0"/>
        <v>Subdirector Financiero</v>
      </c>
      <c r="H81" s="158">
        <v>44257</v>
      </c>
      <c r="I81" s="158">
        <v>44295</v>
      </c>
      <c r="J81" s="54"/>
      <c r="K81" s="54"/>
      <c r="L81" s="54"/>
      <c r="M81" s="54"/>
      <c r="N81" s="54"/>
      <c r="O81" s="54"/>
      <c r="P81" s="54"/>
      <c r="Q81" s="54"/>
      <c r="R81" s="54"/>
      <c r="S81" s="54"/>
      <c r="T81" s="54"/>
      <c r="U81" s="54"/>
      <c r="V81" s="41" t="s">
        <v>314</v>
      </c>
      <c r="W81" s="168">
        <v>2.5000000000000001E-3</v>
      </c>
      <c r="X81" s="116">
        <v>44309</v>
      </c>
      <c r="Y81" s="65" t="s">
        <v>463</v>
      </c>
      <c r="Z81" s="65" t="s">
        <v>474</v>
      </c>
      <c r="AA81" s="41" t="s">
        <v>169</v>
      </c>
      <c r="AB81" s="126">
        <f t="shared" ca="1" si="1"/>
        <v>2.5000000000000001E-3</v>
      </c>
      <c r="AC81" s="126">
        <f t="shared" ca="1" si="2"/>
        <v>0</v>
      </c>
      <c r="AD81" s="176"/>
      <c r="AE81" s="177"/>
      <c r="AF81" s="177"/>
      <c r="AG81" s="178"/>
      <c r="AH81" s="179"/>
      <c r="AI81" s="178"/>
      <c r="AJ81" s="160" t="s">
        <v>218</v>
      </c>
    </row>
    <row r="82" spans="1:36" ht="35.450000000000003" customHeight="1" x14ac:dyDescent="0.2">
      <c r="A82" s="121" t="s">
        <v>51</v>
      </c>
      <c r="B82" s="185" t="s">
        <v>303</v>
      </c>
      <c r="C82" s="121" t="s">
        <v>98</v>
      </c>
      <c r="D82" s="121" t="s">
        <v>98</v>
      </c>
      <c r="E82" s="121" t="s">
        <v>165</v>
      </c>
      <c r="F82" s="43" t="s">
        <v>246</v>
      </c>
      <c r="G82" s="44" t="str">
        <f t="shared" si="0"/>
        <v>Líderes de Cada Proceso</v>
      </c>
      <c r="H82" s="158">
        <v>44257</v>
      </c>
      <c r="I82" s="116">
        <v>44301</v>
      </c>
      <c r="J82" s="54"/>
      <c r="K82" s="54"/>
      <c r="L82" s="54"/>
      <c r="M82" s="54"/>
      <c r="N82" s="54"/>
      <c r="O82" s="54"/>
      <c r="P82" s="54"/>
      <c r="Q82" s="54"/>
      <c r="R82" s="54"/>
      <c r="S82" s="54"/>
      <c r="T82" s="54"/>
      <c r="U82" s="54"/>
      <c r="V82" s="121" t="s">
        <v>123</v>
      </c>
      <c r="W82" s="168">
        <v>5.0000000000000001E-3</v>
      </c>
      <c r="X82" s="116">
        <v>44347</v>
      </c>
      <c r="Y82" s="122" t="s">
        <v>491</v>
      </c>
      <c r="Z82" s="122" t="s">
        <v>485</v>
      </c>
      <c r="AA82" s="41" t="s">
        <v>176</v>
      </c>
      <c r="AB82" s="126">
        <f t="shared" ca="1" si="1"/>
        <v>4.9999999999999992E-3</v>
      </c>
      <c r="AC82" s="126">
        <f t="shared" ca="1" si="2"/>
        <v>0</v>
      </c>
      <c r="AD82" s="176"/>
      <c r="AE82" s="177"/>
      <c r="AF82" s="177"/>
      <c r="AG82" s="178"/>
      <c r="AH82" s="179"/>
      <c r="AI82" s="178"/>
      <c r="AJ82" s="160" t="s">
        <v>218</v>
      </c>
    </row>
    <row r="83" spans="1:36" ht="35.450000000000003" customHeight="1" x14ac:dyDescent="0.2">
      <c r="A83" s="132" t="s">
        <v>44</v>
      </c>
      <c r="B83" s="185" t="s">
        <v>307</v>
      </c>
      <c r="C83" s="121" t="s">
        <v>73</v>
      </c>
      <c r="D83" s="121" t="s">
        <v>95</v>
      </c>
      <c r="E83" s="121" t="s">
        <v>165</v>
      </c>
      <c r="F83" s="43" t="s">
        <v>160</v>
      </c>
      <c r="G83" s="44" t="str">
        <f t="shared" ref="G83:G146" si="9">IF(LEN(C83)&gt;0,VLOOKUP(C83,PROCESO2,3,0),"")</f>
        <v xml:space="preserve">Jefe Oficina Asesora de Planeación </v>
      </c>
      <c r="H83" s="116">
        <v>44257</v>
      </c>
      <c r="I83" s="116">
        <v>44314</v>
      </c>
      <c r="J83" s="54"/>
      <c r="K83" s="54"/>
      <c r="L83" s="54"/>
      <c r="M83" s="54"/>
      <c r="N83" s="54"/>
      <c r="O83" s="54"/>
      <c r="P83" s="54"/>
      <c r="Q83" s="54"/>
      <c r="R83" s="54"/>
      <c r="S83" s="54"/>
      <c r="T83" s="54"/>
      <c r="U83" s="54"/>
      <c r="V83" s="121" t="s">
        <v>123</v>
      </c>
      <c r="W83" s="168">
        <v>0.01</v>
      </c>
      <c r="X83" s="116">
        <v>44314</v>
      </c>
      <c r="Y83" s="65" t="s">
        <v>441</v>
      </c>
      <c r="Z83" s="65" t="s">
        <v>452</v>
      </c>
      <c r="AA83" s="121" t="s">
        <v>176</v>
      </c>
      <c r="AB83" s="183">
        <f t="shared" ref="AB83:AB146" ca="1" si="10">IF(ISERROR(VLOOKUP(AA83,INDIRECT(VLOOKUP(A83,ACTA,2,0)&amp;"A"),2,0))=TRUE,0,W83*(VLOOKUP(AA83,INDIRECT(VLOOKUP(A83,ACTA,2,0)&amp;"A"),2,0)))</f>
        <v>9.9999999999999985E-3</v>
      </c>
      <c r="AC83" s="126">
        <f t="shared" ref="AC83:AC146" ca="1" si="11">+W83-AB83</f>
        <v>0</v>
      </c>
      <c r="AD83" s="176"/>
      <c r="AE83" s="177"/>
      <c r="AF83" s="177"/>
      <c r="AG83" s="178"/>
      <c r="AH83" s="179"/>
      <c r="AI83" s="178"/>
      <c r="AJ83" s="160" t="s">
        <v>218</v>
      </c>
    </row>
    <row r="84" spans="1:36" ht="35.450000000000003" customHeight="1" x14ac:dyDescent="0.2">
      <c r="A84" s="132" t="s">
        <v>44</v>
      </c>
      <c r="B84" s="185" t="s">
        <v>204</v>
      </c>
      <c r="C84" s="121" t="s">
        <v>79</v>
      </c>
      <c r="D84" s="121" t="s">
        <v>95</v>
      </c>
      <c r="E84" s="121" t="s">
        <v>165</v>
      </c>
      <c r="F84" s="123" t="s">
        <v>160</v>
      </c>
      <c r="G84" s="44" t="str">
        <f t="shared" si="9"/>
        <v>Jefe Oficina de Tecnologías de la Información y las Comunicaciones</v>
      </c>
      <c r="H84" s="116">
        <v>44263</v>
      </c>
      <c r="I84" s="116">
        <v>44274</v>
      </c>
      <c r="J84" s="54"/>
      <c r="K84" s="54"/>
      <c r="L84" s="54"/>
      <c r="M84" s="54"/>
      <c r="N84" s="54"/>
      <c r="O84" s="54"/>
      <c r="P84" s="54"/>
      <c r="Q84" s="54"/>
      <c r="R84" s="54"/>
      <c r="S84" s="54"/>
      <c r="T84" s="54"/>
      <c r="U84" s="54"/>
      <c r="V84" s="41" t="s">
        <v>195</v>
      </c>
      <c r="W84" s="168">
        <v>5.0000000000000001E-3</v>
      </c>
      <c r="X84" s="116">
        <v>44270</v>
      </c>
      <c r="Y84" s="65" t="s">
        <v>429</v>
      </c>
      <c r="Z84" s="122" t="s">
        <v>434</v>
      </c>
      <c r="AA84" s="121" t="s">
        <v>176</v>
      </c>
      <c r="AB84" s="183">
        <f t="shared" ca="1" si="10"/>
        <v>4.9999999999999992E-3</v>
      </c>
      <c r="AC84" s="126">
        <f t="shared" ca="1" si="11"/>
        <v>0</v>
      </c>
      <c r="AD84" s="176"/>
      <c r="AE84" s="177"/>
      <c r="AF84" s="177"/>
      <c r="AG84" s="178"/>
      <c r="AH84" s="179"/>
      <c r="AI84" s="178"/>
      <c r="AJ84" s="160" t="s">
        <v>218</v>
      </c>
    </row>
    <row r="85" spans="1:36" ht="33.6" customHeight="1" x14ac:dyDescent="0.2">
      <c r="A85" s="121" t="s">
        <v>45</v>
      </c>
      <c r="B85" s="125" t="s">
        <v>203</v>
      </c>
      <c r="C85" s="121" t="s">
        <v>90</v>
      </c>
      <c r="D85" s="121" t="s">
        <v>97</v>
      </c>
      <c r="E85" s="121" t="s">
        <v>165</v>
      </c>
      <c r="F85" s="123" t="s">
        <v>222</v>
      </c>
      <c r="G85" s="44" t="str">
        <f t="shared" si="9"/>
        <v>Asesor de Control Interno</v>
      </c>
      <c r="H85" s="116">
        <v>44263</v>
      </c>
      <c r="I85" s="116">
        <v>44274</v>
      </c>
      <c r="J85" s="54"/>
      <c r="K85" s="54"/>
      <c r="L85" s="54"/>
      <c r="M85" s="54"/>
      <c r="N85" s="54"/>
      <c r="O85" s="54"/>
      <c r="P85" s="54"/>
      <c r="Q85" s="54"/>
      <c r="R85" s="54"/>
      <c r="S85" s="54"/>
      <c r="T85" s="54"/>
      <c r="U85" s="54"/>
      <c r="V85" s="121" t="s">
        <v>195</v>
      </c>
      <c r="W85" s="168">
        <v>5.0000000000000001E-3</v>
      </c>
      <c r="X85" s="116">
        <v>44308</v>
      </c>
      <c r="Y85" s="65" t="s">
        <v>451</v>
      </c>
      <c r="Z85" s="65" t="s">
        <v>468</v>
      </c>
      <c r="AA85" s="121" t="s">
        <v>57</v>
      </c>
      <c r="AB85" s="183">
        <f t="shared" ca="1" si="10"/>
        <v>5.0000000000000001E-3</v>
      </c>
      <c r="AC85" s="126">
        <f t="shared" ca="1" si="11"/>
        <v>0</v>
      </c>
      <c r="AD85" s="176"/>
      <c r="AE85" s="177"/>
      <c r="AF85" s="177"/>
      <c r="AG85" s="178"/>
      <c r="AH85" s="179"/>
      <c r="AI85" s="178"/>
      <c r="AJ85" s="160" t="s">
        <v>218</v>
      </c>
    </row>
    <row r="86" spans="1:36" ht="35.450000000000003" customHeight="1" x14ac:dyDescent="0.2">
      <c r="A86" s="121" t="s">
        <v>50</v>
      </c>
      <c r="B86" s="185" t="s">
        <v>299</v>
      </c>
      <c r="C86" s="121" t="s">
        <v>81</v>
      </c>
      <c r="D86" s="121" t="s">
        <v>100</v>
      </c>
      <c r="E86" s="121" t="s">
        <v>165</v>
      </c>
      <c r="F86" s="43" t="s">
        <v>246</v>
      </c>
      <c r="G86" s="44" t="str">
        <f t="shared" si="9"/>
        <v>Director de Urbanizaciones y Titulación</v>
      </c>
      <c r="H86" s="158">
        <v>44270</v>
      </c>
      <c r="I86" s="158">
        <v>44280</v>
      </c>
      <c r="J86" s="54"/>
      <c r="K86" s="54"/>
      <c r="L86" s="54"/>
      <c r="M86" s="54"/>
      <c r="N86" s="54"/>
      <c r="O86" s="54"/>
      <c r="P86" s="54"/>
      <c r="Q86" s="54"/>
      <c r="R86" s="54"/>
      <c r="S86" s="54"/>
      <c r="T86" s="54"/>
      <c r="U86" s="54"/>
      <c r="V86" s="121" t="s">
        <v>123</v>
      </c>
      <c r="W86" s="168">
        <v>3.7499999999999999E-3</v>
      </c>
      <c r="X86" s="116"/>
      <c r="Y86" s="65" t="s">
        <v>431</v>
      </c>
      <c r="Z86" s="65" t="s">
        <v>469</v>
      </c>
      <c r="AA86" s="41" t="s">
        <v>113</v>
      </c>
      <c r="AB86" s="182">
        <f t="shared" ca="1" si="10"/>
        <v>3.5625000000000006E-3</v>
      </c>
      <c r="AC86" s="181">
        <f t="shared" ca="1" si="11"/>
        <v>1.874999999999993E-4</v>
      </c>
      <c r="AD86" s="176">
        <f>MONTH(I86)</f>
        <v>3</v>
      </c>
      <c r="AE86" s="177">
        <f>+I86-H86</f>
        <v>10</v>
      </c>
      <c r="AF86" s="177">
        <f>+$AF$18-H86</f>
        <v>107</v>
      </c>
      <c r="AG86" s="178">
        <f>+AF86/AE86</f>
        <v>10.7</v>
      </c>
      <c r="AH86" s="179">
        <f>+AG86*W86</f>
        <v>4.0124999999999994E-2</v>
      </c>
      <c r="AI86" s="178">
        <f ca="1">+AB86-AH86</f>
        <v>-3.6562499999999991E-2</v>
      </c>
      <c r="AJ86" s="175" t="s">
        <v>432</v>
      </c>
    </row>
    <row r="87" spans="1:36" ht="35.450000000000003" customHeight="1" x14ac:dyDescent="0.2">
      <c r="A87" s="45" t="s">
        <v>50</v>
      </c>
      <c r="B87" s="185" t="s">
        <v>211</v>
      </c>
      <c r="C87" s="60" t="s">
        <v>141</v>
      </c>
      <c r="D87" s="45" t="s">
        <v>96</v>
      </c>
      <c r="E87" s="121" t="s">
        <v>165</v>
      </c>
      <c r="F87" s="123" t="s">
        <v>160</v>
      </c>
      <c r="G87" s="44" t="str">
        <f t="shared" si="9"/>
        <v>Director de Gestión Corporativa y CID</v>
      </c>
      <c r="H87" s="158">
        <v>44270</v>
      </c>
      <c r="I87" s="158">
        <v>44291</v>
      </c>
      <c r="J87" s="54"/>
      <c r="K87" s="54"/>
      <c r="L87" s="54"/>
      <c r="M87" s="54"/>
      <c r="N87" s="54"/>
      <c r="O87" s="54"/>
      <c r="P87" s="54"/>
      <c r="Q87" s="54"/>
      <c r="R87" s="54"/>
      <c r="S87" s="54"/>
      <c r="T87" s="54"/>
      <c r="U87" s="54"/>
      <c r="V87" s="41" t="s">
        <v>123</v>
      </c>
      <c r="W87" s="168">
        <v>5.0000000000000001E-3</v>
      </c>
      <c r="X87" s="116"/>
      <c r="Y87" s="65" t="s">
        <v>472</v>
      </c>
      <c r="Z87" s="65" t="s">
        <v>479</v>
      </c>
      <c r="AA87" s="41" t="s">
        <v>107</v>
      </c>
      <c r="AB87" s="181">
        <f t="shared" ca="1" si="10"/>
        <v>3.8500000000000001E-3</v>
      </c>
      <c r="AC87" s="181">
        <f t="shared" ca="1" si="11"/>
        <v>1.15E-3</v>
      </c>
      <c r="AD87" s="176">
        <f>MONTH(I87)</f>
        <v>4</v>
      </c>
      <c r="AE87" s="177">
        <f>+I87-H87</f>
        <v>21</v>
      </c>
      <c r="AF87" s="177">
        <f>+$AF$18-H87</f>
        <v>107</v>
      </c>
      <c r="AG87" s="178">
        <f>+AF87/AE87</f>
        <v>5.0952380952380949</v>
      </c>
      <c r="AH87" s="179">
        <f>+AG87*W87</f>
        <v>2.5476190476190475E-2</v>
      </c>
      <c r="AI87" s="178">
        <f ca="1">+AB87-AH87</f>
        <v>-2.1626190476190476E-2</v>
      </c>
      <c r="AJ87" s="175" t="s">
        <v>432</v>
      </c>
    </row>
    <row r="88" spans="1:36" ht="35.450000000000003" customHeight="1" x14ac:dyDescent="0.2">
      <c r="A88" s="121" t="s">
        <v>50</v>
      </c>
      <c r="B88" s="185" t="s">
        <v>224</v>
      </c>
      <c r="C88" s="121" t="s">
        <v>140</v>
      </c>
      <c r="D88" s="121" t="s">
        <v>100</v>
      </c>
      <c r="E88" s="121" t="s">
        <v>165</v>
      </c>
      <c r="F88" s="123" t="s">
        <v>159</v>
      </c>
      <c r="G88" s="44" t="str">
        <f t="shared" si="9"/>
        <v>Director de Gestión Corporativa y CID</v>
      </c>
      <c r="H88" s="158">
        <v>44270</v>
      </c>
      <c r="I88" s="116">
        <v>44294</v>
      </c>
      <c r="J88" s="54"/>
      <c r="K88" s="54"/>
      <c r="L88" s="54"/>
      <c r="M88" s="54"/>
      <c r="N88" s="54"/>
      <c r="O88" s="54"/>
      <c r="P88" s="54"/>
      <c r="Q88" s="54"/>
      <c r="R88" s="54"/>
      <c r="S88" s="54"/>
      <c r="T88" s="54"/>
      <c r="U88" s="54"/>
      <c r="V88" s="121" t="s">
        <v>123</v>
      </c>
      <c r="W88" s="168">
        <v>2.5000000000000001E-3</v>
      </c>
      <c r="X88" s="116">
        <v>44301</v>
      </c>
      <c r="Y88" s="122" t="s">
        <v>473</v>
      </c>
      <c r="Z88" s="65" t="s">
        <v>462</v>
      </c>
      <c r="AA88" s="121" t="s">
        <v>177</v>
      </c>
      <c r="AB88" s="183">
        <f t="shared" ca="1" si="10"/>
        <v>2.5000000000000005E-3</v>
      </c>
      <c r="AC88" s="126">
        <f t="shared" ca="1" si="11"/>
        <v>0</v>
      </c>
      <c r="AD88" s="176"/>
      <c r="AE88" s="177"/>
      <c r="AF88" s="177"/>
      <c r="AG88" s="178"/>
      <c r="AH88" s="179"/>
      <c r="AI88" s="178"/>
      <c r="AJ88" s="160" t="s">
        <v>218</v>
      </c>
    </row>
    <row r="89" spans="1:36" ht="35.450000000000003" customHeight="1" x14ac:dyDescent="0.2">
      <c r="A89" s="121" t="s">
        <v>50</v>
      </c>
      <c r="B89" s="185" t="s">
        <v>332</v>
      </c>
      <c r="C89" s="121" t="s">
        <v>81</v>
      </c>
      <c r="D89" s="121" t="s">
        <v>100</v>
      </c>
      <c r="E89" s="121" t="s">
        <v>165</v>
      </c>
      <c r="F89" s="124" t="s">
        <v>159</v>
      </c>
      <c r="G89" s="44" t="str">
        <f t="shared" si="9"/>
        <v>Director de Urbanizaciones y Titulación</v>
      </c>
      <c r="H89" s="158">
        <v>44270</v>
      </c>
      <c r="I89" s="116">
        <v>44294</v>
      </c>
      <c r="J89" s="54"/>
      <c r="K89" s="54"/>
      <c r="L89" s="54"/>
      <c r="M89" s="54"/>
      <c r="N89" s="54"/>
      <c r="O89" s="54"/>
      <c r="P89" s="54"/>
      <c r="Q89" s="54"/>
      <c r="R89" s="54"/>
      <c r="S89" s="54"/>
      <c r="T89" s="54"/>
      <c r="U89" s="54"/>
      <c r="V89" s="41" t="s">
        <v>123</v>
      </c>
      <c r="W89" s="168">
        <v>5.0000000000000001E-3</v>
      </c>
      <c r="X89" s="116">
        <v>44301</v>
      </c>
      <c r="Y89" s="122" t="s">
        <v>473</v>
      </c>
      <c r="Z89" s="65" t="s">
        <v>462</v>
      </c>
      <c r="AA89" s="41" t="s">
        <v>177</v>
      </c>
      <c r="AB89" s="183">
        <f t="shared" ca="1" si="10"/>
        <v>5.000000000000001E-3</v>
      </c>
      <c r="AC89" s="126">
        <f t="shared" ca="1" si="11"/>
        <v>0</v>
      </c>
      <c r="AD89" s="176"/>
      <c r="AE89" s="177"/>
      <c r="AF89" s="177"/>
      <c r="AG89" s="178"/>
      <c r="AH89" s="179"/>
      <c r="AI89" s="178"/>
      <c r="AJ89" s="160" t="s">
        <v>218</v>
      </c>
    </row>
    <row r="90" spans="1:36" ht="35.450000000000003" customHeight="1" x14ac:dyDescent="0.2">
      <c r="A90" s="121" t="s">
        <v>43</v>
      </c>
      <c r="B90" s="122" t="s">
        <v>285</v>
      </c>
      <c r="C90" s="121" t="s">
        <v>90</v>
      </c>
      <c r="D90" s="121" t="s">
        <v>97</v>
      </c>
      <c r="E90" s="121" t="s">
        <v>165</v>
      </c>
      <c r="F90" s="123" t="s">
        <v>222</v>
      </c>
      <c r="G90" s="44" t="str">
        <f t="shared" si="9"/>
        <v>Asesor de Control Interno</v>
      </c>
      <c r="H90" s="158">
        <v>44270</v>
      </c>
      <c r="I90" s="158">
        <v>44298</v>
      </c>
      <c r="J90" s="54"/>
      <c r="K90" s="54"/>
      <c r="L90" s="54"/>
      <c r="M90" s="54"/>
      <c r="N90" s="54"/>
      <c r="O90" s="54"/>
      <c r="P90" s="54"/>
      <c r="Q90" s="54"/>
      <c r="R90" s="54"/>
      <c r="S90" s="54"/>
      <c r="T90" s="54"/>
      <c r="U90" s="54"/>
      <c r="V90" s="41" t="s">
        <v>314</v>
      </c>
      <c r="W90" s="170">
        <v>5.0000000000000001E-3</v>
      </c>
      <c r="X90" s="116">
        <v>44319</v>
      </c>
      <c r="Y90" s="122" t="s">
        <v>442</v>
      </c>
      <c r="Z90" s="122" t="s">
        <v>445</v>
      </c>
      <c r="AA90" s="41" t="s">
        <v>182</v>
      </c>
      <c r="AB90" s="126">
        <f t="shared" ca="1" si="10"/>
        <v>5.0000000000000001E-3</v>
      </c>
      <c r="AC90" s="126">
        <f t="shared" ca="1" si="11"/>
        <v>0</v>
      </c>
      <c r="AD90" s="176"/>
      <c r="AE90" s="177"/>
      <c r="AF90" s="177"/>
      <c r="AG90" s="178"/>
      <c r="AH90" s="179"/>
      <c r="AI90" s="178"/>
      <c r="AJ90" s="160" t="s">
        <v>218</v>
      </c>
    </row>
    <row r="91" spans="1:36" ht="35.450000000000003" customHeight="1" x14ac:dyDescent="0.2">
      <c r="A91" s="121" t="s">
        <v>45</v>
      </c>
      <c r="B91" s="185" t="s">
        <v>309</v>
      </c>
      <c r="C91" s="121" t="s">
        <v>90</v>
      </c>
      <c r="D91" s="121" t="s">
        <v>97</v>
      </c>
      <c r="E91" s="121" t="s">
        <v>165</v>
      </c>
      <c r="F91" s="123" t="s">
        <v>160</v>
      </c>
      <c r="G91" s="44" t="str">
        <f t="shared" si="9"/>
        <v>Asesor de Control Interno</v>
      </c>
      <c r="H91" s="116">
        <v>44270</v>
      </c>
      <c r="I91" s="116">
        <v>44454</v>
      </c>
      <c r="J91" s="54"/>
      <c r="K91" s="54"/>
      <c r="L91" s="54"/>
      <c r="M91" s="54"/>
      <c r="N91" s="54"/>
      <c r="O91" s="54"/>
      <c r="P91" s="54"/>
      <c r="Q91" s="54"/>
      <c r="R91" s="54"/>
      <c r="S91" s="54"/>
      <c r="T91" s="54"/>
      <c r="U91" s="54"/>
      <c r="V91" s="121" t="s">
        <v>314</v>
      </c>
      <c r="W91" s="168">
        <v>3.0000000000000001E-3</v>
      </c>
      <c r="X91" s="169"/>
      <c r="Y91" s="65" t="s">
        <v>563</v>
      </c>
      <c r="Z91" s="65" t="s">
        <v>564</v>
      </c>
      <c r="AA91" s="41" t="s">
        <v>60</v>
      </c>
      <c r="AB91" s="130">
        <f t="shared" ca="1" si="10"/>
        <v>2.3999999999999998E-3</v>
      </c>
      <c r="AC91" s="130">
        <f t="shared" ca="1" si="11"/>
        <v>6.0000000000000027E-4</v>
      </c>
      <c r="AD91" s="176">
        <f>MONTH(I91)</f>
        <v>9</v>
      </c>
      <c r="AE91" s="177">
        <f>+I91-H91</f>
        <v>184</v>
      </c>
      <c r="AF91" s="177">
        <f>+$AF$18-H91</f>
        <v>107</v>
      </c>
      <c r="AG91" s="178">
        <f>+AF91/AE91</f>
        <v>0.58152173913043481</v>
      </c>
      <c r="AH91" s="179">
        <f>+AG91*W91</f>
        <v>1.7445652173913044E-3</v>
      </c>
      <c r="AI91" s="178">
        <f ca="1">+AB91-AH91</f>
        <v>6.5543478260869539E-4</v>
      </c>
      <c r="AJ91" s="162" t="s">
        <v>384</v>
      </c>
    </row>
    <row r="92" spans="1:36" ht="35.450000000000003" customHeight="1" x14ac:dyDescent="0.2">
      <c r="A92" s="121" t="s">
        <v>45</v>
      </c>
      <c r="B92" s="185" t="s">
        <v>309</v>
      </c>
      <c r="C92" s="121" t="s">
        <v>90</v>
      </c>
      <c r="D92" s="121" t="s">
        <v>97</v>
      </c>
      <c r="E92" s="121" t="s">
        <v>165</v>
      </c>
      <c r="F92" s="123" t="s">
        <v>223</v>
      </c>
      <c r="G92" s="44" t="str">
        <f t="shared" si="9"/>
        <v>Asesor de Control Interno</v>
      </c>
      <c r="H92" s="116">
        <v>44270</v>
      </c>
      <c r="I92" s="116">
        <v>44454</v>
      </c>
      <c r="J92" s="54"/>
      <c r="K92" s="54"/>
      <c r="L92" s="54"/>
      <c r="M92" s="54"/>
      <c r="N92" s="54"/>
      <c r="O92" s="54"/>
      <c r="P92" s="54"/>
      <c r="Q92" s="54"/>
      <c r="R92" s="54"/>
      <c r="S92" s="54"/>
      <c r="T92" s="54"/>
      <c r="U92" s="54"/>
      <c r="V92" s="121" t="s">
        <v>314</v>
      </c>
      <c r="W92" s="168">
        <v>3.0000000000000001E-3</v>
      </c>
      <c r="X92" s="169"/>
      <c r="Y92" s="65" t="s">
        <v>490</v>
      </c>
      <c r="Z92" s="65" t="s">
        <v>603</v>
      </c>
      <c r="AA92" s="41" t="s">
        <v>60</v>
      </c>
      <c r="AB92" s="130">
        <f t="shared" ca="1" si="10"/>
        <v>2.3999999999999998E-3</v>
      </c>
      <c r="AC92" s="130">
        <f t="shared" ca="1" si="11"/>
        <v>6.0000000000000027E-4</v>
      </c>
      <c r="AD92" s="176">
        <f>MONTH(I92)</f>
        <v>9</v>
      </c>
      <c r="AE92" s="177">
        <f>+I92-H92</f>
        <v>184</v>
      </c>
      <c r="AF92" s="177">
        <f>+$AF$18-H92</f>
        <v>107</v>
      </c>
      <c r="AG92" s="178">
        <f>+AF92/AE92</f>
        <v>0.58152173913043481</v>
      </c>
      <c r="AH92" s="179">
        <f>+AG92*W92</f>
        <v>1.7445652173913044E-3</v>
      </c>
      <c r="AI92" s="178">
        <f ca="1">+AB92-AH92</f>
        <v>6.5543478260869539E-4</v>
      </c>
      <c r="AJ92" s="162" t="s">
        <v>384</v>
      </c>
    </row>
    <row r="93" spans="1:36" ht="35.450000000000003" customHeight="1" x14ac:dyDescent="0.2">
      <c r="A93" s="121" t="s">
        <v>45</v>
      </c>
      <c r="B93" s="185" t="s">
        <v>309</v>
      </c>
      <c r="C93" s="121" t="s">
        <v>90</v>
      </c>
      <c r="D93" s="121" t="s">
        <v>97</v>
      </c>
      <c r="E93" s="121" t="s">
        <v>165</v>
      </c>
      <c r="F93" s="123" t="s">
        <v>246</v>
      </c>
      <c r="G93" s="44" t="str">
        <f t="shared" si="9"/>
        <v>Asesor de Control Interno</v>
      </c>
      <c r="H93" s="116">
        <v>44270</v>
      </c>
      <c r="I93" s="116">
        <v>44454</v>
      </c>
      <c r="J93" s="54"/>
      <c r="K93" s="54"/>
      <c r="L93" s="54"/>
      <c r="M93" s="54"/>
      <c r="N93" s="54"/>
      <c r="O93" s="54"/>
      <c r="P93" s="54"/>
      <c r="Q93" s="54"/>
      <c r="R93" s="54"/>
      <c r="S93" s="54"/>
      <c r="T93" s="54"/>
      <c r="U93" s="54"/>
      <c r="V93" s="121" t="s">
        <v>314</v>
      </c>
      <c r="W93" s="168">
        <v>3.0000000000000001E-3</v>
      </c>
      <c r="X93" s="169"/>
      <c r="Y93" s="122" t="s">
        <v>571</v>
      </c>
      <c r="Z93" s="235" t="s">
        <v>574</v>
      </c>
      <c r="AA93" s="41" t="s">
        <v>60</v>
      </c>
      <c r="AB93" s="236">
        <f t="shared" ca="1" si="10"/>
        <v>2.3999999999999998E-3</v>
      </c>
      <c r="AC93" s="236">
        <f t="shared" ca="1" si="11"/>
        <v>6.0000000000000027E-4</v>
      </c>
      <c r="AD93" s="176">
        <f>MONTH(I93)</f>
        <v>9</v>
      </c>
      <c r="AE93" s="177">
        <f>+I93-H93</f>
        <v>184</v>
      </c>
      <c r="AF93" s="177">
        <f>+$AF$18-H93</f>
        <v>107</v>
      </c>
      <c r="AG93" s="178">
        <f>+AF93/AE93</f>
        <v>0.58152173913043481</v>
      </c>
      <c r="AH93" s="179">
        <f>+AG93*W93</f>
        <v>1.7445652173913044E-3</v>
      </c>
      <c r="AI93" s="178">
        <f ca="1">+AB93-AH93</f>
        <v>6.5543478260869539E-4</v>
      </c>
      <c r="AJ93" s="237" t="s">
        <v>604</v>
      </c>
    </row>
    <row r="94" spans="1:36" ht="35.450000000000003" customHeight="1" x14ac:dyDescent="0.2">
      <c r="A94" s="121" t="s">
        <v>45</v>
      </c>
      <c r="B94" s="185" t="s">
        <v>309</v>
      </c>
      <c r="C94" s="121" t="s">
        <v>90</v>
      </c>
      <c r="D94" s="121" t="s">
        <v>97</v>
      </c>
      <c r="E94" s="121" t="s">
        <v>165</v>
      </c>
      <c r="F94" s="123" t="s">
        <v>159</v>
      </c>
      <c r="G94" s="44" t="str">
        <f t="shared" si="9"/>
        <v>Asesor de Control Interno</v>
      </c>
      <c r="H94" s="116">
        <v>44270</v>
      </c>
      <c r="I94" s="116">
        <v>44454</v>
      </c>
      <c r="J94" s="54"/>
      <c r="K94" s="54"/>
      <c r="L94" s="54"/>
      <c r="M94" s="54"/>
      <c r="N94" s="54"/>
      <c r="O94" s="54"/>
      <c r="P94" s="54"/>
      <c r="Q94" s="54"/>
      <c r="R94" s="54"/>
      <c r="S94" s="54"/>
      <c r="T94" s="54"/>
      <c r="U94" s="54"/>
      <c r="V94" s="121" t="s">
        <v>314</v>
      </c>
      <c r="W94" s="168">
        <v>3.0000000000000001E-3</v>
      </c>
      <c r="X94" s="169"/>
      <c r="Y94" s="65"/>
      <c r="Z94" s="65" t="s">
        <v>554</v>
      </c>
      <c r="AA94" s="41" t="s">
        <v>60</v>
      </c>
      <c r="AB94" s="130">
        <f t="shared" ca="1" si="10"/>
        <v>2.3999999999999998E-3</v>
      </c>
      <c r="AC94" s="130">
        <f t="shared" ca="1" si="11"/>
        <v>6.0000000000000027E-4</v>
      </c>
      <c r="AD94" s="176">
        <f>MONTH(I94)</f>
        <v>9</v>
      </c>
      <c r="AE94" s="177">
        <f>+I94-H94</f>
        <v>184</v>
      </c>
      <c r="AF94" s="177">
        <f>+$AF$18-H94</f>
        <v>107</v>
      </c>
      <c r="AG94" s="178">
        <f>+AF94/AE94</f>
        <v>0.58152173913043481</v>
      </c>
      <c r="AH94" s="179">
        <f>+AG94*W94</f>
        <v>1.7445652173913044E-3</v>
      </c>
      <c r="AI94" s="178">
        <f ca="1">+AB94-AH94</f>
        <v>6.5543478260869539E-4</v>
      </c>
      <c r="AJ94" s="162" t="s">
        <v>384</v>
      </c>
    </row>
    <row r="95" spans="1:36" ht="35.450000000000003" customHeight="1" x14ac:dyDescent="0.2">
      <c r="A95" s="121" t="s">
        <v>50</v>
      </c>
      <c r="B95" s="174" t="s">
        <v>421</v>
      </c>
      <c r="C95" s="121" t="s">
        <v>87</v>
      </c>
      <c r="D95" s="121" t="s">
        <v>96</v>
      </c>
      <c r="E95" s="121" t="s">
        <v>165</v>
      </c>
      <c r="F95" s="43" t="s">
        <v>223</v>
      </c>
      <c r="G95" s="44" t="str">
        <f t="shared" si="9"/>
        <v>Subdirector Administrativo</v>
      </c>
      <c r="H95" s="158">
        <v>44274</v>
      </c>
      <c r="I95" s="158">
        <v>44302</v>
      </c>
      <c r="J95" s="54"/>
      <c r="K95" s="54"/>
      <c r="L95" s="54"/>
      <c r="M95" s="54"/>
      <c r="N95" s="54"/>
      <c r="O95" s="54"/>
      <c r="P95" s="54"/>
      <c r="Q95" s="54"/>
      <c r="R95" s="54"/>
      <c r="S95" s="54"/>
      <c r="T95" s="54"/>
      <c r="U95" s="54"/>
      <c r="V95" s="121" t="s">
        <v>123</v>
      </c>
      <c r="W95" s="168">
        <v>5.0000000000000001E-3</v>
      </c>
      <c r="X95" s="116">
        <v>44347</v>
      </c>
      <c r="Y95" s="122" t="s">
        <v>572</v>
      </c>
      <c r="Z95" s="122" t="s">
        <v>492</v>
      </c>
      <c r="AA95" s="41" t="s">
        <v>177</v>
      </c>
      <c r="AB95" s="126">
        <f t="shared" ca="1" si="10"/>
        <v>5.000000000000001E-3</v>
      </c>
      <c r="AC95" s="126">
        <f t="shared" ca="1" si="11"/>
        <v>0</v>
      </c>
      <c r="AD95" s="176"/>
      <c r="AE95" s="177"/>
      <c r="AF95" s="177"/>
      <c r="AG95" s="178"/>
      <c r="AH95" s="179"/>
      <c r="AI95" s="178"/>
      <c r="AJ95" s="160" t="s">
        <v>218</v>
      </c>
    </row>
    <row r="96" spans="1:36" ht="35.450000000000003" customHeight="1" x14ac:dyDescent="0.2">
      <c r="A96" s="121" t="s">
        <v>46</v>
      </c>
      <c r="B96" s="122" t="s">
        <v>200</v>
      </c>
      <c r="C96" s="121" t="s">
        <v>90</v>
      </c>
      <c r="D96" s="121" t="s">
        <v>97</v>
      </c>
      <c r="E96" s="121" t="s">
        <v>165</v>
      </c>
      <c r="F96" s="123" t="s">
        <v>223</v>
      </c>
      <c r="G96" s="44" t="str">
        <f t="shared" si="9"/>
        <v>Asesor de Control Interno</v>
      </c>
      <c r="H96" s="116">
        <v>44278</v>
      </c>
      <c r="I96" s="116">
        <v>44285</v>
      </c>
      <c r="J96" s="54"/>
      <c r="K96" s="54"/>
      <c r="L96" s="54"/>
      <c r="M96" s="54"/>
      <c r="N96" s="54"/>
      <c r="O96" s="54"/>
      <c r="P96" s="54"/>
      <c r="Q96" s="54"/>
      <c r="R96" s="54"/>
      <c r="S96" s="54"/>
      <c r="T96" s="54"/>
      <c r="U96" s="54"/>
      <c r="V96" s="121" t="s">
        <v>312</v>
      </c>
      <c r="W96" s="168">
        <v>2E-3</v>
      </c>
      <c r="X96" s="169">
        <v>44285</v>
      </c>
      <c r="Y96" s="65"/>
      <c r="Z96" s="65" t="s">
        <v>437</v>
      </c>
      <c r="AA96" s="41" t="s">
        <v>152</v>
      </c>
      <c r="AB96" s="183">
        <f t="shared" ca="1" si="10"/>
        <v>2E-3</v>
      </c>
      <c r="AC96" s="126">
        <f t="shared" ca="1" si="11"/>
        <v>0</v>
      </c>
      <c r="AD96" s="176"/>
      <c r="AE96" s="177"/>
      <c r="AF96" s="177"/>
      <c r="AG96" s="178"/>
      <c r="AH96" s="179"/>
      <c r="AI96" s="178"/>
      <c r="AJ96" s="160" t="s">
        <v>218</v>
      </c>
    </row>
    <row r="97" spans="1:36" ht="35.450000000000003" customHeight="1" x14ac:dyDescent="0.25">
      <c r="A97" s="121" t="s">
        <v>50</v>
      </c>
      <c r="B97" s="185" t="s">
        <v>301</v>
      </c>
      <c r="C97" s="121" t="s">
        <v>82</v>
      </c>
      <c r="D97" s="121" t="s">
        <v>100</v>
      </c>
      <c r="E97" s="121" t="s">
        <v>165</v>
      </c>
      <c r="F97" s="123" t="s">
        <v>246</v>
      </c>
      <c r="G97" s="44" t="str">
        <f t="shared" si="9"/>
        <v>Director de Mejoramiento de Barrios</v>
      </c>
      <c r="H97" s="158">
        <v>44281</v>
      </c>
      <c r="I97" s="158">
        <v>44294</v>
      </c>
      <c r="J97" s="54"/>
      <c r="K97" s="54"/>
      <c r="L97" s="54"/>
      <c r="M97" s="54"/>
      <c r="N97" s="54"/>
      <c r="O97" s="54"/>
      <c r="P97" s="54"/>
      <c r="Q97" s="54"/>
      <c r="R97" s="54"/>
      <c r="S97" s="54"/>
      <c r="T97" s="54"/>
      <c r="U97" s="54"/>
      <c r="V97" s="41" t="s">
        <v>123</v>
      </c>
      <c r="W97" s="168">
        <v>0.01</v>
      </c>
      <c r="X97" s="116"/>
      <c r="Y97" s="199" t="s">
        <v>573</v>
      </c>
      <c r="Z97" s="65" t="s">
        <v>456</v>
      </c>
      <c r="AA97" s="121" t="s">
        <v>108</v>
      </c>
      <c r="AB97" s="182">
        <f t="shared" ca="1" si="10"/>
        <v>8.3000000000000001E-3</v>
      </c>
      <c r="AC97" s="181">
        <f t="shared" ca="1" si="11"/>
        <v>1.7000000000000001E-3</v>
      </c>
      <c r="AD97" s="176">
        <f>MONTH(I97)</f>
        <v>4</v>
      </c>
      <c r="AE97" s="177">
        <f>+I97-H97</f>
        <v>13</v>
      </c>
      <c r="AF97" s="177">
        <f>+$AF$18-H97</f>
        <v>96</v>
      </c>
      <c r="AG97" s="178">
        <f>+AF97/AE97</f>
        <v>7.384615384615385</v>
      </c>
      <c r="AH97" s="179">
        <f>+AG97*W97</f>
        <v>7.3846153846153853E-2</v>
      </c>
      <c r="AI97" s="178">
        <f ca="1">+AB97-AH97</f>
        <v>-6.5546153846153851E-2</v>
      </c>
      <c r="AJ97" s="175" t="s">
        <v>432</v>
      </c>
    </row>
    <row r="98" spans="1:36" ht="35.450000000000003" customHeight="1" x14ac:dyDescent="0.2">
      <c r="A98" s="121" t="s">
        <v>50</v>
      </c>
      <c r="B98" s="185" t="s">
        <v>298</v>
      </c>
      <c r="C98" s="121" t="s">
        <v>127</v>
      </c>
      <c r="D98" s="121" t="s">
        <v>95</v>
      </c>
      <c r="E98" s="121" t="s">
        <v>165</v>
      </c>
      <c r="F98" s="123" t="s">
        <v>160</v>
      </c>
      <c r="G98" s="44" t="str">
        <f t="shared" si="9"/>
        <v xml:space="preserve">Director Jurídico </v>
      </c>
      <c r="H98" s="158">
        <v>44281</v>
      </c>
      <c r="I98" s="158">
        <v>44319</v>
      </c>
      <c r="J98" s="54"/>
      <c r="K98" s="54"/>
      <c r="L98" s="74"/>
      <c r="M98" s="54"/>
      <c r="N98" s="54"/>
      <c r="O98" s="54"/>
      <c r="P98" s="54"/>
      <c r="Q98" s="54"/>
      <c r="R98" s="54"/>
      <c r="S98" s="54"/>
      <c r="T98" s="54"/>
      <c r="U98" s="54"/>
      <c r="V98" s="121" t="s">
        <v>123</v>
      </c>
      <c r="W98" s="170">
        <v>5.0000000000000001E-3</v>
      </c>
      <c r="X98" s="116">
        <v>44335</v>
      </c>
      <c r="Y98" s="200" t="s">
        <v>494</v>
      </c>
      <c r="Z98" s="65" t="s">
        <v>494</v>
      </c>
      <c r="AA98" s="41" t="s">
        <v>177</v>
      </c>
      <c r="AB98" s="126">
        <f t="shared" ca="1" si="10"/>
        <v>5.000000000000001E-3</v>
      </c>
      <c r="AC98" s="126">
        <f t="shared" ca="1" si="11"/>
        <v>0</v>
      </c>
      <c r="AD98" s="176"/>
      <c r="AE98" s="177"/>
      <c r="AF98" s="177"/>
      <c r="AG98" s="178"/>
      <c r="AH98" s="179"/>
      <c r="AI98" s="178"/>
      <c r="AJ98" s="160" t="s">
        <v>218</v>
      </c>
    </row>
    <row r="99" spans="1:36" ht="35.450000000000003" customHeight="1" x14ac:dyDescent="0.2">
      <c r="A99" s="121" t="s">
        <v>45</v>
      </c>
      <c r="B99" s="122" t="s">
        <v>272</v>
      </c>
      <c r="C99" s="121" t="s">
        <v>90</v>
      </c>
      <c r="D99" s="121" t="s">
        <v>97</v>
      </c>
      <c r="E99" s="121" t="s">
        <v>165</v>
      </c>
      <c r="F99" s="124" t="s">
        <v>222</v>
      </c>
      <c r="G99" s="44" t="str">
        <f t="shared" si="9"/>
        <v>Asesor de Control Interno</v>
      </c>
      <c r="H99" s="116">
        <v>44284</v>
      </c>
      <c r="I99" s="116">
        <v>44292</v>
      </c>
      <c r="J99" s="54"/>
      <c r="K99" s="54"/>
      <c r="L99" s="54"/>
      <c r="M99" s="54"/>
      <c r="N99" s="54"/>
      <c r="O99" s="54"/>
      <c r="P99" s="54"/>
      <c r="Q99" s="54"/>
      <c r="R99" s="54"/>
      <c r="S99" s="54"/>
      <c r="T99" s="54"/>
      <c r="U99" s="54"/>
      <c r="V99" s="121" t="s">
        <v>208</v>
      </c>
      <c r="W99" s="168">
        <v>3.0000000000000001E-3</v>
      </c>
      <c r="X99" s="116">
        <v>44292</v>
      </c>
      <c r="Y99" s="65" t="s">
        <v>440</v>
      </c>
      <c r="Z99" s="65" t="s">
        <v>446</v>
      </c>
      <c r="AA99" s="41" t="s">
        <v>57</v>
      </c>
      <c r="AB99" s="183">
        <f t="shared" ca="1" si="10"/>
        <v>3.0000000000000001E-3</v>
      </c>
      <c r="AC99" s="126">
        <f t="shared" ca="1" si="11"/>
        <v>0</v>
      </c>
      <c r="AD99" s="176"/>
      <c r="AE99" s="177"/>
      <c r="AF99" s="177"/>
      <c r="AG99" s="178"/>
      <c r="AH99" s="179"/>
      <c r="AI99" s="178"/>
      <c r="AJ99" s="160" t="s">
        <v>218</v>
      </c>
    </row>
    <row r="100" spans="1:36" ht="35.450000000000003" customHeight="1" x14ac:dyDescent="0.25">
      <c r="A100" s="132" t="s">
        <v>46</v>
      </c>
      <c r="B100" s="42" t="s">
        <v>294</v>
      </c>
      <c r="C100" s="121" t="s">
        <v>82</v>
      </c>
      <c r="D100" s="121" t="s">
        <v>100</v>
      </c>
      <c r="E100" s="121" t="s">
        <v>165</v>
      </c>
      <c r="F100" s="124" t="s">
        <v>222</v>
      </c>
      <c r="G100" s="44" t="str">
        <f t="shared" si="9"/>
        <v>Director de Mejoramiento de Barrios</v>
      </c>
      <c r="H100" s="116">
        <v>44285</v>
      </c>
      <c r="I100" s="116">
        <v>44292</v>
      </c>
      <c r="J100" s="54"/>
      <c r="K100" s="54"/>
      <c r="L100" s="54"/>
      <c r="M100" s="54"/>
      <c r="N100" s="54"/>
      <c r="O100" s="54"/>
      <c r="P100" s="54"/>
      <c r="Q100" s="54"/>
      <c r="R100" s="54"/>
      <c r="S100" s="54"/>
      <c r="T100" s="54"/>
      <c r="U100" s="54"/>
      <c r="V100" s="119" t="s">
        <v>297</v>
      </c>
      <c r="W100" s="168">
        <v>1E-3</v>
      </c>
      <c r="X100" s="116">
        <v>44292</v>
      </c>
      <c r="Y100" s="199" t="s">
        <v>449</v>
      </c>
      <c r="Z100" s="65" t="s">
        <v>447</v>
      </c>
      <c r="AA100" s="41" t="s">
        <v>152</v>
      </c>
      <c r="AB100" s="183">
        <f t="shared" ca="1" si="10"/>
        <v>1E-3</v>
      </c>
      <c r="AC100" s="126">
        <f t="shared" ca="1" si="11"/>
        <v>0</v>
      </c>
      <c r="AD100" s="176"/>
      <c r="AE100" s="177"/>
      <c r="AF100" s="177"/>
      <c r="AG100" s="178"/>
      <c r="AH100" s="179"/>
      <c r="AI100" s="178"/>
      <c r="AJ100" s="160" t="s">
        <v>218</v>
      </c>
    </row>
    <row r="101" spans="1:36" ht="35.450000000000003" customHeight="1" x14ac:dyDescent="0.2">
      <c r="A101" s="121" t="s">
        <v>46</v>
      </c>
      <c r="B101" s="185" t="s">
        <v>475</v>
      </c>
      <c r="C101" s="121" t="s">
        <v>98</v>
      </c>
      <c r="D101" s="121" t="s">
        <v>98</v>
      </c>
      <c r="E101" s="121" t="s">
        <v>165</v>
      </c>
      <c r="F101" s="123" t="s">
        <v>223</v>
      </c>
      <c r="G101" s="44" t="str">
        <f t="shared" si="9"/>
        <v>Líderes de Cada Proceso</v>
      </c>
      <c r="H101" s="158">
        <v>44286</v>
      </c>
      <c r="I101" s="158">
        <v>44406</v>
      </c>
      <c r="J101" s="54"/>
      <c r="K101" s="54"/>
      <c r="L101" s="54"/>
      <c r="M101" s="54"/>
      <c r="N101" s="54"/>
      <c r="O101" s="54"/>
      <c r="P101" s="54"/>
      <c r="Q101" s="54"/>
      <c r="R101" s="54"/>
      <c r="S101" s="54"/>
      <c r="T101" s="54"/>
      <c r="U101" s="54"/>
      <c r="V101" s="119" t="s">
        <v>317</v>
      </c>
      <c r="W101" s="170">
        <v>0.02</v>
      </c>
      <c r="X101" s="169"/>
      <c r="Y101" s="200" t="s">
        <v>588</v>
      </c>
      <c r="Z101" s="65" t="s">
        <v>589</v>
      </c>
      <c r="AA101" s="41" t="s">
        <v>151</v>
      </c>
      <c r="AB101" s="130">
        <f t="shared" ca="1" si="10"/>
        <v>1.6E-2</v>
      </c>
      <c r="AC101" s="130">
        <f t="shared" ca="1" si="11"/>
        <v>4.0000000000000001E-3</v>
      </c>
      <c r="AD101" s="176">
        <f>MONTH(I101)</f>
        <v>7</v>
      </c>
      <c r="AE101" s="177">
        <f>+I101-H101</f>
        <v>120</v>
      </c>
      <c r="AF101" s="177">
        <f>+$AF$18-H101</f>
        <v>91</v>
      </c>
      <c r="AG101" s="178">
        <f>+AF101/AE101</f>
        <v>0.7583333333333333</v>
      </c>
      <c r="AH101" s="179">
        <f>+AG101*W101</f>
        <v>1.5166666666666667E-2</v>
      </c>
      <c r="AI101" s="178">
        <f ca="1">+AB101-AH101</f>
        <v>8.333333333333335E-4</v>
      </c>
      <c r="AJ101" s="162" t="s">
        <v>384</v>
      </c>
    </row>
    <row r="102" spans="1:36" ht="35.450000000000003" customHeight="1" x14ac:dyDescent="0.2">
      <c r="A102" s="121" t="s">
        <v>45</v>
      </c>
      <c r="B102" s="122" t="s">
        <v>114</v>
      </c>
      <c r="C102" s="121" t="s">
        <v>90</v>
      </c>
      <c r="D102" s="121" t="s">
        <v>97</v>
      </c>
      <c r="E102" s="121" t="s">
        <v>165</v>
      </c>
      <c r="F102" s="124" t="s">
        <v>222</v>
      </c>
      <c r="G102" s="44" t="str">
        <f t="shared" si="9"/>
        <v>Asesor de Control Interno</v>
      </c>
      <c r="H102" s="116">
        <v>44291</v>
      </c>
      <c r="I102" s="116">
        <v>44294</v>
      </c>
      <c r="J102" s="54"/>
      <c r="K102" s="54"/>
      <c r="L102" s="54"/>
      <c r="M102" s="54"/>
      <c r="N102" s="54"/>
      <c r="O102" s="54"/>
      <c r="P102" s="54"/>
      <c r="Q102" s="54"/>
      <c r="R102" s="54"/>
      <c r="S102" s="54"/>
      <c r="T102" s="54"/>
      <c r="U102" s="54"/>
      <c r="V102" s="121" t="s">
        <v>195</v>
      </c>
      <c r="W102" s="168">
        <v>3.0000000000000001E-3</v>
      </c>
      <c r="X102" s="116">
        <v>44294</v>
      </c>
      <c r="Y102" s="65" t="s">
        <v>450</v>
      </c>
      <c r="Z102" s="65" t="s">
        <v>448</v>
      </c>
      <c r="AA102" s="41" t="s">
        <v>57</v>
      </c>
      <c r="AB102" s="183">
        <f t="shared" ca="1" si="10"/>
        <v>3.0000000000000001E-3</v>
      </c>
      <c r="AC102" s="126">
        <f t="shared" ca="1" si="11"/>
        <v>0</v>
      </c>
      <c r="AD102" s="176"/>
      <c r="AE102" s="177"/>
      <c r="AF102" s="177"/>
      <c r="AG102" s="178"/>
      <c r="AH102" s="179"/>
      <c r="AI102" s="178"/>
      <c r="AJ102" s="160" t="s">
        <v>218</v>
      </c>
    </row>
    <row r="103" spans="1:36" ht="35.450000000000003" customHeight="1" x14ac:dyDescent="0.2">
      <c r="A103" s="121" t="s">
        <v>45</v>
      </c>
      <c r="B103" s="185" t="s">
        <v>237</v>
      </c>
      <c r="C103" s="121" t="s">
        <v>90</v>
      </c>
      <c r="D103" s="121" t="s">
        <v>97</v>
      </c>
      <c r="E103" s="121" t="s">
        <v>165</v>
      </c>
      <c r="F103" s="123" t="s">
        <v>160</v>
      </c>
      <c r="G103" s="44" t="str">
        <f t="shared" si="9"/>
        <v>Asesor de Control Interno</v>
      </c>
      <c r="H103" s="116">
        <v>44291</v>
      </c>
      <c r="I103" s="116">
        <v>44295</v>
      </c>
      <c r="J103" s="54"/>
      <c r="K103" s="54"/>
      <c r="L103" s="54"/>
      <c r="M103" s="54"/>
      <c r="N103" s="54"/>
      <c r="O103" s="54"/>
      <c r="P103" s="54"/>
      <c r="Q103" s="54"/>
      <c r="R103" s="54"/>
      <c r="S103" s="54"/>
      <c r="T103" s="54"/>
      <c r="U103" s="54"/>
      <c r="V103" s="121" t="s">
        <v>208</v>
      </c>
      <c r="W103" s="168">
        <v>3.0000000000000001E-3</v>
      </c>
      <c r="X103" s="116">
        <v>44295</v>
      </c>
      <c r="Y103" s="65" t="s">
        <v>453</v>
      </c>
      <c r="Z103" s="122" t="s">
        <v>454</v>
      </c>
      <c r="AA103" s="41" t="s">
        <v>57</v>
      </c>
      <c r="AB103" s="183">
        <f t="shared" ca="1" si="10"/>
        <v>3.0000000000000001E-3</v>
      </c>
      <c r="AC103" s="126">
        <f t="shared" ca="1" si="11"/>
        <v>0</v>
      </c>
      <c r="AD103" s="176"/>
      <c r="AE103" s="177"/>
      <c r="AF103" s="177"/>
      <c r="AG103" s="178"/>
      <c r="AH103" s="179"/>
      <c r="AI103" s="178"/>
      <c r="AJ103" s="160" t="s">
        <v>218</v>
      </c>
    </row>
    <row r="104" spans="1:36" ht="35.450000000000003" customHeight="1" x14ac:dyDescent="0.2">
      <c r="A104" s="132" t="s">
        <v>46</v>
      </c>
      <c r="B104" s="122" t="s">
        <v>93</v>
      </c>
      <c r="C104" s="121" t="s">
        <v>141</v>
      </c>
      <c r="D104" s="121" t="s">
        <v>96</v>
      </c>
      <c r="E104" s="121" t="s">
        <v>165</v>
      </c>
      <c r="F104" s="123" t="s">
        <v>223</v>
      </c>
      <c r="G104" s="44" t="str">
        <f t="shared" si="9"/>
        <v>Director de Gestión Corporativa y CID</v>
      </c>
      <c r="H104" s="116">
        <v>44291</v>
      </c>
      <c r="I104" s="116">
        <v>44299</v>
      </c>
      <c r="J104" s="54"/>
      <c r="K104" s="54"/>
      <c r="L104" s="54"/>
      <c r="M104" s="54"/>
      <c r="N104" s="54"/>
      <c r="O104" s="54"/>
      <c r="P104" s="54"/>
      <c r="Q104" s="54"/>
      <c r="R104" s="54"/>
      <c r="S104" s="54"/>
      <c r="T104" s="54"/>
      <c r="U104" s="54"/>
      <c r="V104" s="121" t="s">
        <v>312</v>
      </c>
      <c r="W104" s="168">
        <v>1E-3</v>
      </c>
      <c r="X104" s="116">
        <v>44299</v>
      </c>
      <c r="Y104" s="117" t="s">
        <v>465</v>
      </c>
      <c r="Z104" s="65" t="s">
        <v>436</v>
      </c>
      <c r="AA104" s="41" t="s">
        <v>152</v>
      </c>
      <c r="AB104" s="126">
        <f t="shared" ca="1" si="10"/>
        <v>1E-3</v>
      </c>
      <c r="AC104" s="126">
        <f t="shared" ca="1" si="11"/>
        <v>0</v>
      </c>
      <c r="AD104" s="176"/>
      <c r="AE104" s="177"/>
      <c r="AF104" s="177"/>
      <c r="AG104" s="178"/>
      <c r="AH104" s="179"/>
      <c r="AI104" s="178"/>
      <c r="AJ104" s="160" t="s">
        <v>218</v>
      </c>
    </row>
    <row r="105" spans="1:36" ht="35.450000000000003" customHeight="1" x14ac:dyDescent="0.2">
      <c r="A105" s="132" t="s">
        <v>44</v>
      </c>
      <c r="B105" s="122" t="s">
        <v>92</v>
      </c>
      <c r="C105" s="121" t="s">
        <v>89</v>
      </c>
      <c r="D105" s="121" t="s">
        <v>96</v>
      </c>
      <c r="E105" s="121" t="s">
        <v>165</v>
      </c>
      <c r="F105" s="123" t="s">
        <v>196</v>
      </c>
      <c r="G105" s="44" t="str">
        <f t="shared" si="9"/>
        <v>Subdirector Financiero</v>
      </c>
      <c r="H105" s="116">
        <v>44291</v>
      </c>
      <c r="I105" s="116">
        <v>44299</v>
      </c>
      <c r="J105" s="54"/>
      <c r="K105" s="54"/>
      <c r="L105" s="54"/>
      <c r="M105" s="54"/>
      <c r="N105" s="54"/>
      <c r="O105" s="54"/>
      <c r="P105" s="54"/>
      <c r="Q105" s="54"/>
      <c r="R105" s="54"/>
      <c r="S105" s="54"/>
      <c r="T105" s="54"/>
      <c r="U105" s="54"/>
      <c r="V105" s="121" t="s">
        <v>123</v>
      </c>
      <c r="W105" s="168">
        <v>1E-3</v>
      </c>
      <c r="X105" s="116">
        <v>44299</v>
      </c>
      <c r="Y105" s="122" t="s">
        <v>455</v>
      </c>
      <c r="Z105" s="122" t="s">
        <v>455</v>
      </c>
      <c r="AA105" s="41" t="s">
        <v>176</v>
      </c>
      <c r="AB105" s="183">
        <f t="shared" ca="1" si="10"/>
        <v>9.999999999999998E-4</v>
      </c>
      <c r="AC105" s="126">
        <f t="shared" ca="1" si="11"/>
        <v>0</v>
      </c>
      <c r="AD105" s="176"/>
      <c r="AE105" s="177"/>
      <c r="AF105" s="177"/>
      <c r="AG105" s="178"/>
      <c r="AH105" s="179"/>
      <c r="AI105" s="178"/>
      <c r="AJ105" s="160" t="s">
        <v>218</v>
      </c>
    </row>
    <row r="106" spans="1:36" ht="35.450000000000003" customHeight="1" x14ac:dyDescent="0.2">
      <c r="A106" s="132" t="s">
        <v>44</v>
      </c>
      <c r="B106" s="42" t="s">
        <v>202</v>
      </c>
      <c r="C106" s="121" t="s">
        <v>87</v>
      </c>
      <c r="D106" s="121" t="s">
        <v>96</v>
      </c>
      <c r="E106" s="121" t="s">
        <v>165</v>
      </c>
      <c r="F106" s="123" t="s">
        <v>223</v>
      </c>
      <c r="G106" s="44" t="str">
        <f t="shared" si="9"/>
        <v>Subdirector Administrativo</v>
      </c>
      <c r="H106" s="116">
        <v>44291</v>
      </c>
      <c r="I106" s="116">
        <v>44309</v>
      </c>
      <c r="J106" s="54"/>
      <c r="K106" s="54"/>
      <c r="L106" s="54"/>
      <c r="M106" s="54"/>
      <c r="N106" s="54"/>
      <c r="O106" s="54"/>
      <c r="P106" s="54"/>
      <c r="Q106" s="54"/>
      <c r="R106" s="54"/>
      <c r="S106" s="54"/>
      <c r="T106" s="54"/>
      <c r="U106" s="54"/>
      <c r="V106" s="121" t="s">
        <v>123</v>
      </c>
      <c r="W106" s="168">
        <v>7.4999999999999997E-3</v>
      </c>
      <c r="X106" s="169">
        <v>44326</v>
      </c>
      <c r="Y106" s="65" t="s">
        <v>466</v>
      </c>
      <c r="Z106" s="65" t="s">
        <v>487</v>
      </c>
      <c r="AA106" s="121" t="s">
        <v>176</v>
      </c>
      <c r="AB106" s="126">
        <f t="shared" ca="1" si="10"/>
        <v>7.4999999999999989E-3</v>
      </c>
      <c r="AC106" s="126">
        <f t="shared" ca="1" si="11"/>
        <v>0</v>
      </c>
      <c r="AD106" s="176"/>
      <c r="AE106" s="177"/>
      <c r="AF106" s="177"/>
      <c r="AG106" s="178"/>
      <c r="AH106" s="179"/>
      <c r="AI106" s="178"/>
      <c r="AJ106" s="160" t="s">
        <v>218</v>
      </c>
    </row>
    <row r="107" spans="1:36" ht="35.450000000000003" customHeight="1" x14ac:dyDescent="0.2">
      <c r="A107" s="132" t="s">
        <v>44</v>
      </c>
      <c r="B107" s="185" t="s">
        <v>263</v>
      </c>
      <c r="C107" s="121" t="s">
        <v>89</v>
      </c>
      <c r="D107" s="121" t="s">
        <v>96</v>
      </c>
      <c r="E107" s="121" t="s">
        <v>165</v>
      </c>
      <c r="F107" s="123" t="s">
        <v>159</v>
      </c>
      <c r="G107" s="44" t="str">
        <f t="shared" si="9"/>
        <v>Subdirector Financiero</v>
      </c>
      <c r="H107" s="116">
        <v>44291</v>
      </c>
      <c r="I107" s="116">
        <v>44316</v>
      </c>
      <c r="J107" s="54"/>
      <c r="K107" s="54"/>
      <c r="L107" s="54"/>
      <c r="M107" s="54"/>
      <c r="N107" s="54"/>
      <c r="O107" s="54"/>
      <c r="P107" s="54"/>
      <c r="Q107" s="54"/>
      <c r="R107" s="54"/>
      <c r="S107" s="54"/>
      <c r="T107" s="54"/>
      <c r="U107" s="54"/>
      <c r="V107" s="41" t="s">
        <v>123</v>
      </c>
      <c r="W107" s="168">
        <v>3.0000000000000001E-3</v>
      </c>
      <c r="X107" s="116">
        <v>44356</v>
      </c>
      <c r="Y107" s="65" t="s">
        <v>555</v>
      </c>
      <c r="Z107" s="65" t="s">
        <v>556</v>
      </c>
      <c r="AA107" s="121" t="s">
        <v>176</v>
      </c>
      <c r="AB107" s="183">
        <f t="shared" ca="1" si="10"/>
        <v>2.9999999999999996E-3</v>
      </c>
      <c r="AC107" s="126">
        <f t="shared" ca="1" si="11"/>
        <v>0</v>
      </c>
      <c r="AD107" s="176"/>
      <c r="AE107" s="177"/>
      <c r="AF107" s="177"/>
      <c r="AG107" s="178"/>
      <c r="AH107" s="179"/>
      <c r="AI107" s="178"/>
      <c r="AJ107" s="160" t="s">
        <v>218</v>
      </c>
    </row>
    <row r="108" spans="1:36" ht="35.450000000000003" customHeight="1" x14ac:dyDescent="0.2">
      <c r="A108" s="121" t="s">
        <v>50</v>
      </c>
      <c r="B108" s="185" t="s">
        <v>300</v>
      </c>
      <c r="C108" s="121" t="s">
        <v>83</v>
      </c>
      <c r="D108" s="121" t="s">
        <v>100</v>
      </c>
      <c r="E108" s="121" t="s">
        <v>165</v>
      </c>
      <c r="F108" s="123" t="s">
        <v>246</v>
      </c>
      <c r="G108" s="44" t="str">
        <f t="shared" si="9"/>
        <v>Director de Mejoramiento de Vivienda</v>
      </c>
      <c r="H108" s="158">
        <v>44295</v>
      </c>
      <c r="I108" s="158">
        <v>44306</v>
      </c>
      <c r="J108" s="54"/>
      <c r="K108" s="54"/>
      <c r="L108" s="54"/>
      <c r="M108" s="54"/>
      <c r="N108" s="54"/>
      <c r="O108" s="54"/>
      <c r="P108" s="54"/>
      <c r="Q108" s="54"/>
      <c r="R108" s="54"/>
      <c r="S108" s="54"/>
      <c r="T108" s="54"/>
      <c r="U108" s="54"/>
      <c r="V108" s="121" t="s">
        <v>123</v>
      </c>
      <c r="W108" s="168">
        <v>0.01</v>
      </c>
      <c r="X108" s="116"/>
      <c r="Y108" s="122" t="s">
        <v>457</v>
      </c>
      <c r="Z108" s="122" t="s">
        <v>458</v>
      </c>
      <c r="AA108" s="41" t="s">
        <v>107</v>
      </c>
      <c r="AB108" s="182">
        <f t="shared" ca="1" si="10"/>
        <v>7.7000000000000002E-3</v>
      </c>
      <c r="AC108" s="181">
        <f t="shared" ca="1" si="11"/>
        <v>2.3E-3</v>
      </c>
      <c r="AD108" s="176">
        <f>MONTH(I108)</f>
        <v>4</v>
      </c>
      <c r="AE108" s="177">
        <f>+I108-H108</f>
        <v>11</v>
      </c>
      <c r="AF108" s="177">
        <f>+$AF$18-H108</f>
        <v>82</v>
      </c>
      <c r="AG108" s="178">
        <f>+AF108/AE108</f>
        <v>7.4545454545454541</v>
      </c>
      <c r="AH108" s="179">
        <f>+AG108*W108</f>
        <v>7.454545454545454E-2</v>
      </c>
      <c r="AI108" s="178">
        <f ca="1">+AB108-AH108</f>
        <v>-6.6845454545454541E-2</v>
      </c>
      <c r="AJ108" s="175" t="s">
        <v>432</v>
      </c>
    </row>
    <row r="109" spans="1:36" ht="35.450000000000003" customHeight="1" x14ac:dyDescent="0.2">
      <c r="A109" s="132" t="s">
        <v>44</v>
      </c>
      <c r="B109" s="122" t="s">
        <v>94</v>
      </c>
      <c r="C109" s="121" t="s">
        <v>87</v>
      </c>
      <c r="D109" s="121" t="s">
        <v>96</v>
      </c>
      <c r="E109" s="121" t="s">
        <v>165</v>
      </c>
      <c r="F109" s="123" t="s">
        <v>159</v>
      </c>
      <c r="G109" s="44" t="str">
        <f t="shared" si="9"/>
        <v>Subdirector Administrativo</v>
      </c>
      <c r="H109" s="116">
        <v>44299</v>
      </c>
      <c r="I109" s="116">
        <v>44329</v>
      </c>
      <c r="J109" s="54"/>
      <c r="K109" s="54"/>
      <c r="L109" s="54"/>
      <c r="M109" s="54"/>
      <c r="N109" s="54"/>
      <c r="O109" s="54"/>
      <c r="P109" s="54"/>
      <c r="Q109" s="54"/>
      <c r="R109" s="54"/>
      <c r="S109" s="54"/>
      <c r="T109" s="54"/>
      <c r="U109" s="54"/>
      <c r="V109" s="121" t="s">
        <v>123</v>
      </c>
      <c r="W109" s="168">
        <v>0.01</v>
      </c>
      <c r="X109" s="116">
        <v>44342</v>
      </c>
      <c r="Y109" s="122" t="s">
        <v>495</v>
      </c>
      <c r="Z109" s="65" t="s">
        <v>476</v>
      </c>
      <c r="AA109" s="41" t="s">
        <v>176</v>
      </c>
      <c r="AB109" s="126">
        <f t="shared" ca="1" si="10"/>
        <v>9.9999999999999985E-3</v>
      </c>
      <c r="AC109" s="126">
        <f t="shared" ca="1" si="11"/>
        <v>0</v>
      </c>
      <c r="AD109" s="176"/>
      <c r="AE109" s="177"/>
      <c r="AF109" s="177"/>
      <c r="AG109" s="178"/>
      <c r="AH109" s="179"/>
      <c r="AI109" s="178"/>
      <c r="AJ109" s="160" t="s">
        <v>218</v>
      </c>
    </row>
    <row r="110" spans="1:36" ht="35.450000000000003" customHeight="1" x14ac:dyDescent="0.2">
      <c r="A110" s="132" t="s">
        <v>51</v>
      </c>
      <c r="B110" s="185" t="s">
        <v>337</v>
      </c>
      <c r="C110" s="121" t="s">
        <v>98</v>
      </c>
      <c r="D110" s="121" t="s">
        <v>98</v>
      </c>
      <c r="E110" s="121" t="s">
        <v>165</v>
      </c>
      <c r="F110" s="123" t="s">
        <v>246</v>
      </c>
      <c r="G110" s="44" t="str">
        <f t="shared" si="9"/>
        <v>Líderes de Cada Proceso</v>
      </c>
      <c r="H110" s="116">
        <v>44312</v>
      </c>
      <c r="I110" s="116">
        <v>44330</v>
      </c>
      <c r="J110" s="54"/>
      <c r="K110" s="54"/>
      <c r="L110" s="54"/>
      <c r="M110" s="54"/>
      <c r="N110" s="54"/>
      <c r="O110" s="54"/>
      <c r="P110" s="54"/>
      <c r="Q110" s="54"/>
      <c r="R110" s="54"/>
      <c r="S110" s="54"/>
      <c r="T110" s="54"/>
      <c r="U110" s="54"/>
      <c r="V110" s="121" t="s">
        <v>123</v>
      </c>
      <c r="W110" s="168">
        <v>1.6E-2</v>
      </c>
      <c r="X110" s="116">
        <v>44347</v>
      </c>
      <c r="Y110" s="122" t="s">
        <v>496</v>
      </c>
      <c r="Z110" s="122" t="s">
        <v>486</v>
      </c>
      <c r="AA110" s="41" t="s">
        <v>176</v>
      </c>
      <c r="AB110" s="126">
        <f t="shared" ca="1" si="10"/>
        <v>1.5999999999999997E-2</v>
      </c>
      <c r="AC110" s="126">
        <f t="shared" ca="1" si="11"/>
        <v>0</v>
      </c>
      <c r="AD110" s="176"/>
      <c r="AE110" s="177"/>
      <c r="AF110" s="177"/>
      <c r="AG110" s="178"/>
      <c r="AH110" s="179"/>
      <c r="AI110" s="178"/>
      <c r="AJ110" s="160" t="s">
        <v>218</v>
      </c>
    </row>
    <row r="111" spans="1:36" ht="35.450000000000003" customHeight="1" x14ac:dyDescent="0.2">
      <c r="A111" s="132" t="s">
        <v>51</v>
      </c>
      <c r="B111" s="122" t="s">
        <v>338</v>
      </c>
      <c r="C111" s="121" t="s">
        <v>98</v>
      </c>
      <c r="D111" s="121" t="s">
        <v>98</v>
      </c>
      <c r="E111" s="121" t="s">
        <v>165</v>
      </c>
      <c r="F111" s="123" t="s">
        <v>246</v>
      </c>
      <c r="G111" s="44" t="str">
        <f t="shared" si="9"/>
        <v>Líderes de Cada Proceso</v>
      </c>
      <c r="H111" s="116">
        <v>44312</v>
      </c>
      <c r="I111" s="116">
        <v>44330</v>
      </c>
      <c r="J111" s="54"/>
      <c r="K111" s="54"/>
      <c r="L111" s="54"/>
      <c r="M111" s="54"/>
      <c r="N111" s="54"/>
      <c r="O111" s="54"/>
      <c r="P111" s="54"/>
      <c r="Q111" s="54"/>
      <c r="R111" s="54"/>
      <c r="S111" s="54"/>
      <c r="T111" s="54"/>
      <c r="U111" s="54"/>
      <c r="V111" s="121" t="s">
        <v>123</v>
      </c>
      <c r="W111" s="168">
        <v>1.6E-2</v>
      </c>
      <c r="X111" s="116">
        <v>44347</v>
      </c>
      <c r="Y111" s="122" t="s">
        <v>496</v>
      </c>
      <c r="Z111" s="122" t="s">
        <v>486</v>
      </c>
      <c r="AA111" s="121" t="s">
        <v>176</v>
      </c>
      <c r="AB111" s="126">
        <f t="shared" ca="1" si="10"/>
        <v>1.5999999999999997E-2</v>
      </c>
      <c r="AC111" s="126">
        <f t="shared" ca="1" si="11"/>
        <v>0</v>
      </c>
      <c r="AD111" s="176"/>
      <c r="AE111" s="177"/>
      <c r="AF111" s="177"/>
      <c r="AG111" s="178"/>
      <c r="AH111" s="179"/>
      <c r="AI111" s="178"/>
      <c r="AJ111" s="160" t="s">
        <v>218</v>
      </c>
    </row>
    <row r="112" spans="1:36" ht="35.450000000000003" customHeight="1" x14ac:dyDescent="0.2">
      <c r="A112" s="121" t="s">
        <v>45</v>
      </c>
      <c r="B112" s="122" t="s">
        <v>272</v>
      </c>
      <c r="C112" s="121" t="s">
        <v>90</v>
      </c>
      <c r="D112" s="121" t="s">
        <v>97</v>
      </c>
      <c r="E112" s="121" t="s">
        <v>165</v>
      </c>
      <c r="F112" s="124" t="s">
        <v>222</v>
      </c>
      <c r="G112" s="44" t="str">
        <f t="shared" si="9"/>
        <v>Asesor de Control Interno</v>
      </c>
      <c r="H112" s="116">
        <v>44314</v>
      </c>
      <c r="I112" s="116">
        <v>44320</v>
      </c>
      <c r="J112" s="54"/>
      <c r="K112" s="54"/>
      <c r="L112" s="54"/>
      <c r="M112" s="54"/>
      <c r="N112" s="54"/>
      <c r="O112" s="54"/>
      <c r="P112" s="54"/>
      <c r="Q112" s="54"/>
      <c r="R112" s="54"/>
      <c r="S112" s="54"/>
      <c r="T112" s="54"/>
      <c r="U112" s="54"/>
      <c r="V112" s="121" t="s">
        <v>208</v>
      </c>
      <c r="W112" s="168">
        <v>3.0000000000000001E-3</v>
      </c>
      <c r="X112" s="116">
        <v>44321</v>
      </c>
      <c r="Y112" s="122" t="s">
        <v>372</v>
      </c>
      <c r="Z112" s="65" t="s">
        <v>481</v>
      </c>
      <c r="AA112" s="41" t="s">
        <v>57</v>
      </c>
      <c r="AB112" s="126">
        <f t="shared" ca="1" si="10"/>
        <v>3.0000000000000001E-3</v>
      </c>
      <c r="AC112" s="126">
        <f t="shared" ca="1" si="11"/>
        <v>0</v>
      </c>
      <c r="AD112" s="176"/>
      <c r="AE112" s="177"/>
      <c r="AF112" s="177"/>
      <c r="AG112" s="178"/>
      <c r="AH112" s="179"/>
      <c r="AI112" s="178"/>
      <c r="AJ112" s="160" t="s">
        <v>218</v>
      </c>
    </row>
    <row r="113" spans="1:36" ht="35.450000000000003" customHeight="1" x14ac:dyDescent="0.2">
      <c r="A113" s="132" t="s">
        <v>46</v>
      </c>
      <c r="B113" s="122" t="s">
        <v>294</v>
      </c>
      <c r="C113" s="121" t="s">
        <v>82</v>
      </c>
      <c r="D113" s="121" t="s">
        <v>100</v>
      </c>
      <c r="E113" s="121" t="s">
        <v>165</v>
      </c>
      <c r="F113" s="124" t="s">
        <v>222</v>
      </c>
      <c r="G113" s="44" t="str">
        <f t="shared" si="9"/>
        <v>Director de Mejoramiento de Barrios</v>
      </c>
      <c r="H113" s="116">
        <v>44315</v>
      </c>
      <c r="I113" s="116">
        <v>44320</v>
      </c>
      <c r="J113" s="54"/>
      <c r="K113" s="54"/>
      <c r="L113" s="54"/>
      <c r="M113" s="54"/>
      <c r="N113" s="54"/>
      <c r="O113" s="54"/>
      <c r="P113" s="54"/>
      <c r="Q113" s="54"/>
      <c r="R113" s="54"/>
      <c r="S113" s="54"/>
      <c r="T113" s="54"/>
      <c r="U113" s="54"/>
      <c r="V113" s="119" t="s">
        <v>297</v>
      </c>
      <c r="W113" s="168">
        <v>1E-3</v>
      </c>
      <c r="X113" s="116">
        <v>44320</v>
      </c>
      <c r="Y113" s="65" t="s">
        <v>484</v>
      </c>
      <c r="Z113" s="65" t="s">
        <v>482</v>
      </c>
      <c r="AA113" s="41" t="s">
        <v>152</v>
      </c>
      <c r="AB113" s="126">
        <f t="shared" ca="1" si="10"/>
        <v>1E-3</v>
      </c>
      <c r="AC113" s="126">
        <f t="shared" ca="1" si="11"/>
        <v>0</v>
      </c>
      <c r="AD113" s="176"/>
      <c r="AE113" s="177"/>
      <c r="AF113" s="177"/>
      <c r="AG113" s="178"/>
      <c r="AH113" s="179"/>
      <c r="AI113" s="178"/>
      <c r="AJ113" s="160" t="s">
        <v>218</v>
      </c>
    </row>
    <row r="114" spans="1:36" ht="35.450000000000003" customHeight="1" x14ac:dyDescent="0.2">
      <c r="A114" s="121" t="s">
        <v>45</v>
      </c>
      <c r="B114" s="122" t="s">
        <v>114</v>
      </c>
      <c r="C114" s="121" t="s">
        <v>90</v>
      </c>
      <c r="D114" s="121" t="s">
        <v>97</v>
      </c>
      <c r="E114" s="121" t="s">
        <v>165</v>
      </c>
      <c r="F114" s="124" t="s">
        <v>222</v>
      </c>
      <c r="G114" s="44" t="str">
        <f t="shared" si="9"/>
        <v>Asesor de Control Interno</v>
      </c>
      <c r="H114" s="116">
        <v>44319</v>
      </c>
      <c r="I114" s="116">
        <v>44322</v>
      </c>
      <c r="J114" s="54"/>
      <c r="K114" s="54"/>
      <c r="L114" s="54"/>
      <c r="M114" s="54"/>
      <c r="N114" s="54"/>
      <c r="O114" s="54"/>
      <c r="P114" s="54"/>
      <c r="Q114" s="54"/>
      <c r="R114" s="54"/>
      <c r="S114" s="54"/>
      <c r="T114" s="54"/>
      <c r="U114" s="54"/>
      <c r="V114" s="41" t="s">
        <v>195</v>
      </c>
      <c r="W114" s="168">
        <v>3.0000000000000001E-3</v>
      </c>
      <c r="X114" s="116">
        <v>44322</v>
      </c>
      <c r="Y114" s="65" t="s">
        <v>450</v>
      </c>
      <c r="Z114" s="65" t="s">
        <v>483</v>
      </c>
      <c r="AA114" s="41" t="s">
        <v>57</v>
      </c>
      <c r="AB114" s="126">
        <f t="shared" ca="1" si="10"/>
        <v>3.0000000000000001E-3</v>
      </c>
      <c r="AC114" s="126">
        <f t="shared" ca="1" si="11"/>
        <v>0</v>
      </c>
      <c r="AD114" s="176"/>
      <c r="AE114" s="177"/>
      <c r="AF114" s="177"/>
      <c r="AG114" s="178"/>
      <c r="AH114" s="179"/>
      <c r="AI114" s="178"/>
      <c r="AJ114" s="160" t="s">
        <v>218</v>
      </c>
    </row>
    <row r="115" spans="1:36" ht="35.450000000000003" customHeight="1" x14ac:dyDescent="0.2">
      <c r="A115" s="132" t="s">
        <v>46</v>
      </c>
      <c r="B115" s="122" t="s">
        <v>93</v>
      </c>
      <c r="C115" s="121" t="s">
        <v>89</v>
      </c>
      <c r="D115" s="121" t="s">
        <v>96</v>
      </c>
      <c r="E115" s="121" t="s">
        <v>165</v>
      </c>
      <c r="F115" s="123" t="s">
        <v>223</v>
      </c>
      <c r="G115" s="44" t="str">
        <f t="shared" si="9"/>
        <v>Subdirector Financiero</v>
      </c>
      <c r="H115" s="116">
        <v>44319</v>
      </c>
      <c r="I115" s="116">
        <v>44327</v>
      </c>
      <c r="J115" s="54"/>
      <c r="K115" s="54"/>
      <c r="L115" s="54"/>
      <c r="M115" s="54"/>
      <c r="N115" s="54"/>
      <c r="O115" s="54"/>
      <c r="P115" s="54"/>
      <c r="Q115" s="54"/>
      <c r="R115" s="54"/>
      <c r="S115" s="54"/>
      <c r="T115" s="54"/>
      <c r="U115" s="54"/>
      <c r="V115" s="121" t="s">
        <v>312</v>
      </c>
      <c r="W115" s="168">
        <v>1E-3</v>
      </c>
      <c r="X115" s="116">
        <v>44327</v>
      </c>
      <c r="Y115" s="65" t="s">
        <v>488</v>
      </c>
      <c r="Z115" s="65" t="s">
        <v>436</v>
      </c>
      <c r="AA115" s="41" t="s">
        <v>152</v>
      </c>
      <c r="AB115" s="126">
        <f t="shared" ca="1" si="10"/>
        <v>1E-3</v>
      </c>
      <c r="AC115" s="126">
        <f t="shared" ca="1" si="11"/>
        <v>0</v>
      </c>
      <c r="AD115" s="176"/>
      <c r="AE115" s="177"/>
      <c r="AF115" s="177"/>
      <c r="AG115" s="178"/>
      <c r="AH115" s="179"/>
      <c r="AI115" s="178"/>
      <c r="AJ115" s="160" t="s">
        <v>218</v>
      </c>
    </row>
    <row r="116" spans="1:36" ht="35.450000000000003" customHeight="1" x14ac:dyDescent="0.2">
      <c r="A116" s="132" t="s">
        <v>44</v>
      </c>
      <c r="B116" s="122" t="s">
        <v>92</v>
      </c>
      <c r="C116" s="121" t="s">
        <v>89</v>
      </c>
      <c r="D116" s="121" t="s">
        <v>96</v>
      </c>
      <c r="E116" s="121" t="s">
        <v>165</v>
      </c>
      <c r="F116" s="123" t="s">
        <v>196</v>
      </c>
      <c r="G116" s="44" t="str">
        <f t="shared" si="9"/>
        <v>Subdirector Financiero</v>
      </c>
      <c r="H116" s="116">
        <v>44319</v>
      </c>
      <c r="I116" s="116">
        <v>44327</v>
      </c>
      <c r="J116" s="54"/>
      <c r="K116" s="54"/>
      <c r="L116" s="54"/>
      <c r="M116" s="54"/>
      <c r="N116" s="54"/>
      <c r="O116" s="54"/>
      <c r="P116" s="54"/>
      <c r="Q116" s="54"/>
      <c r="R116" s="54"/>
      <c r="S116" s="54"/>
      <c r="T116" s="54"/>
      <c r="U116" s="54"/>
      <c r="V116" s="121" t="s">
        <v>123</v>
      </c>
      <c r="W116" s="168">
        <v>1E-3</v>
      </c>
      <c r="X116" s="116">
        <v>44327</v>
      </c>
      <c r="Y116" s="122" t="s">
        <v>478</v>
      </c>
      <c r="Z116" s="122" t="s">
        <v>478</v>
      </c>
      <c r="AA116" s="41" t="s">
        <v>176</v>
      </c>
      <c r="AB116" s="183">
        <f t="shared" ca="1" si="10"/>
        <v>9.999999999999998E-4</v>
      </c>
      <c r="AC116" s="126">
        <f t="shared" ca="1" si="11"/>
        <v>0</v>
      </c>
      <c r="AD116" s="176"/>
      <c r="AE116" s="177"/>
      <c r="AF116" s="177"/>
      <c r="AG116" s="178"/>
      <c r="AH116" s="179"/>
      <c r="AI116" s="178"/>
      <c r="AJ116" s="160" t="s">
        <v>218</v>
      </c>
    </row>
    <row r="117" spans="1:36" ht="35.450000000000003" customHeight="1" x14ac:dyDescent="0.2">
      <c r="A117" s="234" t="s">
        <v>50</v>
      </c>
      <c r="B117" s="197" t="s">
        <v>506</v>
      </c>
      <c r="C117" s="121" t="s">
        <v>76</v>
      </c>
      <c r="D117" s="121" t="s">
        <v>96</v>
      </c>
      <c r="E117" s="121" t="s">
        <v>165</v>
      </c>
      <c r="F117" s="123" t="s">
        <v>223</v>
      </c>
      <c r="G117" s="44" t="str">
        <f t="shared" si="9"/>
        <v>Subdirector Administrativo</v>
      </c>
      <c r="H117" s="116">
        <v>44319</v>
      </c>
      <c r="I117" s="195">
        <v>44390</v>
      </c>
      <c r="J117" s="54"/>
      <c r="K117" s="54"/>
      <c r="L117" s="54"/>
      <c r="M117" s="54"/>
      <c r="N117" s="54"/>
      <c r="O117" s="54"/>
      <c r="P117" s="54"/>
      <c r="Q117" s="54"/>
      <c r="R117" s="54"/>
      <c r="S117" s="54"/>
      <c r="T117" s="54"/>
      <c r="U117" s="54"/>
      <c r="V117" s="121" t="s">
        <v>123</v>
      </c>
      <c r="W117" s="168">
        <v>3.8E-3</v>
      </c>
      <c r="X117" s="116"/>
      <c r="Y117" s="65" t="s">
        <v>489</v>
      </c>
      <c r="Z117" s="65" t="s">
        <v>590</v>
      </c>
      <c r="AA117" s="41" t="s">
        <v>105</v>
      </c>
      <c r="AB117" s="130">
        <f t="shared" ca="1" si="10"/>
        <v>2.356E-3</v>
      </c>
      <c r="AC117" s="130">
        <f t="shared" ca="1" si="11"/>
        <v>1.444E-3</v>
      </c>
      <c r="AD117" s="176">
        <f>MONTH(I117)</f>
        <v>7</v>
      </c>
      <c r="AE117" s="177">
        <f>+I117-H117</f>
        <v>71</v>
      </c>
      <c r="AF117" s="177">
        <f>+$AF$18-H117</f>
        <v>58</v>
      </c>
      <c r="AG117" s="178">
        <f>+AF117/AE117</f>
        <v>0.81690140845070425</v>
      </c>
      <c r="AH117" s="179">
        <f>+AG117*W117</f>
        <v>3.1042253521126762E-3</v>
      </c>
      <c r="AI117" s="178">
        <f ca="1">+AB117-AH117</f>
        <v>-7.4822535211267619E-4</v>
      </c>
      <c r="AJ117" s="162" t="s">
        <v>384</v>
      </c>
    </row>
    <row r="118" spans="1:36" ht="35.450000000000003" customHeight="1" x14ac:dyDescent="0.2">
      <c r="A118" s="234" t="s">
        <v>50</v>
      </c>
      <c r="B118" s="197" t="s">
        <v>504</v>
      </c>
      <c r="C118" s="121" t="s">
        <v>89</v>
      </c>
      <c r="D118" s="121" t="s">
        <v>96</v>
      </c>
      <c r="E118" s="121" t="s">
        <v>165</v>
      </c>
      <c r="F118" s="123" t="s">
        <v>223</v>
      </c>
      <c r="G118" s="44" t="str">
        <f t="shared" si="9"/>
        <v>Subdirector Financiero</v>
      </c>
      <c r="H118" s="116">
        <v>44319</v>
      </c>
      <c r="I118" s="195">
        <v>44390</v>
      </c>
      <c r="J118" s="54"/>
      <c r="K118" s="54"/>
      <c r="L118" s="54"/>
      <c r="M118" s="54"/>
      <c r="N118" s="54"/>
      <c r="O118" s="54"/>
      <c r="P118" s="54"/>
      <c r="Q118" s="54"/>
      <c r="R118" s="54"/>
      <c r="S118" s="54"/>
      <c r="T118" s="54"/>
      <c r="U118" s="54"/>
      <c r="V118" s="121" t="s">
        <v>123</v>
      </c>
      <c r="W118" s="168">
        <v>3.8E-3</v>
      </c>
      <c r="X118" s="116"/>
      <c r="Y118" s="65" t="s">
        <v>489</v>
      </c>
      <c r="Z118" s="65" t="s">
        <v>590</v>
      </c>
      <c r="AA118" s="41" t="s">
        <v>105</v>
      </c>
      <c r="AB118" s="130">
        <f t="shared" ca="1" si="10"/>
        <v>2.356E-3</v>
      </c>
      <c r="AC118" s="130">
        <f t="shared" ca="1" si="11"/>
        <v>1.444E-3</v>
      </c>
      <c r="AD118" s="176">
        <f>MONTH(I118)</f>
        <v>7</v>
      </c>
      <c r="AE118" s="177">
        <f>+I118-H118</f>
        <v>71</v>
      </c>
      <c r="AF118" s="177">
        <f>+$AF$18-H118</f>
        <v>58</v>
      </c>
      <c r="AG118" s="178">
        <f>+AF118/AE118</f>
        <v>0.81690140845070425</v>
      </c>
      <c r="AH118" s="179">
        <f>+AG118*W118</f>
        <v>3.1042253521126762E-3</v>
      </c>
      <c r="AI118" s="178">
        <f ca="1">+AB118-AH118</f>
        <v>-7.4822535211267619E-4</v>
      </c>
      <c r="AJ118" s="162" t="s">
        <v>384</v>
      </c>
    </row>
    <row r="119" spans="1:36" ht="35.450000000000003" customHeight="1" x14ac:dyDescent="0.2">
      <c r="A119" s="234" t="s">
        <v>50</v>
      </c>
      <c r="B119" s="197" t="s">
        <v>505</v>
      </c>
      <c r="C119" s="121" t="s">
        <v>81</v>
      </c>
      <c r="D119" s="121" t="s">
        <v>100</v>
      </c>
      <c r="E119" s="121" t="s">
        <v>165</v>
      </c>
      <c r="F119" s="123" t="s">
        <v>223</v>
      </c>
      <c r="G119" s="44" t="str">
        <f t="shared" si="9"/>
        <v>Director de Urbanizaciones y Titulación</v>
      </c>
      <c r="H119" s="116">
        <v>44319</v>
      </c>
      <c r="I119" s="195">
        <v>44390</v>
      </c>
      <c r="J119" s="54"/>
      <c r="K119" s="54"/>
      <c r="L119" s="54"/>
      <c r="M119" s="54"/>
      <c r="N119" s="54"/>
      <c r="O119" s="54"/>
      <c r="P119" s="54"/>
      <c r="Q119" s="54"/>
      <c r="R119" s="54"/>
      <c r="S119" s="54"/>
      <c r="T119" s="54"/>
      <c r="U119" s="54"/>
      <c r="V119" s="121" t="s">
        <v>123</v>
      </c>
      <c r="W119" s="168">
        <v>3.8E-3</v>
      </c>
      <c r="X119" s="116"/>
      <c r="Y119" s="65" t="s">
        <v>489</v>
      </c>
      <c r="Z119" s="65" t="s">
        <v>590</v>
      </c>
      <c r="AA119" s="41" t="s">
        <v>105</v>
      </c>
      <c r="AB119" s="130">
        <f t="shared" ca="1" si="10"/>
        <v>2.356E-3</v>
      </c>
      <c r="AC119" s="130">
        <f t="shared" ca="1" si="11"/>
        <v>1.444E-3</v>
      </c>
      <c r="AD119" s="176">
        <f>MONTH(I119)</f>
        <v>7</v>
      </c>
      <c r="AE119" s="177">
        <f>+I119-H119</f>
        <v>71</v>
      </c>
      <c r="AF119" s="177">
        <f>+$AF$18-H119</f>
        <v>58</v>
      </c>
      <c r="AG119" s="178">
        <f>+AF119/AE119</f>
        <v>0.81690140845070425</v>
      </c>
      <c r="AH119" s="179">
        <f>+AG119*W119</f>
        <v>3.1042253521126762E-3</v>
      </c>
      <c r="AI119" s="178">
        <f ca="1">+AB119-AH119</f>
        <v>-7.4822535211267619E-4</v>
      </c>
      <c r="AJ119" s="162" t="s">
        <v>384</v>
      </c>
    </row>
    <row r="120" spans="1:36" ht="35.450000000000003" customHeight="1" x14ac:dyDescent="0.2">
      <c r="A120" s="121" t="s">
        <v>51</v>
      </c>
      <c r="B120" s="185" t="s">
        <v>261</v>
      </c>
      <c r="C120" s="121" t="s">
        <v>98</v>
      </c>
      <c r="D120" s="121" t="s">
        <v>98</v>
      </c>
      <c r="E120" s="121" t="s">
        <v>165</v>
      </c>
      <c r="F120" s="124" t="s">
        <v>222</v>
      </c>
      <c r="G120" s="44" t="str">
        <f t="shared" si="9"/>
        <v>Líderes de Cada Proceso</v>
      </c>
      <c r="H120" s="116">
        <v>44327</v>
      </c>
      <c r="I120" s="116">
        <v>44331</v>
      </c>
      <c r="J120" s="54"/>
      <c r="K120" s="54"/>
      <c r="L120" s="54"/>
      <c r="M120" s="54"/>
      <c r="N120" s="54"/>
      <c r="O120" s="54"/>
      <c r="P120" s="54"/>
      <c r="Q120" s="54"/>
      <c r="R120" s="54"/>
      <c r="S120" s="54"/>
      <c r="T120" s="54"/>
      <c r="U120" s="54"/>
      <c r="V120" s="121" t="s">
        <v>195</v>
      </c>
      <c r="W120" s="170">
        <v>5.0000000000000001E-3</v>
      </c>
      <c r="X120" s="116"/>
      <c r="Y120" s="65" t="s">
        <v>535</v>
      </c>
      <c r="Z120" s="65" t="s">
        <v>536</v>
      </c>
      <c r="AA120" s="41" t="s">
        <v>172</v>
      </c>
      <c r="AB120" s="181">
        <f t="shared" ca="1" si="10"/>
        <v>2.4499999999999999E-3</v>
      </c>
      <c r="AC120" s="181">
        <f t="shared" ca="1" si="11"/>
        <v>2.5500000000000002E-3</v>
      </c>
      <c r="AD120" s="176">
        <f>MONTH(I120)</f>
        <v>5</v>
      </c>
      <c r="AE120" s="177">
        <f>+I120-H120</f>
        <v>4</v>
      </c>
      <c r="AF120" s="177">
        <f>+$AF$18-H120</f>
        <v>50</v>
      </c>
      <c r="AG120" s="178">
        <f>+AF120/AE120</f>
        <v>12.5</v>
      </c>
      <c r="AH120" s="179">
        <f>+AG120*W120</f>
        <v>6.25E-2</v>
      </c>
      <c r="AI120" s="178">
        <f ca="1">+AB120-AH120</f>
        <v>-6.0049999999999999E-2</v>
      </c>
      <c r="AJ120" s="175" t="s">
        <v>432</v>
      </c>
    </row>
    <row r="121" spans="1:36" ht="35.450000000000003" customHeight="1" x14ac:dyDescent="0.2">
      <c r="A121" s="121" t="s">
        <v>45</v>
      </c>
      <c r="B121" s="185" t="s">
        <v>124</v>
      </c>
      <c r="C121" s="121" t="s">
        <v>98</v>
      </c>
      <c r="D121" s="121" t="s">
        <v>98</v>
      </c>
      <c r="E121" s="121" t="s">
        <v>165</v>
      </c>
      <c r="F121" s="123" t="s">
        <v>246</v>
      </c>
      <c r="G121" s="44" t="str">
        <f t="shared" si="9"/>
        <v>Líderes de Cada Proceso</v>
      </c>
      <c r="H121" s="116">
        <v>44334</v>
      </c>
      <c r="I121" s="116">
        <v>44469</v>
      </c>
      <c r="J121" s="54"/>
      <c r="K121" s="54"/>
      <c r="L121" s="54"/>
      <c r="M121" s="54"/>
      <c r="N121" s="54"/>
      <c r="O121" s="54"/>
      <c r="P121" s="54"/>
      <c r="Q121" s="54"/>
      <c r="R121" s="54"/>
      <c r="S121" s="54"/>
      <c r="T121" s="54"/>
      <c r="U121" s="54"/>
      <c r="V121" s="121" t="s">
        <v>315</v>
      </c>
      <c r="W121" s="168">
        <v>1.2E-2</v>
      </c>
      <c r="X121" s="116"/>
      <c r="Y121" s="65"/>
      <c r="Z121" s="65" t="s">
        <v>575</v>
      </c>
      <c r="AA121" s="121" t="s">
        <v>59</v>
      </c>
      <c r="AB121" s="236">
        <f t="shared" ca="1" si="10"/>
        <v>1.2000000000000001E-3</v>
      </c>
      <c r="AC121" s="236">
        <f t="shared" ca="1" si="11"/>
        <v>1.0800000000000001E-2</v>
      </c>
      <c r="AD121" s="176">
        <f>MONTH(I121)</f>
        <v>9</v>
      </c>
      <c r="AE121" s="177">
        <f>+I121-H121</f>
        <v>135</v>
      </c>
      <c r="AF121" s="177">
        <f>+$AF$18-H121</f>
        <v>43</v>
      </c>
      <c r="AG121" s="178">
        <f>+AF121/AE121</f>
        <v>0.31851851851851853</v>
      </c>
      <c r="AH121" s="179">
        <f>+AG121*W121</f>
        <v>3.8222222222222225E-3</v>
      </c>
      <c r="AI121" s="178">
        <f ca="1">+AB121-AH121</f>
        <v>-2.6222222222222224E-3</v>
      </c>
      <c r="AJ121" s="237" t="s">
        <v>604</v>
      </c>
    </row>
    <row r="122" spans="1:36" ht="35.450000000000003" customHeight="1" x14ac:dyDescent="0.2">
      <c r="A122" s="121" t="s">
        <v>45</v>
      </c>
      <c r="B122" s="185" t="s">
        <v>272</v>
      </c>
      <c r="C122" s="121" t="s">
        <v>90</v>
      </c>
      <c r="D122" s="121" t="s">
        <v>97</v>
      </c>
      <c r="E122" s="121" t="s">
        <v>165</v>
      </c>
      <c r="F122" s="124" t="s">
        <v>222</v>
      </c>
      <c r="G122" s="44" t="str">
        <f t="shared" si="9"/>
        <v>Asesor de Control Interno</v>
      </c>
      <c r="H122" s="116">
        <v>44342</v>
      </c>
      <c r="I122" s="116">
        <v>44349</v>
      </c>
      <c r="J122" s="54"/>
      <c r="K122" s="54"/>
      <c r="L122" s="54"/>
      <c r="M122" s="54"/>
      <c r="N122" s="54"/>
      <c r="O122" s="54"/>
      <c r="P122" s="54"/>
      <c r="Q122" s="54"/>
      <c r="R122" s="54"/>
      <c r="S122" s="54"/>
      <c r="T122" s="54"/>
      <c r="U122" s="54"/>
      <c r="V122" s="121" t="s">
        <v>208</v>
      </c>
      <c r="W122" s="168">
        <v>3.0000000000000001E-3</v>
      </c>
      <c r="X122" s="116">
        <v>44349</v>
      </c>
      <c r="Y122" s="122" t="s">
        <v>537</v>
      </c>
      <c r="Z122" s="65" t="s">
        <v>576</v>
      </c>
      <c r="AA122" s="121" t="s">
        <v>57</v>
      </c>
      <c r="AB122" s="126">
        <f t="shared" ca="1" si="10"/>
        <v>3.0000000000000001E-3</v>
      </c>
      <c r="AC122" s="126">
        <f t="shared" ca="1" si="11"/>
        <v>0</v>
      </c>
      <c r="AD122" s="176"/>
      <c r="AE122" s="177"/>
      <c r="AF122" s="177"/>
      <c r="AG122" s="178"/>
      <c r="AH122" s="179"/>
      <c r="AI122" s="178"/>
      <c r="AJ122" s="160" t="s">
        <v>218</v>
      </c>
    </row>
    <row r="123" spans="1:36" ht="35.450000000000003" customHeight="1" x14ac:dyDescent="0.2">
      <c r="A123" s="132" t="s">
        <v>46</v>
      </c>
      <c r="B123" s="185" t="s">
        <v>294</v>
      </c>
      <c r="C123" s="121" t="s">
        <v>82</v>
      </c>
      <c r="D123" s="121" t="s">
        <v>100</v>
      </c>
      <c r="E123" s="121" t="s">
        <v>165</v>
      </c>
      <c r="F123" s="124" t="s">
        <v>222</v>
      </c>
      <c r="G123" s="44" t="str">
        <f t="shared" si="9"/>
        <v>Director de Mejoramiento de Barrios</v>
      </c>
      <c r="H123" s="116">
        <v>44344</v>
      </c>
      <c r="I123" s="116">
        <v>44349</v>
      </c>
      <c r="J123" s="54"/>
      <c r="K123" s="54"/>
      <c r="L123" s="54"/>
      <c r="M123" s="54"/>
      <c r="N123" s="54"/>
      <c r="O123" s="54"/>
      <c r="P123" s="54"/>
      <c r="Q123" s="54"/>
      <c r="R123" s="54"/>
      <c r="S123" s="54"/>
      <c r="T123" s="54"/>
      <c r="U123" s="54"/>
      <c r="V123" s="119" t="s">
        <v>297</v>
      </c>
      <c r="W123" s="168">
        <v>1E-3</v>
      </c>
      <c r="X123" s="116">
        <v>44349</v>
      </c>
      <c r="Y123" s="65" t="s">
        <v>538</v>
      </c>
      <c r="Z123" s="65" t="s">
        <v>577</v>
      </c>
      <c r="AA123" s="121" t="s">
        <v>152</v>
      </c>
      <c r="AB123" s="126">
        <f t="shared" ca="1" si="10"/>
        <v>1E-3</v>
      </c>
      <c r="AC123" s="126">
        <f t="shared" ca="1" si="11"/>
        <v>0</v>
      </c>
      <c r="AD123" s="176"/>
      <c r="AE123" s="177"/>
      <c r="AF123" s="177"/>
      <c r="AG123" s="178"/>
      <c r="AH123" s="179"/>
      <c r="AI123" s="178"/>
      <c r="AJ123" s="160" t="s">
        <v>218</v>
      </c>
    </row>
    <row r="124" spans="1:36" ht="35.450000000000003" customHeight="1" x14ac:dyDescent="0.2">
      <c r="A124" s="121" t="s">
        <v>45</v>
      </c>
      <c r="B124" s="185" t="s">
        <v>114</v>
      </c>
      <c r="C124" s="121" t="s">
        <v>90</v>
      </c>
      <c r="D124" s="121" t="s">
        <v>97</v>
      </c>
      <c r="E124" s="121" t="s">
        <v>165</v>
      </c>
      <c r="F124" s="124" t="s">
        <v>222</v>
      </c>
      <c r="G124" s="44" t="str">
        <f t="shared" si="9"/>
        <v>Asesor de Control Interno</v>
      </c>
      <c r="H124" s="116">
        <v>44348</v>
      </c>
      <c r="I124" s="116">
        <v>44351</v>
      </c>
      <c r="J124" s="54"/>
      <c r="K124" s="54"/>
      <c r="L124" s="54"/>
      <c r="M124" s="54"/>
      <c r="N124" s="54"/>
      <c r="O124" s="54"/>
      <c r="P124" s="54"/>
      <c r="Q124" s="54"/>
      <c r="R124" s="54"/>
      <c r="S124" s="54"/>
      <c r="T124" s="54"/>
      <c r="U124" s="54"/>
      <c r="V124" s="121" t="s">
        <v>195</v>
      </c>
      <c r="W124" s="168">
        <v>3.0000000000000001E-3</v>
      </c>
      <c r="X124" s="116">
        <v>44351</v>
      </c>
      <c r="Y124" s="122" t="s">
        <v>539</v>
      </c>
      <c r="Z124" s="65" t="s">
        <v>578</v>
      </c>
      <c r="AA124" s="121" t="s">
        <v>57</v>
      </c>
      <c r="AB124" s="126">
        <f t="shared" ca="1" si="10"/>
        <v>3.0000000000000001E-3</v>
      </c>
      <c r="AC124" s="126">
        <f t="shared" ca="1" si="11"/>
        <v>0</v>
      </c>
      <c r="AD124" s="176"/>
      <c r="AE124" s="177"/>
      <c r="AF124" s="177"/>
      <c r="AG124" s="178"/>
      <c r="AH124" s="179"/>
      <c r="AI124" s="178"/>
      <c r="AJ124" s="160" t="s">
        <v>218</v>
      </c>
    </row>
    <row r="125" spans="1:36" ht="35.450000000000003" customHeight="1" x14ac:dyDescent="0.2">
      <c r="A125" s="132" t="s">
        <v>46</v>
      </c>
      <c r="B125" s="122" t="s">
        <v>93</v>
      </c>
      <c r="C125" s="121" t="s">
        <v>141</v>
      </c>
      <c r="D125" s="121" t="s">
        <v>96</v>
      </c>
      <c r="E125" s="121" t="s">
        <v>165</v>
      </c>
      <c r="F125" s="123" t="s">
        <v>223</v>
      </c>
      <c r="G125" s="44" t="str">
        <f t="shared" si="9"/>
        <v>Director de Gestión Corporativa y CID</v>
      </c>
      <c r="H125" s="116">
        <v>44348</v>
      </c>
      <c r="I125" s="116">
        <v>44357</v>
      </c>
      <c r="J125" s="54"/>
      <c r="K125" s="54"/>
      <c r="L125" s="54"/>
      <c r="M125" s="54"/>
      <c r="N125" s="54"/>
      <c r="O125" s="54"/>
      <c r="P125" s="54"/>
      <c r="Q125" s="54"/>
      <c r="R125" s="54"/>
      <c r="S125" s="54"/>
      <c r="T125" s="54"/>
      <c r="U125" s="54"/>
      <c r="V125" s="121" t="s">
        <v>312</v>
      </c>
      <c r="W125" s="168">
        <v>1E-3</v>
      </c>
      <c r="X125" s="116">
        <v>44357</v>
      </c>
      <c r="Y125" s="65" t="s">
        <v>591</v>
      </c>
      <c r="Z125" s="122" t="s">
        <v>436</v>
      </c>
      <c r="AA125" s="121" t="s">
        <v>152</v>
      </c>
      <c r="AB125" s="126">
        <f t="shared" ca="1" si="10"/>
        <v>1E-3</v>
      </c>
      <c r="AC125" s="126">
        <f t="shared" ca="1" si="11"/>
        <v>0</v>
      </c>
      <c r="AD125" s="176"/>
      <c r="AE125" s="177"/>
      <c r="AF125" s="177"/>
      <c r="AG125" s="178"/>
      <c r="AH125" s="179"/>
      <c r="AI125" s="178"/>
      <c r="AJ125" s="160" t="s">
        <v>218</v>
      </c>
    </row>
    <row r="126" spans="1:36" ht="35.450000000000003" customHeight="1" x14ac:dyDescent="0.2">
      <c r="A126" s="121" t="s">
        <v>45</v>
      </c>
      <c r="B126" s="185" t="s">
        <v>308</v>
      </c>
      <c r="C126" s="121" t="s">
        <v>90</v>
      </c>
      <c r="D126" s="121" t="s">
        <v>97</v>
      </c>
      <c r="E126" s="121" t="s">
        <v>165</v>
      </c>
      <c r="F126" s="123" t="s">
        <v>222</v>
      </c>
      <c r="G126" s="44" t="str">
        <f t="shared" si="9"/>
        <v>Asesor de Control Interno</v>
      </c>
      <c r="H126" s="116">
        <v>44348</v>
      </c>
      <c r="I126" s="195">
        <v>44392</v>
      </c>
      <c r="J126" s="54"/>
      <c r="K126" s="54"/>
      <c r="L126" s="54"/>
      <c r="M126" s="54"/>
      <c r="N126" s="54"/>
      <c r="O126" s="54"/>
      <c r="P126" s="54"/>
      <c r="Q126" s="54"/>
      <c r="R126" s="54"/>
      <c r="S126" s="54"/>
      <c r="T126" s="54"/>
      <c r="U126" s="54"/>
      <c r="V126" s="121" t="s">
        <v>316</v>
      </c>
      <c r="W126" s="168">
        <v>1.0999999999999999E-2</v>
      </c>
      <c r="X126" s="116"/>
      <c r="Y126" s="65" t="s">
        <v>541</v>
      </c>
      <c r="Z126" s="65" t="s">
        <v>540</v>
      </c>
      <c r="AA126" s="41" t="s">
        <v>60</v>
      </c>
      <c r="AB126" s="236">
        <f t="shared" ca="1" si="10"/>
        <v>8.7999999999999988E-3</v>
      </c>
      <c r="AC126" s="236">
        <f t="shared" ca="1" si="11"/>
        <v>2.2000000000000006E-3</v>
      </c>
      <c r="AD126" s="176">
        <f>MONTH(I126)</f>
        <v>7</v>
      </c>
      <c r="AE126" s="177">
        <f>+I126-H126</f>
        <v>44</v>
      </c>
      <c r="AF126" s="177">
        <f>+$AF$18-H126</f>
        <v>29</v>
      </c>
      <c r="AG126" s="178">
        <f>+AF126/AE126</f>
        <v>0.65909090909090906</v>
      </c>
      <c r="AH126" s="179">
        <f>+AG126*W126</f>
        <v>7.2499999999999995E-3</v>
      </c>
      <c r="AI126" s="178">
        <f ca="1">+AB126-AH126</f>
        <v>1.5499999999999993E-3</v>
      </c>
      <c r="AJ126" s="237" t="s">
        <v>604</v>
      </c>
    </row>
    <row r="127" spans="1:36" ht="35.450000000000003" customHeight="1" x14ac:dyDescent="0.2">
      <c r="A127" s="132" t="s">
        <v>44</v>
      </c>
      <c r="B127" s="122" t="s">
        <v>92</v>
      </c>
      <c r="C127" s="121" t="s">
        <v>89</v>
      </c>
      <c r="D127" s="121" t="s">
        <v>96</v>
      </c>
      <c r="E127" s="121" t="s">
        <v>165</v>
      </c>
      <c r="F127" s="123" t="s">
        <v>196</v>
      </c>
      <c r="G127" s="44" t="str">
        <f t="shared" si="9"/>
        <v>Subdirector Financiero</v>
      </c>
      <c r="H127" s="116">
        <v>44351</v>
      </c>
      <c r="I127" s="116">
        <v>44357</v>
      </c>
      <c r="J127" s="54"/>
      <c r="K127" s="54"/>
      <c r="L127" s="54"/>
      <c r="M127" s="54"/>
      <c r="N127" s="54"/>
      <c r="O127" s="54"/>
      <c r="P127" s="54"/>
      <c r="Q127" s="54"/>
      <c r="R127" s="54"/>
      <c r="S127" s="54"/>
      <c r="T127" s="54"/>
      <c r="U127" s="54"/>
      <c r="V127" s="121" t="s">
        <v>123</v>
      </c>
      <c r="W127" s="168">
        <v>1E-3</v>
      </c>
      <c r="X127" s="116">
        <v>44357</v>
      </c>
      <c r="Y127" s="122" t="s">
        <v>551</v>
      </c>
      <c r="Z127" s="122" t="s">
        <v>551</v>
      </c>
      <c r="AA127" s="121" t="s">
        <v>176</v>
      </c>
      <c r="AB127" s="126">
        <f t="shared" ca="1" si="10"/>
        <v>9.999999999999998E-4</v>
      </c>
      <c r="AC127" s="126">
        <f t="shared" ca="1" si="11"/>
        <v>0</v>
      </c>
      <c r="AD127" s="176"/>
      <c r="AE127" s="177"/>
      <c r="AF127" s="177"/>
      <c r="AG127" s="178"/>
      <c r="AH127" s="179"/>
      <c r="AI127" s="178"/>
      <c r="AJ127" s="160" t="s">
        <v>218</v>
      </c>
    </row>
    <row r="128" spans="1:36" ht="35.450000000000003" customHeight="1" x14ac:dyDescent="0.2">
      <c r="A128" s="121" t="s">
        <v>43</v>
      </c>
      <c r="B128" s="185" t="s">
        <v>503</v>
      </c>
      <c r="C128" s="121" t="s">
        <v>90</v>
      </c>
      <c r="D128" s="121" t="s">
        <v>97</v>
      </c>
      <c r="E128" s="121" t="s">
        <v>165</v>
      </c>
      <c r="F128" s="124" t="s">
        <v>222</v>
      </c>
      <c r="G128" s="44" t="str">
        <f t="shared" si="9"/>
        <v>Asesor de Control Interno</v>
      </c>
      <c r="H128" s="195">
        <v>44355</v>
      </c>
      <c r="I128" s="195">
        <v>44390</v>
      </c>
      <c r="J128" s="54"/>
      <c r="K128" s="54"/>
      <c r="L128" s="54"/>
      <c r="M128" s="54"/>
      <c r="N128" s="54"/>
      <c r="O128" s="54"/>
      <c r="P128" s="54"/>
      <c r="Q128" s="54"/>
      <c r="R128" s="54"/>
      <c r="S128" s="54"/>
      <c r="T128" s="54"/>
      <c r="U128" s="54"/>
      <c r="V128" s="121" t="s">
        <v>314</v>
      </c>
      <c r="W128" s="170">
        <v>4.0000000000000001E-3</v>
      </c>
      <c r="X128" s="116"/>
      <c r="Y128" s="65" t="s">
        <v>542</v>
      </c>
      <c r="Z128" s="65" t="s">
        <v>543</v>
      </c>
      <c r="AA128" s="121" t="s">
        <v>175</v>
      </c>
      <c r="AB128" s="130">
        <f t="shared" ca="1" si="10"/>
        <v>3.64E-3</v>
      </c>
      <c r="AC128" s="130">
        <f t="shared" ca="1" si="11"/>
        <v>3.6000000000000008E-4</v>
      </c>
      <c r="AD128" s="176">
        <f t="shared" ref="AD128:AD159" si="12">MONTH(I128)</f>
        <v>7</v>
      </c>
      <c r="AE128" s="177">
        <f t="shared" ref="AE128:AE159" si="13">+I128-H128</f>
        <v>35</v>
      </c>
      <c r="AF128" s="177">
        <f t="shared" ref="AF128:AF159" si="14">+$AF$18-H128</f>
        <v>22</v>
      </c>
      <c r="AG128" s="178">
        <f t="shared" ref="AG128:AG159" si="15">+AF128/AE128</f>
        <v>0.62857142857142856</v>
      </c>
      <c r="AH128" s="179">
        <f t="shared" ref="AH128:AH159" si="16">+AG128*W128</f>
        <v>2.5142857142857141E-3</v>
      </c>
      <c r="AI128" s="178">
        <f t="shared" ref="AI128:AI159" ca="1" si="17">+AB128-AH128</f>
        <v>1.1257142857142859E-3</v>
      </c>
      <c r="AJ128" s="162" t="s">
        <v>384</v>
      </c>
    </row>
    <row r="129" spans="1:171" ht="35.450000000000003" customHeight="1" x14ac:dyDescent="0.2">
      <c r="A129" s="121" t="s">
        <v>50</v>
      </c>
      <c r="B129" s="122" t="s">
        <v>319</v>
      </c>
      <c r="C129" s="121" t="s">
        <v>140</v>
      </c>
      <c r="D129" s="121" t="s">
        <v>100</v>
      </c>
      <c r="E129" s="121" t="s">
        <v>165</v>
      </c>
      <c r="F129" s="124" t="s">
        <v>159</v>
      </c>
      <c r="G129" s="44" t="str">
        <f t="shared" si="9"/>
        <v>Director de Gestión Corporativa y CID</v>
      </c>
      <c r="H129" s="195">
        <v>44356</v>
      </c>
      <c r="I129" s="195">
        <v>44372</v>
      </c>
      <c r="J129" s="54"/>
      <c r="K129" s="54"/>
      <c r="L129" s="54"/>
      <c r="M129" s="54"/>
      <c r="N129" s="54"/>
      <c r="O129" s="54"/>
      <c r="P129" s="54"/>
      <c r="Q129" s="54"/>
      <c r="R129" s="54"/>
      <c r="S129" s="54"/>
      <c r="T129" s="54"/>
      <c r="U129" s="54"/>
      <c r="V129" s="121" t="s">
        <v>123</v>
      </c>
      <c r="W129" s="168">
        <v>0.01</v>
      </c>
      <c r="X129" s="116">
        <v>44370</v>
      </c>
      <c r="Y129" s="231" t="s">
        <v>557</v>
      </c>
      <c r="Z129" s="65" t="s">
        <v>558</v>
      </c>
      <c r="AA129" s="41" t="s">
        <v>177</v>
      </c>
      <c r="AB129" s="183">
        <f t="shared" ca="1" si="10"/>
        <v>1.0000000000000002E-2</v>
      </c>
      <c r="AC129" s="126">
        <f t="shared" ca="1" si="11"/>
        <v>0</v>
      </c>
      <c r="AD129" s="176"/>
      <c r="AE129" s="177"/>
      <c r="AF129" s="177"/>
      <c r="AG129" s="178"/>
      <c r="AH129" s="179"/>
      <c r="AI129" s="178"/>
      <c r="AJ129" s="160" t="s">
        <v>218</v>
      </c>
    </row>
    <row r="130" spans="1:171" ht="35.450000000000003" customHeight="1" x14ac:dyDescent="0.2">
      <c r="A130" s="121" t="s">
        <v>50</v>
      </c>
      <c r="B130" s="185" t="s">
        <v>209</v>
      </c>
      <c r="C130" s="60" t="s">
        <v>141</v>
      </c>
      <c r="D130" s="45" t="s">
        <v>96</v>
      </c>
      <c r="E130" s="121" t="s">
        <v>165</v>
      </c>
      <c r="F130" s="123" t="s">
        <v>160</v>
      </c>
      <c r="G130" s="44" t="str">
        <f t="shared" si="9"/>
        <v>Director de Gestión Corporativa y CID</v>
      </c>
      <c r="H130" s="195">
        <v>44356</v>
      </c>
      <c r="I130" s="195">
        <v>44393</v>
      </c>
      <c r="J130" s="54"/>
      <c r="K130" s="54"/>
      <c r="L130" s="54"/>
      <c r="M130" s="54"/>
      <c r="N130" s="54"/>
      <c r="O130" s="54"/>
      <c r="P130" s="54"/>
      <c r="Q130" s="54"/>
      <c r="R130" s="54"/>
      <c r="S130" s="54"/>
      <c r="T130" s="54"/>
      <c r="U130" s="54"/>
      <c r="V130" s="41" t="s">
        <v>123</v>
      </c>
      <c r="W130" s="168">
        <v>0.01</v>
      </c>
      <c r="X130" s="116"/>
      <c r="Y130" s="65" t="s">
        <v>565</v>
      </c>
      <c r="Z130" s="65" t="s">
        <v>566</v>
      </c>
      <c r="AA130" s="41" t="s">
        <v>110</v>
      </c>
      <c r="AB130" s="130">
        <f t="shared" ca="1" si="10"/>
        <v>7.1999999999999998E-3</v>
      </c>
      <c r="AC130" s="130">
        <f t="shared" ca="1" si="11"/>
        <v>2.8000000000000004E-3</v>
      </c>
      <c r="AD130" s="176">
        <f t="shared" si="12"/>
        <v>7</v>
      </c>
      <c r="AE130" s="177">
        <f t="shared" si="13"/>
        <v>37</v>
      </c>
      <c r="AF130" s="177">
        <f t="shared" si="14"/>
        <v>21</v>
      </c>
      <c r="AG130" s="178">
        <f t="shared" si="15"/>
        <v>0.56756756756756754</v>
      </c>
      <c r="AH130" s="179">
        <f t="shared" si="16"/>
        <v>5.6756756756756758E-3</v>
      </c>
      <c r="AI130" s="178">
        <f t="shared" ca="1" si="17"/>
        <v>1.524324324324324E-3</v>
      </c>
      <c r="AJ130" s="162" t="s">
        <v>384</v>
      </c>
    </row>
    <row r="131" spans="1:171" ht="35.450000000000003" customHeight="1" x14ac:dyDescent="0.2">
      <c r="A131" s="121" t="s">
        <v>50</v>
      </c>
      <c r="B131" s="185" t="s">
        <v>305</v>
      </c>
      <c r="C131" s="60" t="s">
        <v>141</v>
      </c>
      <c r="D131" s="45" t="s">
        <v>96</v>
      </c>
      <c r="E131" s="121" t="s">
        <v>165</v>
      </c>
      <c r="F131" s="123" t="s">
        <v>160</v>
      </c>
      <c r="G131" s="44" t="str">
        <f t="shared" si="9"/>
        <v>Director de Gestión Corporativa y CID</v>
      </c>
      <c r="H131" s="158">
        <v>44357</v>
      </c>
      <c r="I131" s="158">
        <v>44407</v>
      </c>
      <c r="J131" s="54"/>
      <c r="K131" s="54"/>
      <c r="L131" s="54"/>
      <c r="M131" s="54"/>
      <c r="N131" s="54"/>
      <c r="O131" s="54"/>
      <c r="P131" s="54"/>
      <c r="Q131" s="54"/>
      <c r="R131" s="54"/>
      <c r="S131" s="54"/>
      <c r="T131" s="54"/>
      <c r="U131" s="54"/>
      <c r="V131" s="121" t="s">
        <v>123</v>
      </c>
      <c r="W131" s="168">
        <v>0.01</v>
      </c>
      <c r="X131" s="116"/>
      <c r="Y131" s="65" t="s">
        <v>567</v>
      </c>
      <c r="Z131" s="233" t="s">
        <v>568</v>
      </c>
      <c r="AA131" s="41" t="s">
        <v>105</v>
      </c>
      <c r="AB131" s="130">
        <f t="shared" ca="1" si="10"/>
        <v>6.1999999999999998E-3</v>
      </c>
      <c r="AC131" s="130">
        <f t="shared" ca="1" si="11"/>
        <v>3.8000000000000004E-3</v>
      </c>
      <c r="AD131" s="176">
        <f t="shared" si="12"/>
        <v>7</v>
      </c>
      <c r="AE131" s="177">
        <f t="shared" si="13"/>
        <v>50</v>
      </c>
      <c r="AF131" s="177">
        <f t="shared" si="14"/>
        <v>20</v>
      </c>
      <c r="AG131" s="178">
        <f t="shared" si="15"/>
        <v>0.4</v>
      </c>
      <c r="AH131" s="179">
        <f t="shared" si="16"/>
        <v>4.0000000000000001E-3</v>
      </c>
      <c r="AI131" s="178">
        <f t="shared" ca="1" si="17"/>
        <v>2.1999999999999997E-3</v>
      </c>
      <c r="AJ131" s="162" t="s">
        <v>384</v>
      </c>
    </row>
    <row r="132" spans="1:171" ht="35.450000000000003" customHeight="1" x14ac:dyDescent="0.2">
      <c r="A132" s="121" t="s">
        <v>47</v>
      </c>
      <c r="B132" s="125" t="s">
        <v>288</v>
      </c>
      <c r="C132" s="121" t="s">
        <v>98</v>
      </c>
      <c r="D132" s="121" t="s">
        <v>98</v>
      </c>
      <c r="E132" s="121" t="s">
        <v>165</v>
      </c>
      <c r="F132" s="123" t="s">
        <v>246</v>
      </c>
      <c r="G132" s="44" t="str">
        <f t="shared" si="9"/>
        <v>Líderes de Cada Proceso</v>
      </c>
      <c r="H132" s="116">
        <v>44362</v>
      </c>
      <c r="I132" s="195">
        <v>44386</v>
      </c>
      <c r="J132" s="54"/>
      <c r="K132" s="54"/>
      <c r="L132" s="54"/>
      <c r="M132" s="54"/>
      <c r="N132" s="54"/>
      <c r="O132" s="54"/>
      <c r="P132" s="54"/>
      <c r="Q132" s="54"/>
      <c r="R132" s="54"/>
      <c r="S132" s="54"/>
      <c r="T132" s="54"/>
      <c r="U132" s="54"/>
      <c r="V132" s="121" t="s">
        <v>208</v>
      </c>
      <c r="W132" s="170">
        <v>0.02</v>
      </c>
      <c r="X132" s="116"/>
      <c r="Y132" s="66" t="s">
        <v>579</v>
      </c>
      <c r="Z132" s="65" t="s">
        <v>580</v>
      </c>
      <c r="AA132" s="41" t="s">
        <v>105</v>
      </c>
      <c r="AB132" s="130">
        <f t="shared" ca="1" si="10"/>
        <v>1.3399999999999999E-2</v>
      </c>
      <c r="AC132" s="130">
        <f t="shared" ca="1" si="11"/>
        <v>6.6000000000000017E-3</v>
      </c>
      <c r="AD132" s="176">
        <f t="shared" si="12"/>
        <v>7</v>
      </c>
      <c r="AE132" s="177">
        <f t="shared" si="13"/>
        <v>24</v>
      </c>
      <c r="AF132" s="177">
        <f t="shared" si="14"/>
        <v>15</v>
      </c>
      <c r="AG132" s="178">
        <f t="shared" si="15"/>
        <v>0.625</v>
      </c>
      <c r="AH132" s="179">
        <f t="shared" si="16"/>
        <v>1.2500000000000001E-2</v>
      </c>
      <c r="AI132" s="178">
        <f t="shared" ca="1" si="17"/>
        <v>8.9999999999999802E-4</v>
      </c>
      <c r="AJ132" s="162" t="s">
        <v>384</v>
      </c>
    </row>
    <row r="133" spans="1:171" ht="35.450000000000003" customHeight="1" x14ac:dyDescent="0.2">
      <c r="A133" s="121" t="s">
        <v>47</v>
      </c>
      <c r="B133" s="125" t="s">
        <v>289</v>
      </c>
      <c r="C133" s="121" t="s">
        <v>98</v>
      </c>
      <c r="D133" s="121" t="s">
        <v>98</v>
      </c>
      <c r="E133" s="121" t="s">
        <v>165</v>
      </c>
      <c r="F133" s="123" t="s">
        <v>246</v>
      </c>
      <c r="G133" s="44" t="str">
        <f t="shared" si="9"/>
        <v>Líderes de Cada Proceso</v>
      </c>
      <c r="H133" s="116">
        <v>44362</v>
      </c>
      <c r="I133" s="195">
        <v>44386</v>
      </c>
      <c r="J133" s="54"/>
      <c r="K133" s="54"/>
      <c r="L133" s="54"/>
      <c r="M133" s="54"/>
      <c r="N133" s="54"/>
      <c r="O133" s="54"/>
      <c r="P133" s="54"/>
      <c r="Q133" s="54"/>
      <c r="R133" s="54"/>
      <c r="S133" s="54"/>
      <c r="T133" s="54"/>
      <c r="U133" s="54"/>
      <c r="V133" s="121" t="s">
        <v>208</v>
      </c>
      <c r="W133" s="170">
        <v>0.02</v>
      </c>
      <c r="X133" s="116"/>
      <c r="Y133" s="66" t="s">
        <v>581</v>
      </c>
      <c r="Z133" s="65" t="s">
        <v>580</v>
      </c>
      <c r="AA133" s="41" t="s">
        <v>105</v>
      </c>
      <c r="AB133" s="130">
        <f t="shared" ca="1" si="10"/>
        <v>1.3399999999999999E-2</v>
      </c>
      <c r="AC133" s="130">
        <f t="shared" ca="1" si="11"/>
        <v>6.6000000000000017E-3</v>
      </c>
      <c r="AD133" s="176">
        <f t="shared" si="12"/>
        <v>7</v>
      </c>
      <c r="AE133" s="177">
        <f t="shared" si="13"/>
        <v>24</v>
      </c>
      <c r="AF133" s="177">
        <f t="shared" si="14"/>
        <v>15</v>
      </c>
      <c r="AG133" s="178">
        <f t="shared" si="15"/>
        <v>0.625</v>
      </c>
      <c r="AH133" s="179">
        <f t="shared" si="16"/>
        <v>1.2500000000000001E-2</v>
      </c>
      <c r="AI133" s="178">
        <f t="shared" ca="1" si="17"/>
        <v>8.9999999999999802E-4</v>
      </c>
      <c r="AJ133" s="162" t="s">
        <v>384</v>
      </c>
    </row>
    <row r="134" spans="1:171" ht="35.450000000000003" customHeight="1" x14ac:dyDescent="0.2">
      <c r="A134" s="121" t="s">
        <v>45</v>
      </c>
      <c r="B134" s="185" t="s">
        <v>206</v>
      </c>
      <c r="C134" s="121" t="s">
        <v>98</v>
      </c>
      <c r="D134" s="121" t="s">
        <v>98</v>
      </c>
      <c r="E134" s="121" t="s">
        <v>165</v>
      </c>
      <c r="F134" s="124" t="s">
        <v>222</v>
      </c>
      <c r="G134" s="44" t="str">
        <f t="shared" si="9"/>
        <v>Líderes de Cada Proceso</v>
      </c>
      <c r="H134" s="116">
        <v>44362</v>
      </c>
      <c r="I134" s="116">
        <v>44392</v>
      </c>
      <c r="J134" s="54"/>
      <c r="K134" s="54"/>
      <c r="L134" s="54"/>
      <c r="M134" s="54"/>
      <c r="N134" s="54"/>
      <c r="O134" s="54"/>
      <c r="P134" s="54"/>
      <c r="Q134" s="54"/>
      <c r="R134" s="54"/>
      <c r="S134" s="54"/>
      <c r="T134" s="54"/>
      <c r="U134" s="54"/>
      <c r="V134" s="121" t="s">
        <v>123</v>
      </c>
      <c r="W134" s="168">
        <v>7.0000000000000001E-3</v>
      </c>
      <c r="X134" s="116"/>
      <c r="Y134" s="122" t="s">
        <v>545</v>
      </c>
      <c r="Z134" s="65" t="s">
        <v>544</v>
      </c>
      <c r="AA134" s="41" t="s">
        <v>59</v>
      </c>
      <c r="AB134" s="236">
        <f t="shared" ca="1" si="10"/>
        <v>7.000000000000001E-4</v>
      </c>
      <c r="AC134" s="236">
        <f t="shared" ca="1" si="11"/>
        <v>6.3E-3</v>
      </c>
      <c r="AD134" s="176">
        <f t="shared" si="12"/>
        <v>7</v>
      </c>
      <c r="AE134" s="177">
        <f t="shared" si="13"/>
        <v>30</v>
      </c>
      <c r="AF134" s="177">
        <f t="shared" si="14"/>
        <v>15</v>
      </c>
      <c r="AG134" s="178">
        <f t="shared" si="15"/>
        <v>0.5</v>
      </c>
      <c r="AH134" s="179">
        <f t="shared" si="16"/>
        <v>3.5000000000000001E-3</v>
      </c>
      <c r="AI134" s="178">
        <f t="shared" ca="1" si="17"/>
        <v>-2.8E-3</v>
      </c>
      <c r="AJ134" s="237" t="s">
        <v>604</v>
      </c>
    </row>
    <row r="135" spans="1:171" ht="35.450000000000003" customHeight="1" x14ac:dyDescent="0.2">
      <c r="A135" s="121" t="s">
        <v>50</v>
      </c>
      <c r="B135" s="185" t="s">
        <v>321</v>
      </c>
      <c r="C135" s="121" t="s">
        <v>140</v>
      </c>
      <c r="D135" s="121" t="s">
        <v>100</v>
      </c>
      <c r="E135" s="121" t="s">
        <v>165</v>
      </c>
      <c r="F135" s="124" t="s">
        <v>159</v>
      </c>
      <c r="G135" s="44" t="str">
        <f t="shared" si="9"/>
        <v>Director de Gestión Corporativa y CID</v>
      </c>
      <c r="H135" s="116">
        <v>44363</v>
      </c>
      <c r="I135" s="116">
        <v>44393</v>
      </c>
      <c r="J135" s="54"/>
      <c r="K135" s="54"/>
      <c r="L135" s="54"/>
      <c r="M135" s="54"/>
      <c r="N135" s="54"/>
      <c r="O135" s="54"/>
      <c r="P135" s="54"/>
      <c r="Q135" s="54"/>
      <c r="R135" s="54"/>
      <c r="S135" s="54"/>
      <c r="T135" s="54"/>
      <c r="U135" s="54"/>
      <c r="V135" s="121" t="s">
        <v>123</v>
      </c>
      <c r="W135" s="168">
        <v>0.01</v>
      </c>
      <c r="X135" s="116"/>
      <c r="Y135" s="231" t="s">
        <v>584</v>
      </c>
      <c r="Z135" s="65" t="s">
        <v>585</v>
      </c>
      <c r="AA135" s="41" t="s">
        <v>103</v>
      </c>
      <c r="AB135" s="236">
        <f t="shared" ca="1" si="10"/>
        <v>5.9999999999999995E-4</v>
      </c>
      <c r="AC135" s="236">
        <f t="shared" ca="1" si="11"/>
        <v>9.4000000000000004E-3</v>
      </c>
      <c r="AD135" s="176">
        <f t="shared" si="12"/>
        <v>7</v>
      </c>
      <c r="AE135" s="177">
        <f t="shared" si="13"/>
        <v>30</v>
      </c>
      <c r="AF135" s="177">
        <f t="shared" si="14"/>
        <v>14</v>
      </c>
      <c r="AG135" s="178">
        <f t="shared" si="15"/>
        <v>0.46666666666666667</v>
      </c>
      <c r="AH135" s="179">
        <f t="shared" si="16"/>
        <v>4.6666666666666671E-3</v>
      </c>
      <c r="AI135" s="178">
        <f t="shared" ca="1" si="17"/>
        <v>-4.0666666666666672E-3</v>
      </c>
      <c r="AJ135" s="237" t="s">
        <v>604</v>
      </c>
    </row>
    <row r="136" spans="1:171" ht="35.450000000000003" customHeight="1" x14ac:dyDescent="0.2">
      <c r="A136" s="121" t="s">
        <v>50</v>
      </c>
      <c r="B136" s="122" t="s">
        <v>333</v>
      </c>
      <c r="C136" s="121" t="s">
        <v>83</v>
      </c>
      <c r="D136" s="121" t="s">
        <v>100</v>
      </c>
      <c r="E136" s="121" t="s">
        <v>165</v>
      </c>
      <c r="F136" s="124" t="s">
        <v>159</v>
      </c>
      <c r="G136" s="44" t="str">
        <f t="shared" si="9"/>
        <v>Director de Mejoramiento de Vivienda</v>
      </c>
      <c r="H136" s="116">
        <v>44363</v>
      </c>
      <c r="I136" s="116">
        <v>44393</v>
      </c>
      <c r="J136" s="54"/>
      <c r="K136" s="54"/>
      <c r="L136" s="54"/>
      <c r="M136" s="54"/>
      <c r="N136" s="54"/>
      <c r="O136" s="54"/>
      <c r="P136" s="54"/>
      <c r="Q136" s="54"/>
      <c r="R136" s="54"/>
      <c r="S136" s="54"/>
      <c r="T136" s="54"/>
      <c r="U136" s="54"/>
      <c r="V136" s="121" t="s">
        <v>123</v>
      </c>
      <c r="W136" s="168">
        <v>0.01</v>
      </c>
      <c r="X136" s="116"/>
      <c r="Y136" s="231" t="s">
        <v>559</v>
      </c>
      <c r="Z136" s="65" t="s">
        <v>560</v>
      </c>
      <c r="AA136" s="41" t="s">
        <v>103</v>
      </c>
      <c r="AB136" s="236">
        <f t="shared" ca="1" si="10"/>
        <v>5.9999999999999995E-4</v>
      </c>
      <c r="AC136" s="236">
        <f t="shared" ca="1" si="11"/>
        <v>9.4000000000000004E-3</v>
      </c>
      <c r="AD136" s="176">
        <f t="shared" si="12"/>
        <v>7</v>
      </c>
      <c r="AE136" s="177">
        <f t="shared" si="13"/>
        <v>30</v>
      </c>
      <c r="AF136" s="177">
        <f t="shared" si="14"/>
        <v>14</v>
      </c>
      <c r="AG136" s="178">
        <f t="shared" si="15"/>
        <v>0.46666666666666667</v>
      </c>
      <c r="AH136" s="179">
        <f t="shared" si="16"/>
        <v>4.6666666666666671E-3</v>
      </c>
      <c r="AI136" s="178">
        <f t="shared" ca="1" si="17"/>
        <v>-4.0666666666666672E-3</v>
      </c>
      <c r="AJ136" s="237" t="s">
        <v>604</v>
      </c>
    </row>
    <row r="137" spans="1:171" ht="35.450000000000003" customHeight="1" x14ac:dyDescent="0.2">
      <c r="A137" s="121" t="s">
        <v>43</v>
      </c>
      <c r="B137" s="122" t="s">
        <v>499</v>
      </c>
      <c r="C137" s="121" t="s">
        <v>90</v>
      </c>
      <c r="D137" s="121" t="s">
        <v>97</v>
      </c>
      <c r="E137" s="121" t="s">
        <v>165</v>
      </c>
      <c r="F137" s="124" t="s">
        <v>222</v>
      </c>
      <c r="G137" s="44" t="str">
        <f t="shared" si="9"/>
        <v>Asesor de Control Interno</v>
      </c>
      <c r="H137" s="195">
        <v>44372</v>
      </c>
      <c r="I137" s="195">
        <v>44405</v>
      </c>
      <c r="J137" s="54"/>
      <c r="K137" s="54"/>
      <c r="L137" s="54"/>
      <c r="M137" s="54"/>
      <c r="N137" s="54"/>
      <c r="O137" s="54"/>
      <c r="P137" s="54"/>
      <c r="Q137" s="54"/>
      <c r="R137" s="54"/>
      <c r="S137" s="54"/>
      <c r="T137" s="54"/>
      <c r="U137" s="54"/>
      <c r="V137" s="121" t="s">
        <v>314</v>
      </c>
      <c r="W137" s="170">
        <v>4.0000000000000001E-3</v>
      </c>
      <c r="X137" s="116"/>
      <c r="Y137" s="122" t="s">
        <v>546</v>
      </c>
      <c r="Z137" s="65" t="s">
        <v>547</v>
      </c>
      <c r="AA137" s="41" t="s">
        <v>58</v>
      </c>
      <c r="AB137" s="130">
        <f t="shared" ca="1" si="10"/>
        <v>2.2400000000000002E-3</v>
      </c>
      <c r="AC137" s="130">
        <f t="shared" ca="1" si="11"/>
        <v>1.7599999999999998E-3</v>
      </c>
      <c r="AD137" s="176">
        <f t="shared" si="12"/>
        <v>7</v>
      </c>
      <c r="AE137" s="177">
        <f t="shared" si="13"/>
        <v>33</v>
      </c>
      <c r="AF137" s="177">
        <f t="shared" si="14"/>
        <v>5</v>
      </c>
      <c r="AG137" s="178">
        <f t="shared" si="15"/>
        <v>0.15151515151515152</v>
      </c>
      <c r="AH137" s="179">
        <f t="shared" si="16"/>
        <v>6.0606060606060606E-4</v>
      </c>
      <c r="AI137" s="178">
        <f t="shared" ca="1" si="17"/>
        <v>1.6339393939393942E-3</v>
      </c>
      <c r="AJ137" s="162" t="s">
        <v>384</v>
      </c>
    </row>
    <row r="138" spans="1:171" ht="35.450000000000003" customHeight="1" x14ac:dyDescent="0.2">
      <c r="A138" s="132" t="s">
        <v>43</v>
      </c>
      <c r="B138" s="42" t="s">
        <v>260</v>
      </c>
      <c r="C138" s="121" t="s">
        <v>98</v>
      </c>
      <c r="D138" s="121" t="s">
        <v>98</v>
      </c>
      <c r="E138" s="121" t="s">
        <v>165</v>
      </c>
      <c r="F138" s="123" t="s">
        <v>246</v>
      </c>
      <c r="G138" s="44" t="str">
        <f t="shared" si="9"/>
        <v>Líderes de Cada Proceso</v>
      </c>
      <c r="H138" s="116">
        <v>44375</v>
      </c>
      <c r="I138" s="116">
        <v>44405</v>
      </c>
      <c r="J138" s="54"/>
      <c r="K138" s="54"/>
      <c r="L138" s="54"/>
      <c r="M138" s="54"/>
      <c r="N138" s="54"/>
      <c r="O138" s="54"/>
      <c r="P138" s="54"/>
      <c r="Q138" s="54"/>
      <c r="R138" s="54"/>
      <c r="S138" s="54"/>
      <c r="T138" s="54"/>
      <c r="U138" s="54"/>
      <c r="V138" s="41" t="s">
        <v>208</v>
      </c>
      <c r="W138" s="168">
        <v>1.4999999999999999E-2</v>
      </c>
      <c r="X138" s="116"/>
      <c r="Y138" s="65" t="s">
        <v>582</v>
      </c>
      <c r="Z138" s="65" t="s">
        <v>583</v>
      </c>
      <c r="AA138" s="41" t="s">
        <v>179</v>
      </c>
      <c r="AB138" s="130">
        <f t="shared" ca="1" si="10"/>
        <v>2.2499999999999998E-3</v>
      </c>
      <c r="AC138" s="130">
        <f t="shared" ca="1" si="11"/>
        <v>1.2749999999999999E-2</v>
      </c>
      <c r="AD138" s="176">
        <f t="shared" si="12"/>
        <v>7</v>
      </c>
      <c r="AE138" s="177">
        <f t="shared" si="13"/>
        <v>30</v>
      </c>
      <c r="AF138" s="177">
        <f t="shared" si="14"/>
        <v>2</v>
      </c>
      <c r="AG138" s="178">
        <f t="shared" si="15"/>
        <v>6.6666666666666666E-2</v>
      </c>
      <c r="AH138" s="179">
        <f t="shared" si="16"/>
        <v>1E-3</v>
      </c>
      <c r="AI138" s="178">
        <f t="shared" ca="1" si="17"/>
        <v>1.2499999999999998E-3</v>
      </c>
      <c r="AJ138" s="162" t="s">
        <v>384</v>
      </c>
    </row>
    <row r="139" spans="1:171" ht="35.450000000000003" customHeight="1" x14ac:dyDescent="0.2">
      <c r="A139" s="132" t="s">
        <v>46</v>
      </c>
      <c r="B139" s="122" t="s">
        <v>294</v>
      </c>
      <c r="C139" s="121" t="s">
        <v>127</v>
      </c>
      <c r="D139" s="121" t="s">
        <v>95</v>
      </c>
      <c r="E139" s="121" t="s">
        <v>165</v>
      </c>
      <c r="F139" s="124" t="s">
        <v>222</v>
      </c>
      <c r="G139" s="44" t="str">
        <f t="shared" si="9"/>
        <v xml:space="preserve">Director Jurídico </v>
      </c>
      <c r="H139" s="116">
        <v>44376</v>
      </c>
      <c r="I139" s="116">
        <v>44379</v>
      </c>
      <c r="J139" s="54"/>
      <c r="K139" s="54"/>
      <c r="L139" s="54"/>
      <c r="M139" s="54"/>
      <c r="N139" s="54"/>
      <c r="O139" s="54"/>
      <c r="P139" s="54"/>
      <c r="Q139" s="54"/>
      <c r="R139" s="54"/>
      <c r="S139" s="54"/>
      <c r="T139" s="54"/>
      <c r="U139" s="54"/>
      <c r="V139" s="119" t="s">
        <v>297</v>
      </c>
      <c r="W139" s="168">
        <v>1E-3</v>
      </c>
      <c r="X139" s="116"/>
      <c r="Y139" s="65" t="s">
        <v>549</v>
      </c>
      <c r="Z139" s="65" t="s">
        <v>548</v>
      </c>
      <c r="AA139" s="41" t="s">
        <v>151</v>
      </c>
      <c r="AB139" s="130">
        <f t="shared" ca="1" si="10"/>
        <v>8.0000000000000004E-4</v>
      </c>
      <c r="AC139" s="130">
        <f t="shared" ca="1" si="11"/>
        <v>1.9999999999999998E-4</v>
      </c>
      <c r="AD139" s="176">
        <f t="shared" si="12"/>
        <v>7</v>
      </c>
      <c r="AE139" s="177">
        <f t="shared" si="13"/>
        <v>3</v>
      </c>
      <c r="AF139" s="177">
        <f t="shared" si="14"/>
        <v>1</v>
      </c>
      <c r="AG139" s="178">
        <f t="shared" si="15"/>
        <v>0.33333333333333331</v>
      </c>
      <c r="AH139" s="179">
        <f t="shared" si="16"/>
        <v>3.3333333333333332E-4</v>
      </c>
      <c r="AI139" s="178">
        <f t="shared" ca="1" si="17"/>
        <v>4.6666666666666672E-4</v>
      </c>
      <c r="AJ139" s="162" t="s">
        <v>384</v>
      </c>
    </row>
    <row r="140" spans="1:171" ht="35.450000000000003" customHeight="1" x14ac:dyDescent="0.2">
      <c r="A140" s="121" t="s">
        <v>45</v>
      </c>
      <c r="B140" s="122" t="s">
        <v>272</v>
      </c>
      <c r="C140" s="121" t="s">
        <v>90</v>
      </c>
      <c r="D140" s="121" t="s">
        <v>97</v>
      </c>
      <c r="E140" s="121" t="s">
        <v>165</v>
      </c>
      <c r="F140" s="124" t="s">
        <v>222</v>
      </c>
      <c r="G140" s="44" t="str">
        <f t="shared" si="9"/>
        <v>Asesor de Control Interno</v>
      </c>
      <c r="H140" s="116">
        <v>44376</v>
      </c>
      <c r="I140" s="116">
        <v>44379</v>
      </c>
      <c r="J140" s="54"/>
      <c r="K140" s="54"/>
      <c r="L140" s="54"/>
      <c r="M140" s="54"/>
      <c r="N140" s="54"/>
      <c r="O140" s="54"/>
      <c r="P140" s="54"/>
      <c r="Q140" s="54"/>
      <c r="R140" s="54"/>
      <c r="S140" s="54"/>
      <c r="T140" s="54"/>
      <c r="U140" s="54"/>
      <c r="V140" s="121" t="s">
        <v>208</v>
      </c>
      <c r="W140" s="168">
        <v>3.0000000000000001E-3</v>
      </c>
      <c r="X140" s="116"/>
      <c r="Y140" s="122" t="s">
        <v>372</v>
      </c>
      <c r="Z140" s="65" t="s">
        <v>550</v>
      </c>
      <c r="AA140" s="41" t="s">
        <v>60</v>
      </c>
      <c r="AB140" s="130">
        <f t="shared" ca="1" si="10"/>
        <v>2.3999999999999998E-3</v>
      </c>
      <c r="AC140" s="130">
        <f t="shared" ca="1" si="11"/>
        <v>6.0000000000000027E-4</v>
      </c>
      <c r="AD140" s="176">
        <f t="shared" si="12"/>
        <v>7</v>
      </c>
      <c r="AE140" s="177">
        <f t="shared" si="13"/>
        <v>3</v>
      </c>
      <c r="AF140" s="177">
        <f t="shared" si="14"/>
        <v>1</v>
      </c>
      <c r="AG140" s="178">
        <f t="shared" si="15"/>
        <v>0.33333333333333331</v>
      </c>
      <c r="AH140" s="179">
        <f t="shared" si="16"/>
        <v>1E-3</v>
      </c>
      <c r="AI140" s="178">
        <f t="shared" ca="1" si="17"/>
        <v>1.3999999999999998E-3</v>
      </c>
      <c r="AJ140" s="162" t="s">
        <v>384</v>
      </c>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row>
    <row r="141" spans="1:171" ht="35.450000000000003" customHeight="1" x14ac:dyDescent="0.2">
      <c r="A141" s="121" t="s">
        <v>45</v>
      </c>
      <c r="B141" s="122" t="s">
        <v>114</v>
      </c>
      <c r="C141" s="121" t="s">
        <v>90</v>
      </c>
      <c r="D141" s="121" t="s">
        <v>97</v>
      </c>
      <c r="E141" s="121" t="s">
        <v>165</v>
      </c>
      <c r="F141" s="124" t="s">
        <v>222</v>
      </c>
      <c r="G141" s="44" t="str">
        <f t="shared" si="9"/>
        <v>Asesor de Control Interno</v>
      </c>
      <c r="H141" s="116">
        <v>44378</v>
      </c>
      <c r="I141" s="116">
        <v>44384</v>
      </c>
      <c r="J141" s="54"/>
      <c r="K141" s="54"/>
      <c r="L141" s="54"/>
      <c r="M141" s="54"/>
      <c r="N141" s="54"/>
      <c r="O141" s="54"/>
      <c r="P141" s="54"/>
      <c r="Q141" s="54"/>
      <c r="R141" s="54"/>
      <c r="S141" s="54"/>
      <c r="T141" s="54"/>
      <c r="U141" s="54"/>
      <c r="V141" s="121" t="s">
        <v>195</v>
      </c>
      <c r="W141" s="168">
        <v>3.0000000000000001E-3</v>
      </c>
      <c r="X141" s="116"/>
      <c r="Y141" s="122"/>
      <c r="Z141" s="65"/>
      <c r="AA141" s="41"/>
      <c r="AB141" s="63">
        <f t="shared" ca="1" si="10"/>
        <v>0</v>
      </c>
      <c r="AC141" s="63">
        <f t="shared" ca="1" si="11"/>
        <v>3.0000000000000001E-3</v>
      </c>
      <c r="AD141" s="176">
        <f t="shared" si="12"/>
        <v>7</v>
      </c>
      <c r="AE141" s="177">
        <f t="shared" si="13"/>
        <v>6</v>
      </c>
      <c r="AF141" s="177">
        <f t="shared" si="14"/>
        <v>-1</v>
      </c>
      <c r="AG141" s="178">
        <f t="shared" si="15"/>
        <v>-0.16666666666666666</v>
      </c>
      <c r="AH141" s="179">
        <f t="shared" si="16"/>
        <v>-5.0000000000000001E-4</v>
      </c>
      <c r="AI141" s="178">
        <f t="shared" ca="1" si="17"/>
        <v>5.0000000000000001E-4</v>
      </c>
      <c r="AJ141" s="180" t="s">
        <v>508</v>
      </c>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row>
    <row r="142" spans="1:171" ht="35.450000000000003" customHeight="1" x14ac:dyDescent="0.2">
      <c r="A142" s="121" t="s">
        <v>45</v>
      </c>
      <c r="B142" s="122" t="s">
        <v>237</v>
      </c>
      <c r="C142" s="121" t="s">
        <v>90</v>
      </c>
      <c r="D142" s="121" t="s">
        <v>97</v>
      </c>
      <c r="E142" s="121" t="s">
        <v>165</v>
      </c>
      <c r="F142" s="123" t="s">
        <v>160</v>
      </c>
      <c r="G142" s="44" t="str">
        <f t="shared" si="9"/>
        <v>Asesor de Control Interno</v>
      </c>
      <c r="H142" s="116">
        <v>44378</v>
      </c>
      <c r="I142" s="116">
        <v>44385</v>
      </c>
      <c r="J142" s="54"/>
      <c r="K142" s="54"/>
      <c r="L142" s="54"/>
      <c r="M142" s="54"/>
      <c r="N142" s="54"/>
      <c r="O142" s="54"/>
      <c r="P142" s="54"/>
      <c r="Q142" s="54"/>
      <c r="R142" s="54"/>
      <c r="S142" s="54"/>
      <c r="T142" s="54"/>
      <c r="U142" s="54"/>
      <c r="V142" s="121" t="s">
        <v>208</v>
      </c>
      <c r="W142" s="168">
        <v>4.0000000000000001E-3</v>
      </c>
      <c r="X142" s="116"/>
      <c r="Y142" s="122"/>
      <c r="Z142" s="65"/>
      <c r="AA142" s="41"/>
      <c r="AB142" s="63">
        <f t="shared" ca="1" si="10"/>
        <v>0</v>
      </c>
      <c r="AC142" s="63">
        <f t="shared" ca="1" si="11"/>
        <v>4.0000000000000001E-3</v>
      </c>
      <c r="AD142" s="176">
        <f t="shared" si="12"/>
        <v>7</v>
      </c>
      <c r="AE142" s="177">
        <f t="shared" si="13"/>
        <v>7</v>
      </c>
      <c r="AF142" s="177">
        <f t="shared" si="14"/>
        <v>-1</v>
      </c>
      <c r="AG142" s="178">
        <f t="shared" si="15"/>
        <v>-0.14285714285714285</v>
      </c>
      <c r="AH142" s="179">
        <f t="shared" si="16"/>
        <v>-5.7142857142857136E-4</v>
      </c>
      <c r="AI142" s="178">
        <f t="shared" ca="1" si="17"/>
        <v>5.7142857142857136E-4</v>
      </c>
      <c r="AJ142" s="180" t="s">
        <v>508</v>
      </c>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row>
    <row r="143" spans="1:171" s="23" customFormat="1" ht="35.450000000000003" customHeight="1" x14ac:dyDescent="0.2">
      <c r="A143" s="132" t="s">
        <v>44</v>
      </c>
      <c r="B143" s="122" t="s">
        <v>310</v>
      </c>
      <c r="C143" s="121" t="s">
        <v>127</v>
      </c>
      <c r="D143" s="121" t="s">
        <v>95</v>
      </c>
      <c r="E143" s="121" t="s">
        <v>165</v>
      </c>
      <c r="F143" s="124" t="s">
        <v>160</v>
      </c>
      <c r="G143" s="44" t="str">
        <f t="shared" si="9"/>
        <v xml:space="preserve">Director Jurídico </v>
      </c>
      <c r="H143" s="116">
        <v>44378</v>
      </c>
      <c r="I143" s="116">
        <v>44386</v>
      </c>
      <c r="J143" s="54"/>
      <c r="K143" s="54"/>
      <c r="L143" s="54"/>
      <c r="M143" s="54"/>
      <c r="N143" s="54"/>
      <c r="O143" s="54"/>
      <c r="P143" s="54"/>
      <c r="Q143" s="54"/>
      <c r="R143" s="54"/>
      <c r="S143" s="54"/>
      <c r="T143" s="54"/>
      <c r="U143" s="54"/>
      <c r="V143" s="121" t="s">
        <v>123</v>
      </c>
      <c r="W143" s="168">
        <v>2.5000000000000001E-3</v>
      </c>
      <c r="X143" s="116"/>
      <c r="Y143" s="73"/>
      <c r="Z143" s="65"/>
      <c r="AA143" s="41"/>
      <c r="AB143" s="63">
        <f t="shared" ca="1" si="10"/>
        <v>0</v>
      </c>
      <c r="AC143" s="63">
        <f t="shared" ca="1" si="11"/>
        <v>2.5000000000000001E-3</v>
      </c>
      <c r="AD143" s="176">
        <f t="shared" si="12"/>
        <v>7</v>
      </c>
      <c r="AE143" s="177">
        <f t="shared" si="13"/>
        <v>8</v>
      </c>
      <c r="AF143" s="177">
        <f t="shared" si="14"/>
        <v>-1</v>
      </c>
      <c r="AG143" s="178">
        <f t="shared" si="15"/>
        <v>-0.125</v>
      </c>
      <c r="AH143" s="179">
        <f t="shared" si="16"/>
        <v>-3.1250000000000001E-4</v>
      </c>
      <c r="AI143" s="178">
        <f t="shared" ca="1" si="17"/>
        <v>3.1250000000000001E-4</v>
      </c>
      <c r="AJ143" s="180" t="s">
        <v>508</v>
      </c>
    </row>
    <row r="144" spans="1:171" s="23" customFormat="1" ht="35.450000000000003" customHeight="1" x14ac:dyDescent="0.2">
      <c r="A144" s="132" t="s">
        <v>46</v>
      </c>
      <c r="B144" s="122" t="s">
        <v>93</v>
      </c>
      <c r="C144" s="121" t="s">
        <v>89</v>
      </c>
      <c r="D144" s="121" t="s">
        <v>96</v>
      </c>
      <c r="E144" s="121" t="s">
        <v>165</v>
      </c>
      <c r="F144" s="123" t="s">
        <v>223</v>
      </c>
      <c r="G144" s="44" t="str">
        <f t="shared" si="9"/>
        <v>Subdirector Financiero</v>
      </c>
      <c r="H144" s="116">
        <v>44378</v>
      </c>
      <c r="I144" s="116">
        <v>44389</v>
      </c>
      <c r="J144" s="54"/>
      <c r="K144" s="54"/>
      <c r="L144" s="54"/>
      <c r="M144" s="54"/>
      <c r="N144" s="54"/>
      <c r="O144" s="54"/>
      <c r="P144" s="54"/>
      <c r="Q144" s="54"/>
      <c r="R144" s="54"/>
      <c r="S144" s="54"/>
      <c r="T144" s="54"/>
      <c r="U144" s="54"/>
      <c r="V144" s="121" t="s">
        <v>312</v>
      </c>
      <c r="W144" s="168">
        <v>1E-3</v>
      </c>
      <c r="X144" s="116"/>
      <c r="Y144" s="65"/>
      <c r="Z144" s="65"/>
      <c r="AA144" s="41"/>
      <c r="AB144" s="63">
        <f t="shared" ca="1" si="10"/>
        <v>0</v>
      </c>
      <c r="AC144" s="63">
        <f t="shared" ca="1" si="11"/>
        <v>1E-3</v>
      </c>
      <c r="AD144" s="176">
        <f t="shared" si="12"/>
        <v>7</v>
      </c>
      <c r="AE144" s="177">
        <f t="shared" si="13"/>
        <v>11</v>
      </c>
      <c r="AF144" s="177">
        <f t="shared" si="14"/>
        <v>-1</v>
      </c>
      <c r="AG144" s="178">
        <f t="shared" si="15"/>
        <v>-9.0909090909090912E-2</v>
      </c>
      <c r="AH144" s="179">
        <f t="shared" si="16"/>
        <v>-9.0909090909090917E-5</v>
      </c>
      <c r="AI144" s="178">
        <f t="shared" ca="1" si="17"/>
        <v>9.0909090909090917E-5</v>
      </c>
      <c r="AJ144" s="180" t="s">
        <v>508</v>
      </c>
    </row>
    <row r="145" spans="1:36" s="23" customFormat="1" ht="35.450000000000003" customHeight="1" x14ac:dyDescent="0.2">
      <c r="A145" s="132" t="s">
        <v>44</v>
      </c>
      <c r="B145" s="122" t="s">
        <v>92</v>
      </c>
      <c r="C145" s="121" t="s">
        <v>89</v>
      </c>
      <c r="D145" s="121" t="s">
        <v>96</v>
      </c>
      <c r="E145" s="121" t="s">
        <v>165</v>
      </c>
      <c r="F145" s="123" t="s">
        <v>196</v>
      </c>
      <c r="G145" s="44" t="str">
        <f t="shared" si="9"/>
        <v>Subdirector Financiero</v>
      </c>
      <c r="H145" s="116">
        <v>44378</v>
      </c>
      <c r="I145" s="116">
        <v>44389</v>
      </c>
      <c r="J145" s="54"/>
      <c r="K145" s="54"/>
      <c r="L145" s="54"/>
      <c r="M145" s="54"/>
      <c r="N145" s="54"/>
      <c r="O145" s="54"/>
      <c r="P145" s="54"/>
      <c r="Q145" s="54"/>
      <c r="R145" s="54"/>
      <c r="S145" s="54"/>
      <c r="T145" s="54"/>
      <c r="U145" s="54"/>
      <c r="V145" s="121" t="s">
        <v>123</v>
      </c>
      <c r="W145" s="168">
        <v>1E-3</v>
      </c>
      <c r="X145" s="116"/>
      <c r="Y145" s="122"/>
      <c r="Z145" s="122"/>
      <c r="AA145" s="41"/>
      <c r="AB145" s="63">
        <f t="shared" ca="1" si="10"/>
        <v>0</v>
      </c>
      <c r="AC145" s="63">
        <f t="shared" ca="1" si="11"/>
        <v>1E-3</v>
      </c>
      <c r="AD145" s="176">
        <f t="shared" si="12"/>
        <v>7</v>
      </c>
      <c r="AE145" s="177">
        <f t="shared" si="13"/>
        <v>11</v>
      </c>
      <c r="AF145" s="177">
        <f t="shared" si="14"/>
        <v>-1</v>
      </c>
      <c r="AG145" s="178">
        <f t="shared" si="15"/>
        <v>-9.0909090909090912E-2</v>
      </c>
      <c r="AH145" s="179">
        <f t="shared" si="16"/>
        <v>-9.0909090909090917E-5</v>
      </c>
      <c r="AI145" s="178">
        <f t="shared" ca="1" si="17"/>
        <v>9.0909090909090917E-5</v>
      </c>
      <c r="AJ145" s="180" t="s">
        <v>508</v>
      </c>
    </row>
    <row r="146" spans="1:36" s="23" customFormat="1" ht="35.450000000000003" customHeight="1" x14ac:dyDescent="0.2">
      <c r="A146" s="132" t="s">
        <v>44</v>
      </c>
      <c r="B146" s="122" t="s">
        <v>202</v>
      </c>
      <c r="C146" s="121" t="s">
        <v>87</v>
      </c>
      <c r="D146" s="121" t="s">
        <v>96</v>
      </c>
      <c r="E146" s="121" t="s">
        <v>165</v>
      </c>
      <c r="F146" s="123" t="s">
        <v>223</v>
      </c>
      <c r="G146" s="44" t="str">
        <f t="shared" si="9"/>
        <v>Subdirector Administrativo</v>
      </c>
      <c r="H146" s="116">
        <v>44378</v>
      </c>
      <c r="I146" s="116">
        <v>44400</v>
      </c>
      <c r="J146" s="54"/>
      <c r="K146" s="54"/>
      <c r="L146" s="54"/>
      <c r="M146" s="54"/>
      <c r="N146" s="54"/>
      <c r="O146" s="54"/>
      <c r="P146" s="54"/>
      <c r="Q146" s="54"/>
      <c r="R146" s="54"/>
      <c r="S146" s="54"/>
      <c r="T146" s="54"/>
      <c r="U146" s="54"/>
      <c r="V146" s="121" t="s">
        <v>123</v>
      </c>
      <c r="W146" s="168">
        <v>7.4999999999999997E-3</v>
      </c>
      <c r="X146" s="116"/>
      <c r="Y146" s="122"/>
      <c r="Z146" s="65"/>
      <c r="AA146" s="41"/>
      <c r="AB146" s="63">
        <f t="shared" ca="1" si="10"/>
        <v>0</v>
      </c>
      <c r="AC146" s="63">
        <f t="shared" ca="1" si="11"/>
        <v>7.4999999999999997E-3</v>
      </c>
      <c r="AD146" s="176">
        <f t="shared" si="12"/>
        <v>7</v>
      </c>
      <c r="AE146" s="177">
        <f t="shared" si="13"/>
        <v>22</v>
      </c>
      <c r="AF146" s="177">
        <f t="shared" si="14"/>
        <v>-1</v>
      </c>
      <c r="AG146" s="178">
        <f t="shared" si="15"/>
        <v>-4.5454545454545456E-2</v>
      </c>
      <c r="AH146" s="179">
        <f t="shared" si="16"/>
        <v>-3.4090909090909088E-4</v>
      </c>
      <c r="AI146" s="178">
        <f t="shared" ca="1" si="17"/>
        <v>3.4090909090909088E-4</v>
      </c>
      <c r="AJ146" s="180" t="s">
        <v>508</v>
      </c>
    </row>
    <row r="147" spans="1:36" s="23" customFormat="1" ht="35.450000000000003" customHeight="1" x14ac:dyDescent="0.2">
      <c r="A147" s="132" t="s">
        <v>50</v>
      </c>
      <c r="B147" s="122" t="s">
        <v>115</v>
      </c>
      <c r="C147" s="121" t="s">
        <v>140</v>
      </c>
      <c r="D147" s="121" t="s">
        <v>100</v>
      </c>
      <c r="E147" s="121" t="s">
        <v>165</v>
      </c>
      <c r="F147" s="123" t="s">
        <v>159</v>
      </c>
      <c r="G147" s="44" t="str">
        <f t="shared" ref="G147:G210" si="18">IF(LEN(C147)&gt;0,VLOOKUP(C147,PROCESO2,3,0),"")</f>
        <v>Director de Gestión Corporativa y CID</v>
      </c>
      <c r="H147" s="116">
        <v>44378</v>
      </c>
      <c r="I147" s="116">
        <v>44405</v>
      </c>
      <c r="J147" s="54"/>
      <c r="K147" s="54"/>
      <c r="L147" s="54"/>
      <c r="M147" s="54"/>
      <c r="N147" s="54"/>
      <c r="O147" s="54"/>
      <c r="P147" s="54"/>
      <c r="Q147" s="54"/>
      <c r="R147" s="54"/>
      <c r="S147" s="54"/>
      <c r="T147" s="54"/>
      <c r="U147" s="54"/>
      <c r="V147" s="121" t="s">
        <v>123</v>
      </c>
      <c r="W147" s="168">
        <v>4.8500000000000001E-3</v>
      </c>
      <c r="X147" s="116"/>
      <c r="Y147" s="65"/>
      <c r="Z147" s="65"/>
      <c r="AA147" s="41"/>
      <c r="AB147" s="63">
        <f t="shared" ref="AB147:AB210" ca="1" si="19">IF(ISERROR(VLOOKUP(AA147,INDIRECT(VLOOKUP(A147,ACTA,2,0)&amp;"A"),2,0))=TRUE,0,W147*(VLOOKUP(AA147,INDIRECT(VLOOKUP(A147,ACTA,2,0)&amp;"A"),2,0)))</f>
        <v>0</v>
      </c>
      <c r="AC147" s="63">
        <f t="shared" ref="AC147:AC210" ca="1" si="20">+W147-AB147</f>
        <v>4.8500000000000001E-3</v>
      </c>
      <c r="AD147" s="176">
        <f t="shared" si="12"/>
        <v>7</v>
      </c>
      <c r="AE147" s="177">
        <f t="shared" si="13"/>
        <v>27</v>
      </c>
      <c r="AF147" s="177">
        <f t="shared" si="14"/>
        <v>-1</v>
      </c>
      <c r="AG147" s="178">
        <f t="shared" si="15"/>
        <v>-3.7037037037037035E-2</v>
      </c>
      <c r="AH147" s="179">
        <f t="shared" si="16"/>
        <v>-1.7962962962962963E-4</v>
      </c>
      <c r="AI147" s="178">
        <f t="shared" ca="1" si="17"/>
        <v>1.7962962962962963E-4</v>
      </c>
      <c r="AJ147" s="180" t="s">
        <v>508</v>
      </c>
    </row>
    <row r="148" spans="1:36" s="23" customFormat="1" ht="35.450000000000003" customHeight="1" x14ac:dyDescent="0.2">
      <c r="A148" s="121" t="s">
        <v>44</v>
      </c>
      <c r="B148" s="122" t="s">
        <v>205</v>
      </c>
      <c r="C148" s="121" t="s">
        <v>73</v>
      </c>
      <c r="D148" s="121" t="s">
        <v>95</v>
      </c>
      <c r="E148" s="121" t="s">
        <v>165</v>
      </c>
      <c r="F148" s="124" t="s">
        <v>222</v>
      </c>
      <c r="G148" s="44" t="str">
        <f t="shared" si="18"/>
        <v xml:space="preserve">Jefe Oficina Asesora de Planeación </v>
      </c>
      <c r="H148" s="195">
        <v>44389</v>
      </c>
      <c r="I148" s="195">
        <v>44403</v>
      </c>
      <c r="J148" s="54"/>
      <c r="K148" s="54"/>
      <c r="L148" s="54"/>
      <c r="M148" s="54"/>
      <c r="N148" s="54"/>
      <c r="O148" s="54"/>
      <c r="P148" s="54"/>
      <c r="Q148" s="54"/>
      <c r="R148" s="54"/>
      <c r="S148" s="54"/>
      <c r="T148" s="54"/>
      <c r="U148" s="54"/>
      <c r="V148" s="41" t="s">
        <v>123</v>
      </c>
      <c r="W148" s="168">
        <v>0.01</v>
      </c>
      <c r="X148" s="116"/>
      <c r="Y148" s="65"/>
      <c r="Z148" s="65"/>
      <c r="AA148" s="41"/>
      <c r="AB148" s="63">
        <f t="shared" ca="1" si="19"/>
        <v>0</v>
      </c>
      <c r="AC148" s="63">
        <f t="shared" ca="1" si="20"/>
        <v>0.01</v>
      </c>
      <c r="AD148" s="176">
        <f t="shared" si="12"/>
        <v>7</v>
      </c>
      <c r="AE148" s="177">
        <f t="shared" si="13"/>
        <v>14</v>
      </c>
      <c r="AF148" s="177">
        <f t="shared" si="14"/>
        <v>-12</v>
      </c>
      <c r="AG148" s="178">
        <f t="shared" si="15"/>
        <v>-0.8571428571428571</v>
      </c>
      <c r="AH148" s="179">
        <f t="shared" si="16"/>
        <v>-8.5714285714285719E-3</v>
      </c>
      <c r="AI148" s="178">
        <f t="shared" ca="1" si="17"/>
        <v>8.5714285714285719E-3</v>
      </c>
      <c r="AJ148" s="180" t="s">
        <v>508</v>
      </c>
    </row>
    <row r="149" spans="1:36" s="23" customFormat="1" ht="35.450000000000003" customHeight="1" x14ac:dyDescent="0.2">
      <c r="A149" s="121" t="s">
        <v>52</v>
      </c>
      <c r="B149" s="122" t="s">
        <v>283</v>
      </c>
      <c r="C149" s="121" t="s">
        <v>90</v>
      </c>
      <c r="D149" s="121" t="s">
        <v>97</v>
      </c>
      <c r="E149" s="121" t="s">
        <v>165</v>
      </c>
      <c r="F149" s="123" t="s">
        <v>160</v>
      </c>
      <c r="G149" s="44" t="str">
        <f t="shared" si="18"/>
        <v>Asesor de Control Interno</v>
      </c>
      <c r="H149" s="116">
        <v>44396</v>
      </c>
      <c r="I149" s="116">
        <v>44421</v>
      </c>
      <c r="J149" s="54"/>
      <c r="K149" s="54"/>
      <c r="L149" s="54"/>
      <c r="M149" s="54"/>
      <c r="N149" s="54"/>
      <c r="O149" s="54"/>
      <c r="P149" s="54"/>
      <c r="Q149" s="54"/>
      <c r="R149" s="54"/>
      <c r="S149" s="54"/>
      <c r="T149" s="54"/>
      <c r="U149" s="54"/>
      <c r="V149" s="121" t="s">
        <v>314</v>
      </c>
      <c r="W149" s="170">
        <v>1.4999999999999999E-2</v>
      </c>
      <c r="X149" s="116"/>
      <c r="Y149" s="65"/>
      <c r="Z149" s="65"/>
      <c r="AA149" s="41"/>
      <c r="AB149" s="63">
        <f t="shared" ca="1" si="19"/>
        <v>0</v>
      </c>
      <c r="AC149" s="63">
        <f t="shared" ca="1" si="20"/>
        <v>1.4999999999999999E-2</v>
      </c>
      <c r="AD149" s="176">
        <f t="shared" si="12"/>
        <v>8</v>
      </c>
      <c r="AE149" s="177">
        <f t="shared" si="13"/>
        <v>25</v>
      </c>
      <c r="AF149" s="177">
        <f t="shared" si="14"/>
        <v>-19</v>
      </c>
      <c r="AG149" s="178">
        <f t="shared" si="15"/>
        <v>-0.76</v>
      </c>
      <c r="AH149" s="179">
        <f t="shared" si="16"/>
        <v>-1.14E-2</v>
      </c>
      <c r="AI149" s="178">
        <f t="shared" ca="1" si="17"/>
        <v>1.14E-2</v>
      </c>
      <c r="AJ149" s="180" t="s">
        <v>508</v>
      </c>
    </row>
    <row r="150" spans="1:36" s="23" customFormat="1" ht="35.450000000000003" customHeight="1" x14ac:dyDescent="0.2">
      <c r="A150" s="121" t="s">
        <v>43</v>
      </c>
      <c r="B150" s="122" t="s">
        <v>500</v>
      </c>
      <c r="C150" s="121" t="s">
        <v>90</v>
      </c>
      <c r="D150" s="121" t="s">
        <v>97</v>
      </c>
      <c r="E150" s="121" t="s">
        <v>165</v>
      </c>
      <c r="F150" s="124" t="s">
        <v>222</v>
      </c>
      <c r="G150" s="44" t="str">
        <f t="shared" si="18"/>
        <v>Asesor de Control Interno</v>
      </c>
      <c r="H150" s="195">
        <v>44403</v>
      </c>
      <c r="I150" s="195">
        <v>44428</v>
      </c>
      <c r="J150" s="54"/>
      <c r="K150" s="54"/>
      <c r="L150" s="54"/>
      <c r="M150" s="54"/>
      <c r="N150" s="54"/>
      <c r="O150" s="54"/>
      <c r="P150" s="54"/>
      <c r="Q150" s="54"/>
      <c r="R150" s="54"/>
      <c r="S150" s="54"/>
      <c r="T150" s="54"/>
      <c r="U150" s="54"/>
      <c r="V150" s="121" t="s">
        <v>314</v>
      </c>
      <c r="W150" s="170">
        <v>4.0000000000000001E-3</v>
      </c>
      <c r="X150" s="116"/>
      <c r="Y150" s="65"/>
      <c r="Z150" s="65"/>
      <c r="AA150" s="41"/>
      <c r="AB150" s="63">
        <f t="shared" ca="1" si="19"/>
        <v>0</v>
      </c>
      <c r="AC150" s="63">
        <f t="shared" ca="1" si="20"/>
        <v>4.0000000000000001E-3</v>
      </c>
      <c r="AD150" s="176">
        <f t="shared" si="12"/>
        <v>8</v>
      </c>
      <c r="AE150" s="177">
        <f t="shared" si="13"/>
        <v>25</v>
      </c>
      <c r="AF150" s="177">
        <f t="shared" si="14"/>
        <v>-26</v>
      </c>
      <c r="AG150" s="178">
        <f t="shared" si="15"/>
        <v>-1.04</v>
      </c>
      <c r="AH150" s="179">
        <f t="shared" si="16"/>
        <v>-4.1600000000000005E-3</v>
      </c>
      <c r="AI150" s="178">
        <f t="shared" ca="1" si="17"/>
        <v>4.1600000000000005E-3</v>
      </c>
      <c r="AJ150" s="180" t="s">
        <v>508</v>
      </c>
    </row>
    <row r="151" spans="1:36" s="23" customFormat="1" ht="35.450000000000003" customHeight="1" x14ac:dyDescent="0.2">
      <c r="A151" s="121" t="s">
        <v>45</v>
      </c>
      <c r="B151" s="42" t="s">
        <v>272</v>
      </c>
      <c r="C151" s="121" t="s">
        <v>90</v>
      </c>
      <c r="D151" s="121" t="s">
        <v>97</v>
      </c>
      <c r="E151" s="121" t="s">
        <v>165</v>
      </c>
      <c r="F151" s="124" t="s">
        <v>222</v>
      </c>
      <c r="G151" s="44" t="str">
        <f t="shared" si="18"/>
        <v>Asesor de Control Interno</v>
      </c>
      <c r="H151" s="116">
        <v>44405</v>
      </c>
      <c r="I151" s="116">
        <v>44411</v>
      </c>
      <c r="J151" s="54"/>
      <c r="K151" s="54"/>
      <c r="L151" s="54"/>
      <c r="M151" s="54"/>
      <c r="N151" s="54"/>
      <c r="O151" s="54"/>
      <c r="P151" s="54"/>
      <c r="Q151" s="54"/>
      <c r="R151" s="54"/>
      <c r="S151" s="54"/>
      <c r="T151" s="54"/>
      <c r="U151" s="54"/>
      <c r="V151" s="121" t="s">
        <v>208</v>
      </c>
      <c r="W151" s="168">
        <v>3.0000000000000001E-3</v>
      </c>
      <c r="X151" s="116"/>
      <c r="Y151" s="122"/>
      <c r="Z151" s="65"/>
      <c r="AA151" s="41"/>
      <c r="AB151" s="63">
        <f t="shared" ca="1" si="19"/>
        <v>0</v>
      </c>
      <c r="AC151" s="63">
        <f t="shared" ca="1" si="20"/>
        <v>3.0000000000000001E-3</v>
      </c>
      <c r="AD151" s="176">
        <f t="shared" si="12"/>
        <v>8</v>
      </c>
      <c r="AE151" s="177">
        <f t="shared" si="13"/>
        <v>6</v>
      </c>
      <c r="AF151" s="177">
        <f t="shared" si="14"/>
        <v>-28</v>
      </c>
      <c r="AG151" s="178">
        <f t="shared" si="15"/>
        <v>-4.666666666666667</v>
      </c>
      <c r="AH151" s="179">
        <f t="shared" si="16"/>
        <v>-1.4000000000000002E-2</v>
      </c>
      <c r="AI151" s="178">
        <f t="shared" ca="1" si="17"/>
        <v>1.4000000000000002E-2</v>
      </c>
      <c r="AJ151" s="180" t="s">
        <v>508</v>
      </c>
    </row>
    <row r="152" spans="1:36" s="23" customFormat="1" ht="35.450000000000003" customHeight="1" x14ac:dyDescent="0.2">
      <c r="A152" s="132" t="s">
        <v>46</v>
      </c>
      <c r="B152" s="122" t="s">
        <v>294</v>
      </c>
      <c r="C152" s="121" t="s">
        <v>82</v>
      </c>
      <c r="D152" s="121" t="s">
        <v>100</v>
      </c>
      <c r="E152" s="121" t="s">
        <v>165</v>
      </c>
      <c r="F152" s="124" t="s">
        <v>222</v>
      </c>
      <c r="G152" s="44" t="str">
        <f t="shared" si="18"/>
        <v>Director de Mejoramiento de Barrios</v>
      </c>
      <c r="H152" s="116">
        <v>44406</v>
      </c>
      <c r="I152" s="116">
        <v>44411</v>
      </c>
      <c r="J152" s="54"/>
      <c r="K152" s="54"/>
      <c r="L152" s="54"/>
      <c r="M152" s="54"/>
      <c r="N152" s="54"/>
      <c r="O152" s="54"/>
      <c r="P152" s="54"/>
      <c r="Q152" s="54"/>
      <c r="R152" s="54"/>
      <c r="S152" s="54"/>
      <c r="T152" s="54"/>
      <c r="U152" s="54"/>
      <c r="V152" s="119" t="s">
        <v>297</v>
      </c>
      <c r="W152" s="168">
        <v>1E-3</v>
      </c>
      <c r="X152" s="116"/>
      <c r="Y152" s="65"/>
      <c r="Z152" s="65"/>
      <c r="AA152" s="41"/>
      <c r="AB152" s="63">
        <f t="shared" ca="1" si="19"/>
        <v>0</v>
      </c>
      <c r="AC152" s="63">
        <f t="shared" ca="1" si="20"/>
        <v>1E-3</v>
      </c>
      <c r="AD152" s="176">
        <f t="shared" si="12"/>
        <v>8</v>
      </c>
      <c r="AE152" s="177">
        <f t="shared" si="13"/>
        <v>5</v>
      </c>
      <c r="AF152" s="177">
        <f t="shared" si="14"/>
        <v>-29</v>
      </c>
      <c r="AG152" s="178">
        <f t="shared" si="15"/>
        <v>-5.8</v>
      </c>
      <c r="AH152" s="179">
        <f t="shared" si="16"/>
        <v>-5.7999999999999996E-3</v>
      </c>
      <c r="AI152" s="178">
        <f t="shared" ca="1" si="17"/>
        <v>5.7999999999999996E-3</v>
      </c>
      <c r="AJ152" s="180" t="s">
        <v>508</v>
      </c>
    </row>
    <row r="153" spans="1:36" s="23" customFormat="1" ht="35.450000000000003" customHeight="1" x14ac:dyDescent="0.2">
      <c r="A153" s="121" t="s">
        <v>47</v>
      </c>
      <c r="B153" s="125" t="s">
        <v>192</v>
      </c>
      <c r="C153" s="121" t="s">
        <v>90</v>
      </c>
      <c r="D153" s="121" t="s">
        <v>97</v>
      </c>
      <c r="E153" s="121" t="s">
        <v>165</v>
      </c>
      <c r="F153" s="123" t="s">
        <v>223</v>
      </c>
      <c r="G153" s="44" t="str">
        <f t="shared" si="18"/>
        <v>Asesor de Control Interno</v>
      </c>
      <c r="H153" s="195">
        <v>44406</v>
      </c>
      <c r="I153" s="195">
        <v>44419</v>
      </c>
      <c r="J153" s="54"/>
      <c r="K153" s="54"/>
      <c r="L153" s="54"/>
      <c r="M153" s="54"/>
      <c r="N153" s="54"/>
      <c r="O153" s="54"/>
      <c r="P153" s="54"/>
      <c r="Q153" s="54"/>
      <c r="R153" s="54"/>
      <c r="S153" s="54"/>
      <c r="T153" s="54"/>
      <c r="U153" s="54"/>
      <c r="V153" s="121" t="s">
        <v>208</v>
      </c>
      <c r="W153" s="170">
        <v>5.0000000000000001E-3</v>
      </c>
      <c r="X153" s="169"/>
      <c r="Y153" s="65"/>
      <c r="Z153" s="65"/>
      <c r="AA153" s="41"/>
      <c r="AB153" s="63">
        <f t="shared" ca="1" si="19"/>
        <v>0</v>
      </c>
      <c r="AC153" s="63">
        <f t="shared" ca="1" si="20"/>
        <v>5.0000000000000001E-3</v>
      </c>
      <c r="AD153" s="176">
        <f t="shared" si="12"/>
        <v>8</v>
      </c>
      <c r="AE153" s="177">
        <f t="shared" si="13"/>
        <v>13</v>
      </c>
      <c r="AF153" s="177">
        <f t="shared" si="14"/>
        <v>-29</v>
      </c>
      <c r="AG153" s="178">
        <f t="shared" si="15"/>
        <v>-2.2307692307692308</v>
      </c>
      <c r="AH153" s="179">
        <f t="shared" si="16"/>
        <v>-1.1153846153846155E-2</v>
      </c>
      <c r="AI153" s="178">
        <f t="shared" ca="1" si="17"/>
        <v>1.1153846153846155E-2</v>
      </c>
      <c r="AJ153" s="180" t="s">
        <v>508</v>
      </c>
    </row>
    <row r="154" spans="1:36" s="23" customFormat="1" ht="35.450000000000003" customHeight="1" x14ac:dyDescent="0.2">
      <c r="A154" s="121" t="s">
        <v>46</v>
      </c>
      <c r="B154" s="115" t="s">
        <v>295</v>
      </c>
      <c r="C154" s="121" t="s">
        <v>81</v>
      </c>
      <c r="D154" s="121" t="s">
        <v>100</v>
      </c>
      <c r="E154" s="121" t="s">
        <v>165</v>
      </c>
      <c r="F154" s="123" t="s">
        <v>223</v>
      </c>
      <c r="G154" s="44" t="str">
        <f t="shared" si="18"/>
        <v>Director de Urbanizaciones y Titulación</v>
      </c>
      <c r="H154" s="116">
        <v>44407</v>
      </c>
      <c r="I154" s="116">
        <v>44495</v>
      </c>
      <c r="J154" s="54"/>
      <c r="K154" s="54"/>
      <c r="L154" s="54"/>
      <c r="M154" s="54"/>
      <c r="N154" s="54"/>
      <c r="O154" s="54"/>
      <c r="P154" s="54"/>
      <c r="Q154" s="54"/>
      <c r="R154" s="54"/>
      <c r="S154" s="54"/>
      <c r="T154" s="54"/>
      <c r="U154" s="54"/>
      <c r="V154" s="119" t="s">
        <v>317</v>
      </c>
      <c r="W154" s="170">
        <v>0.01</v>
      </c>
      <c r="X154" s="116"/>
      <c r="Y154" s="65"/>
      <c r="Z154" s="65"/>
      <c r="AA154" s="41"/>
      <c r="AB154" s="63">
        <f t="shared" ca="1" si="19"/>
        <v>0</v>
      </c>
      <c r="AC154" s="63">
        <f t="shared" ca="1" si="20"/>
        <v>0.01</v>
      </c>
      <c r="AD154" s="176">
        <f t="shared" si="12"/>
        <v>10</v>
      </c>
      <c r="AE154" s="177">
        <f t="shared" si="13"/>
        <v>88</v>
      </c>
      <c r="AF154" s="177">
        <f t="shared" si="14"/>
        <v>-30</v>
      </c>
      <c r="AG154" s="178">
        <f t="shared" si="15"/>
        <v>-0.34090909090909088</v>
      </c>
      <c r="AH154" s="179">
        <f t="shared" si="16"/>
        <v>-3.4090909090909089E-3</v>
      </c>
      <c r="AI154" s="178">
        <f t="shared" ca="1" si="17"/>
        <v>3.4090909090909089E-3</v>
      </c>
      <c r="AJ154" s="180" t="s">
        <v>508</v>
      </c>
    </row>
    <row r="155" spans="1:36" s="23" customFormat="1" ht="35.450000000000003" customHeight="1" x14ac:dyDescent="0.2">
      <c r="A155" s="121" t="s">
        <v>45</v>
      </c>
      <c r="B155" s="122" t="s">
        <v>114</v>
      </c>
      <c r="C155" s="121" t="s">
        <v>90</v>
      </c>
      <c r="D155" s="121" t="s">
        <v>97</v>
      </c>
      <c r="E155" s="121" t="s">
        <v>165</v>
      </c>
      <c r="F155" s="124" t="s">
        <v>222</v>
      </c>
      <c r="G155" s="44" t="str">
        <f t="shared" si="18"/>
        <v>Asesor de Control Interno</v>
      </c>
      <c r="H155" s="116">
        <v>44410</v>
      </c>
      <c r="I155" s="116">
        <v>44413</v>
      </c>
      <c r="J155" s="54"/>
      <c r="K155" s="54"/>
      <c r="L155" s="54"/>
      <c r="M155" s="54"/>
      <c r="N155" s="54"/>
      <c r="O155" s="54"/>
      <c r="P155" s="54"/>
      <c r="Q155" s="54"/>
      <c r="R155" s="54"/>
      <c r="S155" s="54"/>
      <c r="T155" s="54"/>
      <c r="U155" s="54"/>
      <c r="V155" s="121" t="s">
        <v>195</v>
      </c>
      <c r="W155" s="168">
        <v>3.0000000000000001E-3</v>
      </c>
      <c r="X155" s="116"/>
      <c r="Y155" s="65"/>
      <c r="Z155" s="65"/>
      <c r="AA155" s="41"/>
      <c r="AB155" s="63">
        <f t="shared" ca="1" si="19"/>
        <v>0</v>
      </c>
      <c r="AC155" s="63">
        <f t="shared" ca="1" si="20"/>
        <v>3.0000000000000001E-3</v>
      </c>
      <c r="AD155" s="176">
        <f t="shared" si="12"/>
        <v>8</v>
      </c>
      <c r="AE155" s="177">
        <f t="shared" si="13"/>
        <v>3</v>
      </c>
      <c r="AF155" s="177">
        <f t="shared" si="14"/>
        <v>-33</v>
      </c>
      <c r="AG155" s="178">
        <f t="shared" si="15"/>
        <v>-11</v>
      </c>
      <c r="AH155" s="179">
        <f t="shared" si="16"/>
        <v>-3.3000000000000002E-2</v>
      </c>
      <c r="AI155" s="178">
        <f t="shared" ca="1" si="17"/>
        <v>3.3000000000000002E-2</v>
      </c>
      <c r="AJ155" s="180" t="s">
        <v>508</v>
      </c>
    </row>
    <row r="156" spans="1:36" s="23" customFormat="1" ht="35.450000000000003" customHeight="1" x14ac:dyDescent="0.2">
      <c r="A156" s="132" t="s">
        <v>46</v>
      </c>
      <c r="B156" s="122" t="s">
        <v>93</v>
      </c>
      <c r="C156" s="121" t="s">
        <v>141</v>
      </c>
      <c r="D156" s="121" t="s">
        <v>96</v>
      </c>
      <c r="E156" s="121" t="s">
        <v>165</v>
      </c>
      <c r="F156" s="123" t="s">
        <v>223</v>
      </c>
      <c r="G156" s="44" t="str">
        <f t="shared" si="18"/>
        <v>Director de Gestión Corporativa y CID</v>
      </c>
      <c r="H156" s="116">
        <v>44410</v>
      </c>
      <c r="I156" s="116">
        <v>44418</v>
      </c>
      <c r="J156" s="54"/>
      <c r="K156" s="54"/>
      <c r="L156" s="54"/>
      <c r="M156" s="54"/>
      <c r="N156" s="54"/>
      <c r="O156" s="54"/>
      <c r="P156" s="54"/>
      <c r="Q156" s="54"/>
      <c r="R156" s="54"/>
      <c r="S156" s="54"/>
      <c r="T156" s="54"/>
      <c r="U156" s="54"/>
      <c r="V156" s="121" t="s">
        <v>312</v>
      </c>
      <c r="W156" s="168">
        <v>1E-3</v>
      </c>
      <c r="X156" s="116"/>
      <c r="Y156" s="122"/>
      <c r="Z156" s="65"/>
      <c r="AA156" s="41"/>
      <c r="AB156" s="63">
        <f t="shared" ca="1" si="19"/>
        <v>0</v>
      </c>
      <c r="AC156" s="63">
        <f t="shared" ca="1" si="20"/>
        <v>1E-3</v>
      </c>
      <c r="AD156" s="176">
        <f t="shared" si="12"/>
        <v>8</v>
      </c>
      <c r="AE156" s="177">
        <f t="shared" si="13"/>
        <v>8</v>
      </c>
      <c r="AF156" s="177">
        <f t="shared" si="14"/>
        <v>-33</v>
      </c>
      <c r="AG156" s="178">
        <f t="shared" si="15"/>
        <v>-4.125</v>
      </c>
      <c r="AH156" s="179">
        <f t="shared" si="16"/>
        <v>-4.1250000000000002E-3</v>
      </c>
      <c r="AI156" s="178">
        <f t="shared" ca="1" si="17"/>
        <v>4.1250000000000002E-3</v>
      </c>
      <c r="AJ156" s="180" t="s">
        <v>508</v>
      </c>
    </row>
    <row r="157" spans="1:36" s="23" customFormat="1" ht="35.450000000000003" customHeight="1" x14ac:dyDescent="0.2">
      <c r="A157" s="132" t="s">
        <v>44</v>
      </c>
      <c r="B157" s="122" t="s">
        <v>92</v>
      </c>
      <c r="C157" s="121" t="s">
        <v>89</v>
      </c>
      <c r="D157" s="121" t="s">
        <v>96</v>
      </c>
      <c r="E157" s="121" t="s">
        <v>165</v>
      </c>
      <c r="F157" s="123" t="s">
        <v>196</v>
      </c>
      <c r="G157" s="44" t="str">
        <f t="shared" si="18"/>
        <v>Subdirector Financiero</v>
      </c>
      <c r="H157" s="116">
        <v>44410</v>
      </c>
      <c r="I157" s="116">
        <v>44418</v>
      </c>
      <c r="J157" s="54"/>
      <c r="K157" s="54"/>
      <c r="L157" s="54"/>
      <c r="M157" s="54"/>
      <c r="N157" s="54"/>
      <c r="O157" s="54"/>
      <c r="P157" s="54"/>
      <c r="Q157" s="54"/>
      <c r="R157" s="54"/>
      <c r="S157" s="54"/>
      <c r="T157" s="54"/>
      <c r="U157" s="54"/>
      <c r="V157" s="121" t="s">
        <v>123</v>
      </c>
      <c r="W157" s="168">
        <v>1E-3</v>
      </c>
      <c r="X157" s="116"/>
      <c r="Y157" s="122"/>
      <c r="Z157" s="65"/>
      <c r="AA157" s="41"/>
      <c r="AB157" s="63">
        <f t="shared" ca="1" si="19"/>
        <v>0</v>
      </c>
      <c r="AC157" s="63">
        <f t="shared" ca="1" si="20"/>
        <v>1E-3</v>
      </c>
      <c r="AD157" s="176">
        <f t="shared" si="12"/>
        <v>8</v>
      </c>
      <c r="AE157" s="177">
        <f t="shared" si="13"/>
        <v>8</v>
      </c>
      <c r="AF157" s="177">
        <f t="shared" si="14"/>
        <v>-33</v>
      </c>
      <c r="AG157" s="178">
        <f t="shared" si="15"/>
        <v>-4.125</v>
      </c>
      <c r="AH157" s="179">
        <f t="shared" si="16"/>
        <v>-4.1250000000000002E-3</v>
      </c>
      <c r="AI157" s="178">
        <f t="shared" ca="1" si="17"/>
        <v>4.1250000000000002E-3</v>
      </c>
      <c r="AJ157" s="180" t="s">
        <v>508</v>
      </c>
    </row>
    <row r="158" spans="1:36" s="23" customFormat="1" ht="35.450000000000003" customHeight="1" x14ac:dyDescent="0.2">
      <c r="A158" s="132" t="s">
        <v>44</v>
      </c>
      <c r="B158" s="122" t="s">
        <v>264</v>
      </c>
      <c r="C158" s="121" t="s">
        <v>89</v>
      </c>
      <c r="D158" s="121" t="s">
        <v>96</v>
      </c>
      <c r="E158" s="121" t="s">
        <v>165</v>
      </c>
      <c r="F158" s="123" t="s">
        <v>159</v>
      </c>
      <c r="G158" s="44" t="str">
        <f t="shared" si="18"/>
        <v>Subdirector Financiero</v>
      </c>
      <c r="H158" s="195">
        <v>44410</v>
      </c>
      <c r="I158" s="195">
        <v>44428</v>
      </c>
      <c r="J158" s="54"/>
      <c r="K158" s="54"/>
      <c r="L158" s="54"/>
      <c r="M158" s="54"/>
      <c r="N158" s="54"/>
      <c r="O158" s="54"/>
      <c r="P158" s="54"/>
      <c r="Q158" s="54"/>
      <c r="R158" s="54"/>
      <c r="S158" s="54"/>
      <c r="T158" s="54"/>
      <c r="U158" s="54"/>
      <c r="V158" s="121" t="s">
        <v>123</v>
      </c>
      <c r="W158" s="168">
        <v>3.0000000000000001E-3</v>
      </c>
      <c r="X158" s="116"/>
      <c r="Y158" s="65"/>
      <c r="Z158" s="65"/>
      <c r="AA158" s="41"/>
      <c r="AB158" s="63">
        <f t="shared" ca="1" si="19"/>
        <v>0</v>
      </c>
      <c r="AC158" s="63">
        <f t="shared" ca="1" si="20"/>
        <v>3.0000000000000001E-3</v>
      </c>
      <c r="AD158" s="176">
        <f t="shared" si="12"/>
        <v>8</v>
      </c>
      <c r="AE158" s="177">
        <f t="shared" si="13"/>
        <v>18</v>
      </c>
      <c r="AF158" s="177">
        <f t="shared" si="14"/>
        <v>-33</v>
      </c>
      <c r="AG158" s="178">
        <f t="shared" si="15"/>
        <v>-1.8333333333333333</v>
      </c>
      <c r="AH158" s="179">
        <f t="shared" si="16"/>
        <v>-5.4999999999999997E-3</v>
      </c>
      <c r="AI158" s="178">
        <f t="shared" ca="1" si="17"/>
        <v>5.4999999999999997E-3</v>
      </c>
      <c r="AJ158" s="180" t="s">
        <v>508</v>
      </c>
    </row>
    <row r="159" spans="1:36" s="23" customFormat="1" ht="35.450000000000003" customHeight="1" x14ac:dyDescent="0.2">
      <c r="A159" s="121" t="s">
        <v>45</v>
      </c>
      <c r="B159" s="122" t="s">
        <v>408</v>
      </c>
      <c r="C159" s="121" t="s">
        <v>90</v>
      </c>
      <c r="D159" s="121" t="s">
        <v>97</v>
      </c>
      <c r="E159" s="121" t="s">
        <v>165</v>
      </c>
      <c r="F159" s="123" t="s">
        <v>196</v>
      </c>
      <c r="G159" s="44" t="str">
        <f t="shared" si="18"/>
        <v>Asesor de Control Interno</v>
      </c>
      <c r="H159" s="158">
        <v>44410</v>
      </c>
      <c r="I159" s="158">
        <v>44428</v>
      </c>
      <c r="J159" s="54"/>
      <c r="K159" s="54"/>
      <c r="L159" s="54"/>
      <c r="M159" s="54"/>
      <c r="N159" s="54"/>
      <c r="O159" s="54"/>
      <c r="P159" s="54"/>
      <c r="Q159" s="54"/>
      <c r="R159" s="54"/>
      <c r="S159" s="54"/>
      <c r="T159" s="54"/>
      <c r="U159" s="54"/>
      <c r="V159" s="121" t="s">
        <v>312</v>
      </c>
      <c r="W159" s="168">
        <v>1E-3</v>
      </c>
      <c r="X159" s="116"/>
      <c r="Y159" s="73"/>
      <c r="Z159" s="65"/>
      <c r="AA159" s="41"/>
      <c r="AB159" s="63">
        <f t="shared" ca="1" si="19"/>
        <v>0</v>
      </c>
      <c r="AC159" s="63">
        <f t="shared" ca="1" si="20"/>
        <v>1E-3</v>
      </c>
      <c r="AD159" s="176">
        <f t="shared" si="12"/>
        <v>8</v>
      </c>
      <c r="AE159" s="177">
        <f t="shared" si="13"/>
        <v>18</v>
      </c>
      <c r="AF159" s="177">
        <f t="shared" si="14"/>
        <v>-33</v>
      </c>
      <c r="AG159" s="178">
        <f t="shared" si="15"/>
        <v>-1.8333333333333333</v>
      </c>
      <c r="AH159" s="179">
        <f t="shared" si="16"/>
        <v>-1.8333333333333333E-3</v>
      </c>
      <c r="AI159" s="178">
        <f t="shared" ca="1" si="17"/>
        <v>1.8333333333333333E-3</v>
      </c>
      <c r="AJ159" s="180" t="s">
        <v>508</v>
      </c>
    </row>
    <row r="160" spans="1:36" s="23" customFormat="1" ht="35.450000000000003" customHeight="1" x14ac:dyDescent="0.2">
      <c r="A160" s="121" t="s">
        <v>51</v>
      </c>
      <c r="B160" s="122" t="s">
        <v>306</v>
      </c>
      <c r="C160" s="121" t="s">
        <v>127</v>
      </c>
      <c r="D160" s="121" t="s">
        <v>95</v>
      </c>
      <c r="E160" s="121" t="s">
        <v>165</v>
      </c>
      <c r="F160" s="123" t="s">
        <v>160</v>
      </c>
      <c r="G160" s="44" t="str">
        <f t="shared" si="18"/>
        <v xml:space="preserve">Director Jurídico </v>
      </c>
      <c r="H160" s="116">
        <v>44425</v>
      </c>
      <c r="I160" s="116">
        <v>44468</v>
      </c>
      <c r="J160" s="54"/>
      <c r="K160" s="54"/>
      <c r="L160" s="54"/>
      <c r="M160" s="54"/>
      <c r="N160" s="54"/>
      <c r="O160" s="54"/>
      <c r="P160" s="54"/>
      <c r="Q160" s="54"/>
      <c r="R160" s="54"/>
      <c r="S160" s="54"/>
      <c r="T160" s="54"/>
      <c r="U160" s="54"/>
      <c r="V160" s="121" t="s">
        <v>123</v>
      </c>
      <c r="W160" s="168">
        <v>5.0000000000000001E-3</v>
      </c>
      <c r="X160" s="116"/>
      <c r="Y160" s="122"/>
      <c r="Z160" s="65"/>
      <c r="AA160" s="41"/>
      <c r="AB160" s="63">
        <f t="shared" ca="1" si="19"/>
        <v>0</v>
      </c>
      <c r="AC160" s="63">
        <f t="shared" ca="1" si="20"/>
        <v>5.0000000000000001E-3</v>
      </c>
      <c r="AD160" s="176">
        <f t="shared" ref="AD160:AD191" si="21">MONTH(I160)</f>
        <v>9</v>
      </c>
      <c r="AE160" s="177">
        <f t="shared" ref="AE160:AE191" si="22">+I160-H160</f>
        <v>43</v>
      </c>
      <c r="AF160" s="177">
        <f t="shared" ref="AF160:AF191" si="23">+$AF$18-H160</f>
        <v>-48</v>
      </c>
      <c r="AG160" s="178">
        <f t="shared" ref="AG160:AG191" si="24">+AF160/AE160</f>
        <v>-1.1162790697674418</v>
      </c>
      <c r="AH160" s="179">
        <f t="shared" ref="AH160:AH191" si="25">+AG160*W160</f>
        <v>-5.5813953488372094E-3</v>
      </c>
      <c r="AI160" s="178">
        <f t="shared" ref="AI160:AI191" ca="1" si="26">+AB160-AH160</f>
        <v>5.5813953488372094E-3</v>
      </c>
      <c r="AJ160" s="180" t="s">
        <v>508</v>
      </c>
    </row>
    <row r="161" spans="1:36" s="23" customFormat="1" ht="35.450000000000003" customHeight="1" x14ac:dyDescent="0.2">
      <c r="A161" s="132" t="s">
        <v>51</v>
      </c>
      <c r="B161" s="122" t="s">
        <v>337</v>
      </c>
      <c r="C161" s="121" t="s">
        <v>98</v>
      </c>
      <c r="D161" s="121" t="s">
        <v>98</v>
      </c>
      <c r="E161" s="121" t="s">
        <v>165</v>
      </c>
      <c r="F161" s="123" t="s">
        <v>246</v>
      </c>
      <c r="G161" s="44" t="str">
        <f t="shared" si="18"/>
        <v>Líderes de Cada Proceso</v>
      </c>
      <c r="H161" s="116">
        <v>44433</v>
      </c>
      <c r="I161" s="116">
        <v>44453</v>
      </c>
      <c r="J161" s="54"/>
      <c r="K161" s="54"/>
      <c r="L161" s="54"/>
      <c r="M161" s="54"/>
      <c r="N161" s="54"/>
      <c r="O161" s="54"/>
      <c r="P161" s="54"/>
      <c r="Q161" s="54"/>
      <c r="R161" s="54"/>
      <c r="S161" s="54"/>
      <c r="T161" s="54"/>
      <c r="U161" s="54"/>
      <c r="V161" s="121" t="s">
        <v>123</v>
      </c>
      <c r="W161" s="168">
        <v>1.6E-2</v>
      </c>
      <c r="X161" s="116"/>
      <c r="Y161" s="65"/>
      <c r="Z161" s="65"/>
      <c r="AA161" s="41"/>
      <c r="AB161" s="63">
        <f t="shared" ca="1" si="19"/>
        <v>0</v>
      </c>
      <c r="AC161" s="63">
        <f t="shared" ca="1" si="20"/>
        <v>1.6E-2</v>
      </c>
      <c r="AD161" s="176">
        <f t="shared" si="21"/>
        <v>9</v>
      </c>
      <c r="AE161" s="177">
        <f t="shared" si="22"/>
        <v>20</v>
      </c>
      <c r="AF161" s="177">
        <f t="shared" si="23"/>
        <v>-56</v>
      </c>
      <c r="AG161" s="178">
        <f t="shared" si="24"/>
        <v>-2.8</v>
      </c>
      <c r="AH161" s="179">
        <f t="shared" si="25"/>
        <v>-4.48E-2</v>
      </c>
      <c r="AI161" s="178">
        <f t="shared" ca="1" si="26"/>
        <v>4.48E-2</v>
      </c>
      <c r="AJ161" s="180" t="s">
        <v>508</v>
      </c>
    </row>
    <row r="162" spans="1:36" s="3" customFormat="1" ht="35.450000000000003" customHeight="1" x14ac:dyDescent="0.2">
      <c r="A162" s="132" t="s">
        <v>51</v>
      </c>
      <c r="B162" s="122" t="s">
        <v>338</v>
      </c>
      <c r="C162" s="121" t="s">
        <v>98</v>
      </c>
      <c r="D162" s="121" t="s">
        <v>98</v>
      </c>
      <c r="E162" s="121" t="s">
        <v>165</v>
      </c>
      <c r="F162" s="123" t="s">
        <v>246</v>
      </c>
      <c r="G162" s="44" t="str">
        <f t="shared" si="18"/>
        <v>Líderes de Cada Proceso</v>
      </c>
      <c r="H162" s="118">
        <v>44433</v>
      </c>
      <c r="I162" s="118">
        <v>44453</v>
      </c>
      <c r="J162" s="54"/>
      <c r="K162" s="54"/>
      <c r="L162" s="54"/>
      <c r="M162" s="54"/>
      <c r="N162" s="54"/>
      <c r="O162" s="54"/>
      <c r="P162" s="54"/>
      <c r="Q162" s="54"/>
      <c r="R162" s="54"/>
      <c r="S162" s="54"/>
      <c r="T162" s="54"/>
      <c r="U162" s="54"/>
      <c r="V162" s="121" t="s">
        <v>123</v>
      </c>
      <c r="W162" s="168">
        <v>1.4999999999999999E-2</v>
      </c>
      <c r="X162" s="116"/>
      <c r="Y162" s="65"/>
      <c r="Z162" s="65"/>
      <c r="AA162" s="41"/>
      <c r="AB162" s="63">
        <f t="shared" ca="1" si="19"/>
        <v>0</v>
      </c>
      <c r="AC162" s="63">
        <f t="shared" ca="1" si="20"/>
        <v>1.4999999999999999E-2</v>
      </c>
      <c r="AD162" s="176">
        <f t="shared" si="21"/>
        <v>9</v>
      </c>
      <c r="AE162" s="177">
        <f t="shared" si="22"/>
        <v>20</v>
      </c>
      <c r="AF162" s="177">
        <f t="shared" si="23"/>
        <v>-56</v>
      </c>
      <c r="AG162" s="178">
        <f t="shared" si="24"/>
        <v>-2.8</v>
      </c>
      <c r="AH162" s="179">
        <f t="shared" si="25"/>
        <v>-4.1999999999999996E-2</v>
      </c>
      <c r="AI162" s="178">
        <f t="shared" ca="1" si="26"/>
        <v>4.1999999999999996E-2</v>
      </c>
      <c r="AJ162" s="180" t="s">
        <v>508</v>
      </c>
    </row>
    <row r="163" spans="1:36" s="3" customFormat="1" ht="35.450000000000003" customHeight="1" x14ac:dyDescent="0.2">
      <c r="A163" s="121" t="s">
        <v>45</v>
      </c>
      <c r="B163" s="122" t="s">
        <v>272</v>
      </c>
      <c r="C163" s="121" t="s">
        <v>90</v>
      </c>
      <c r="D163" s="121" t="s">
        <v>97</v>
      </c>
      <c r="E163" s="121" t="s">
        <v>165</v>
      </c>
      <c r="F163" s="124" t="s">
        <v>222</v>
      </c>
      <c r="G163" s="44" t="str">
        <f t="shared" si="18"/>
        <v>Asesor de Control Interno</v>
      </c>
      <c r="H163" s="118">
        <v>44435</v>
      </c>
      <c r="I163" s="118">
        <v>44441</v>
      </c>
      <c r="J163" s="54"/>
      <c r="K163" s="54"/>
      <c r="L163" s="54"/>
      <c r="M163" s="54"/>
      <c r="N163" s="54"/>
      <c r="O163" s="54"/>
      <c r="P163" s="54"/>
      <c r="Q163" s="54"/>
      <c r="R163" s="54"/>
      <c r="S163" s="54"/>
      <c r="T163" s="54"/>
      <c r="U163" s="54"/>
      <c r="V163" s="121" t="s">
        <v>208</v>
      </c>
      <c r="W163" s="168">
        <v>3.0000000000000001E-3</v>
      </c>
      <c r="X163" s="116"/>
      <c r="Y163" s="122"/>
      <c r="Z163" s="65"/>
      <c r="AA163" s="41"/>
      <c r="AB163" s="63">
        <f t="shared" ca="1" si="19"/>
        <v>0</v>
      </c>
      <c r="AC163" s="63">
        <f t="shared" ca="1" si="20"/>
        <v>3.0000000000000001E-3</v>
      </c>
      <c r="AD163" s="176">
        <f t="shared" si="21"/>
        <v>9</v>
      </c>
      <c r="AE163" s="177">
        <f t="shared" si="22"/>
        <v>6</v>
      </c>
      <c r="AF163" s="177">
        <f t="shared" si="23"/>
        <v>-58</v>
      </c>
      <c r="AG163" s="178">
        <f t="shared" si="24"/>
        <v>-9.6666666666666661</v>
      </c>
      <c r="AH163" s="179">
        <f t="shared" si="25"/>
        <v>-2.8999999999999998E-2</v>
      </c>
      <c r="AI163" s="178">
        <f t="shared" ca="1" si="26"/>
        <v>2.8999999999999998E-2</v>
      </c>
      <c r="AJ163" s="180" t="s">
        <v>508</v>
      </c>
    </row>
    <row r="164" spans="1:36" s="23" customFormat="1" ht="35.450000000000003" customHeight="1" x14ac:dyDescent="0.2">
      <c r="A164" s="132" t="s">
        <v>46</v>
      </c>
      <c r="B164" s="122" t="s">
        <v>294</v>
      </c>
      <c r="C164" s="121" t="s">
        <v>82</v>
      </c>
      <c r="D164" s="121" t="s">
        <v>100</v>
      </c>
      <c r="E164" s="121" t="s">
        <v>165</v>
      </c>
      <c r="F164" s="124" t="s">
        <v>222</v>
      </c>
      <c r="G164" s="44" t="str">
        <f t="shared" si="18"/>
        <v>Director de Mejoramiento de Barrios</v>
      </c>
      <c r="H164" s="116">
        <v>44438</v>
      </c>
      <c r="I164" s="116">
        <v>44441</v>
      </c>
      <c r="J164" s="54"/>
      <c r="K164" s="54"/>
      <c r="L164" s="54"/>
      <c r="M164" s="54"/>
      <c r="N164" s="54"/>
      <c r="O164" s="54"/>
      <c r="P164" s="54"/>
      <c r="Q164" s="54"/>
      <c r="R164" s="54"/>
      <c r="S164" s="54"/>
      <c r="T164" s="54"/>
      <c r="U164" s="54"/>
      <c r="V164" s="119" t="s">
        <v>297</v>
      </c>
      <c r="W164" s="168">
        <v>1E-3</v>
      </c>
      <c r="X164" s="116"/>
      <c r="Y164" s="65"/>
      <c r="Z164" s="65"/>
      <c r="AA164" s="41"/>
      <c r="AB164" s="63">
        <f t="shared" ca="1" si="19"/>
        <v>0</v>
      </c>
      <c r="AC164" s="63">
        <f t="shared" ca="1" si="20"/>
        <v>1E-3</v>
      </c>
      <c r="AD164" s="176">
        <f t="shared" si="21"/>
        <v>9</v>
      </c>
      <c r="AE164" s="177">
        <f t="shared" si="22"/>
        <v>3</v>
      </c>
      <c r="AF164" s="177">
        <f t="shared" si="23"/>
        <v>-61</v>
      </c>
      <c r="AG164" s="178">
        <f t="shared" si="24"/>
        <v>-20.333333333333332</v>
      </c>
      <c r="AH164" s="179">
        <f t="shared" si="25"/>
        <v>-2.0333333333333332E-2</v>
      </c>
      <c r="AI164" s="178">
        <f t="shared" ca="1" si="26"/>
        <v>2.0333333333333332E-2</v>
      </c>
      <c r="AJ164" s="180" t="s">
        <v>508</v>
      </c>
    </row>
    <row r="165" spans="1:36" s="23" customFormat="1" ht="35.450000000000003" customHeight="1" x14ac:dyDescent="0.2">
      <c r="A165" s="121" t="s">
        <v>45</v>
      </c>
      <c r="B165" s="122" t="s">
        <v>114</v>
      </c>
      <c r="C165" s="121" t="s">
        <v>90</v>
      </c>
      <c r="D165" s="121" t="s">
        <v>97</v>
      </c>
      <c r="E165" s="121" t="s">
        <v>165</v>
      </c>
      <c r="F165" s="124" t="s">
        <v>222</v>
      </c>
      <c r="G165" s="44" t="str">
        <f t="shared" si="18"/>
        <v>Asesor de Control Interno</v>
      </c>
      <c r="H165" s="116">
        <v>44440</v>
      </c>
      <c r="I165" s="116">
        <v>44445</v>
      </c>
      <c r="J165" s="54"/>
      <c r="K165" s="54"/>
      <c r="L165" s="54"/>
      <c r="M165" s="54"/>
      <c r="N165" s="54"/>
      <c r="O165" s="54"/>
      <c r="P165" s="54"/>
      <c r="Q165" s="54"/>
      <c r="R165" s="54"/>
      <c r="S165" s="54"/>
      <c r="T165" s="54"/>
      <c r="U165" s="54"/>
      <c r="V165" s="121" t="s">
        <v>195</v>
      </c>
      <c r="W165" s="168">
        <v>3.0000000000000001E-3</v>
      </c>
      <c r="X165" s="116"/>
      <c r="Y165" s="65"/>
      <c r="Z165" s="65"/>
      <c r="AA165" s="41"/>
      <c r="AB165" s="63">
        <f t="shared" ca="1" si="19"/>
        <v>0</v>
      </c>
      <c r="AC165" s="63">
        <f t="shared" ca="1" si="20"/>
        <v>3.0000000000000001E-3</v>
      </c>
      <c r="AD165" s="176">
        <f t="shared" si="21"/>
        <v>9</v>
      </c>
      <c r="AE165" s="177">
        <f t="shared" si="22"/>
        <v>5</v>
      </c>
      <c r="AF165" s="177">
        <f t="shared" si="23"/>
        <v>-63</v>
      </c>
      <c r="AG165" s="178">
        <f t="shared" si="24"/>
        <v>-12.6</v>
      </c>
      <c r="AH165" s="179">
        <f t="shared" si="25"/>
        <v>-3.78E-2</v>
      </c>
      <c r="AI165" s="178">
        <f t="shared" ca="1" si="26"/>
        <v>3.78E-2</v>
      </c>
      <c r="AJ165" s="180" t="s">
        <v>508</v>
      </c>
    </row>
    <row r="166" spans="1:36" s="23" customFormat="1" ht="35.450000000000003" customHeight="1" x14ac:dyDescent="0.2">
      <c r="A166" s="132" t="s">
        <v>46</v>
      </c>
      <c r="B166" s="122" t="s">
        <v>93</v>
      </c>
      <c r="C166" s="121" t="s">
        <v>89</v>
      </c>
      <c r="D166" s="121" t="s">
        <v>96</v>
      </c>
      <c r="E166" s="121" t="s">
        <v>165</v>
      </c>
      <c r="F166" s="123" t="s">
        <v>223</v>
      </c>
      <c r="G166" s="44" t="str">
        <f t="shared" si="18"/>
        <v>Subdirector Financiero</v>
      </c>
      <c r="H166" s="116">
        <v>44440</v>
      </c>
      <c r="I166" s="116">
        <v>44448</v>
      </c>
      <c r="J166" s="54"/>
      <c r="K166" s="54"/>
      <c r="L166" s="54"/>
      <c r="M166" s="54"/>
      <c r="N166" s="54"/>
      <c r="O166" s="54"/>
      <c r="P166" s="54"/>
      <c r="Q166" s="54"/>
      <c r="R166" s="54"/>
      <c r="S166" s="54"/>
      <c r="T166" s="54"/>
      <c r="U166" s="54"/>
      <c r="V166" s="121" t="s">
        <v>312</v>
      </c>
      <c r="W166" s="168">
        <v>1E-3</v>
      </c>
      <c r="X166" s="116"/>
      <c r="Y166" s="65"/>
      <c r="Z166" s="65"/>
      <c r="AA166" s="41"/>
      <c r="AB166" s="63">
        <f t="shared" ca="1" si="19"/>
        <v>0</v>
      </c>
      <c r="AC166" s="63">
        <f t="shared" ca="1" si="20"/>
        <v>1E-3</v>
      </c>
      <c r="AD166" s="176">
        <f t="shared" si="21"/>
        <v>9</v>
      </c>
      <c r="AE166" s="177">
        <f t="shared" si="22"/>
        <v>8</v>
      </c>
      <c r="AF166" s="177">
        <f t="shared" si="23"/>
        <v>-63</v>
      </c>
      <c r="AG166" s="178">
        <f t="shared" si="24"/>
        <v>-7.875</v>
      </c>
      <c r="AH166" s="179">
        <f t="shared" si="25"/>
        <v>-7.8750000000000001E-3</v>
      </c>
      <c r="AI166" s="178">
        <f t="shared" ca="1" si="26"/>
        <v>7.8750000000000001E-3</v>
      </c>
      <c r="AJ166" s="180" t="s">
        <v>508</v>
      </c>
    </row>
    <row r="167" spans="1:36" s="23" customFormat="1" ht="35.450000000000003" customHeight="1" x14ac:dyDescent="0.2">
      <c r="A167" s="132" t="s">
        <v>44</v>
      </c>
      <c r="B167" s="122" t="s">
        <v>92</v>
      </c>
      <c r="C167" s="121" t="s">
        <v>89</v>
      </c>
      <c r="D167" s="121" t="s">
        <v>96</v>
      </c>
      <c r="E167" s="121" t="s">
        <v>165</v>
      </c>
      <c r="F167" s="123" t="s">
        <v>196</v>
      </c>
      <c r="G167" s="44" t="str">
        <f t="shared" si="18"/>
        <v>Subdirector Financiero</v>
      </c>
      <c r="H167" s="116">
        <v>44440</v>
      </c>
      <c r="I167" s="116">
        <v>44448</v>
      </c>
      <c r="J167" s="54"/>
      <c r="K167" s="54"/>
      <c r="L167" s="54"/>
      <c r="M167" s="54"/>
      <c r="N167" s="54"/>
      <c r="O167" s="54"/>
      <c r="P167" s="54"/>
      <c r="Q167" s="54"/>
      <c r="R167" s="54"/>
      <c r="S167" s="54"/>
      <c r="T167" s="54"/>
      <c r="U167" s="54"/>
      <c r="V167" s="121" t="s">
        <v>123</v>
      </c>
      <c r="W167" s="168">
        <v>1E-3</v>
      </c>
      <c r="X167" s="116"/>
      <c r="Y167" s="122"/>
      <c r="Z167" s="65"/>
      <c r="AA167" s="41"/>
      <c r="AB167" s="63">
        <f t="shared" ca="1" si="19"/>
        <v>0</v>
      </c>
      <c r="AC167" s="63">
        <f t="shared" ca="1" si="20"/>
        <v>1E-3</v>
      </c>
      <c r="AD167" s="176">
        <f t="shared" si="21"/>
        <v>9</v>
      </c>
      <c r="AE167" s="177">
        <f t="shared" si="22"/>
        <v>8</v>
      </c>
      <c r="AF167" s="177">
        <f t="shared" si="23"/>
        <v>-63</v>
      </c>
      <c r="AG167" s="178">
        <f t="shared" si="24"/>
        <v>-7.875</v>
      </c>
      <c r="AH167" s="179">
        <f t="shared" si="25"/>
        <v>-7.8750000000000001E-3</v>
      </c>
      <c r="AI167" s="178">
        <f t="shared" ca="1" si="26"/>
        <v>7.8750000000000001E-3</v>
      </c>
      <c r="AJ167" s="180" t="s">
        <v>508</v>
      </c>
    </row>
    <row r="168" spans="1:36" s="23" customFormat="1" ht="35.450000000000003" customHeight="1" x14ac:dyDescent="0.2">
      <c r="A168" s="121" t="s">
        <v>50</v>
      </c>
      <c r="B168" s="122" t="s">
        <v>324</v>
      </c>
      <c r="C168" s="121" t="s">
        <v>80</v>
      </c>
      <c r="D168" s="121" t="s">
        <v>100</v>
      </c>
      <c r="E168" s="121" t="s">
        <v>165</v>
      </c>
      <c r="F168" s="124" t="s">
        <v>223</v>
      </c>
      <c r="G168" s="44" t="str">
        <f t="shared" si="18"/>
        <v>Director de Reasentamientos Humanos</v>
      </c>
      <c r="H168" s="116">
        <v>44440</v>
      </c>
      <c r="I168" s="116">
        <v>44469</v>
      </c>
      <c r="J168" s="54"/>
      <c r="K168" s="54"/>
      <c r="L168" s="54"/>
      <c r="M168" s="54"/>
      <c r="N168" s="54"/>
      <c r="O168" s="54"/>
      <c r="P168" s="54"/>
      <c r="Q168" s="54"/>
      <c r="R168" s="54"/>
      <c r="S168" s="54"/>
      <c r="T168" s="54"/>
      <c r="U168" s="54"/>
      <c r="V168" s="121" t="s">
        <v>123</v>
      </c>
      <c r="W168" s="168">
        <v>1.4999999999999999E-2</v>
      </c>
      <c r="X168" s="116"/>
      <c r="Y168" s="73"/>
      <c r="Z168" s="65"/>
      <c r="AA168" s="41"/>
      <c r="AB168" s="63">
        <f t="shared" ca="1" si="19"/>
        <v>0</v>
      </c>
      <c r="AC168" s="63">
        <f t="shared" ca="1" si="20"/>
        <v>1.4999999999999999E-2</v>
      </c>
      <c r="AD168" s="176">
        <f t="shared" si="21"/>
        <v>9</v>
      </c>
      <c r="AE168" s="177">
        <f t="shared" si="22"/>
        <v>29</v>
      </c>
      <c r="AF168" s="177">
        <f t="shared" si="23"/>
        <v>-63</v>
      </c>
      <c r="AG168" s="178">
        <f t="shared" si="24"/>
        <v>-2.1724137931034484</v>
      </c>
      <c r="AH168" s="179">
        <f t="shared" si="25"/>
        <v>-3.2586206896551728E-2</v>
      </c>
      <c r="AI168" s="178">
        <f t="shared" ca="1" si="26"/>
        <v>3.2586206896551728E-2</v>
      </c>
      <c r="AJ168" s="180" t="s">
        <v>508</v>
      </c>
    </row>
    <row r="169" spans="1:36" s="23" customFormat="1" ht="35.450000000000003" customHeight="1" x14ac:dyDescent="0.2">
      <c r="A169" s="121" t="s">
        <v>51</v>
      </c>
      <c r="B169" s="122" t="s">
        <v>261</v>
      </c>
      <c r="C169" s="121" t="s">
        <v>98</v>
      </c>
      <c r="D169" s="121" t="s">
        <v>98</v>
      </c>
      <c r="E169" s="121" t="s">
        <v>165</v>
      </c>
      <c r="F169" s="124" t="s">
        <v>222</v>
      </c>
      <c r="G169" s="44" t="str">
        <f t="shared" si="18"/>
        <v>Líderes de Cada Proceso</v>
      </c>
      <c r="H169" s="195">
        <v>44454</v>
      </c>
      <c r="I169" s="195">
        <v>44460</v>
      </c>
      <c r="J169" s="54"/>
      <c r="K169" s="54"/>
      <c r="L169" s="54"/>
      <c r="M169" s="54"/>
      <c r="N169" s="54"/>
      <c r="O169" s="54"/>
      <c r="P169" s="54"/>
      <c r="Q169" s="54"/>
      <c r="R169" s="54"/>
      <c r="S169" s="54"/>
      <c r="T169" s="54"/>
      <c r="U169" s="54"/>
      <c r="V169" s="121" t="s">
        <v>195</v>
      </c>
      <c r="W169" s="170">
        <v>5.0000000000000001E-3</v>
      </c>
      <c r="X169" s="116"/>
      <c r="Y169" s="65"/>
      <c r="Z169" s="65"/>
      <c r="AA169" s="41"/>
      <c r="AB169" s="63">
        <f t="shared" ca="1" si="19"/>
        <v>0</v>
      </c>
      <c r="AC169" s="63">
        <f t="shared" ca="1" si="20"/>
        <v>5.0000000000000001E-3</v>
      </c>
      <c r="AD169" s="176">
        <f t="shared" si="21"/>
        <v>9</v>
      </c>
      <c r="AE169" s="177">
        <f t="shared" si="22"/>
        <v>6</v>
      </c>
      <c r="AF169" s="177">
        <f t="shared" si="23"/>
        <v>-77</v>
      </c>
      <c r="AG169" s="178">
        <f t="shared" si="24"/>
        <v>-12.833333333333334</v>
      </c>
      <c r="AH169" s="179">
        <f t="shared" si="25"/>
        <v>-6.4166666666666677E-2</v>
      </c>
      <c r="AI169" s="178">
        <f t="shared" ca="1" si="26"/>
        <v>6.4166666666666677E-2</v>
      </c>
      <c r="AJ169" s="180" t="s">
        <v>508</v>
      </c>
    </row>
    <row r="170" spans="1:36" s="23" customFormat="1" ht="35.450000000000003" customHeight="1" x14ac:dyDescent="0.2">
      <c r="A170" s="121" t="s">
        <v>52</v>
      </c>
      <c r="B170" s="122" t="s">
        <v>313</v>
      </c>
      <c r="C170" s="121" t="s">
        <v>90</v>
      </c>
      <c r="D170" s="121" t="s">
        <v>97</v>
      </c>
      <c r="E170" s="121" t="s">
        <v>165</v>
      </c>
      <c r="F170" s="124" t="s">
        <v>160</v>
      </c>
      <c r="G170" s="44" t="str">
        <f t="shared" si="18"/>
        <v>Asesor de Control Interno</v>
      </c>
      <c r="H170" s="116">
        <v>44454</v>
      </c>
      <c r="I170" s="116">
        <v>44484</v>
      </c>
      <c r="J170" s="54"/>
      <c r="K170" s="54"/>
      <c r="L170" s="54"/>
      <c r="M170" s="54"/>
      <c r="N170" s="54"/>
      <c r="O170" s="54"/>
      <c r="P170" s="54"/>
      <c r="Q170" s="54"/>
      <c r="R170" s="54"/>
      <c r="S170" s="54"/>
      <c r="T170" s="54"/>
      <c r="U170" s="54"/>
      <c r="V170" s="41" t="s">
        <v>195</v>
      </c>
      <c r="W170" s="168">
        <v>0.01</v>
      </c>
      <c r="X170" s="116"/>
      <c r="Y170" s="73"/>
      <c r="Z170" s="65"/>
      <c r="AA170" s="41"/>
      <c r="AB170" s="63">
        <f t="shared" ca="1" si="19"/>
        <v>0</v>
      </c>
      <c r="AC170" s="63">
        <f t="shared" ca="1" si="20"/>
        <v>0.01</v>
      </c>
      <c r="AD170" s="176">
        <f t="shared" si="21"/>
        <v>10</v>
      </c>
      <c r="AE170" s="177">
        <f t="shared" si="22"/>
        <v>30</v>
      </c>
      <c r="AF170" s="177">
        <f t="shared" si="23"/>
        <v>-77</v>
      </c>
      <c r="AG170" s="178">
        <f t="shared" si="24"/>
        <v>-2.5666666666666669</v>
      </c>
      <c r="AH170" s="179">
        <f t="shared" si="25"/>
        <v>-2.5666666666666671E-2</v>
      </c>
      <c r="AI170" s="178">
        <f t="shared" ca="1" si="26"/>
        <v>2.5666666666666671E-2</v>
      </c>
      <c r="AJ170" s="180" t="s">
        <v>508</v>
      </c>
    </row>
    <row r="171" spans="1:36" s="23" customFormat="1" ht="35.450000000000003" customHeight="1" x14ac:dyDescent="0.2">
      <c r="A171" s="121" t="s">
        <v>45</v>
      </c>
      <c r="B171" s="122" t="s">
        <v>272</v>
      </c>
      <c r="C171" s="121" t="s">
        <v>90</v>
      </c>
      <c r="D171" s="121" t="s">
        <v>97</v>
      </c>
      <c r="E171" s="121" t="s">
        <v>165</v>
      </c>
      <c r="F171" s="124" t="s">
        <v>222</v>
      </c>
      <c r="G171" s="44" t="str">
        <f t="shared" si="18"/>
        <v>Asesor de Control Interno</v>
      </c>
      <c r="H171" s="116">
        <v>44467</v>
      </c>
      <c r="I171" s="116">
        <v>44473</v>
      </c>
      <c r="J171" s="54"/>
      <c r="K171" s="54"/>
      <c r="L171" s="54"/>
      <c r="M171" s="54"/>
      <c r="N171" s="54"/>
      <c r="O171" s="54"/>
      <c r="P171" s="54"/>
      <c r="Q171" s="54"/>
      <c r="R171" s="54"/>
      <c r="S171" s="54"/>
      <c r="T171" s="54"/>
      <c r="U171" s="54"/>
      <c r="V171" s="121" t="s">
        <v>208</v>
      </c>
      <c r="W171" s="168">
        <v>3.0000000000000001E-3</v>
      </c>
      <c r="X171" s="116"/>
      <c r="Y171" s="122"/>
      <c r="Z171" s="65"/>
      <c r="AA171" s="41"/>
      <c r="AB171" s="63">
        <f t="shared" ca="1" si="19"/>
        <v>0</v>
      </c>
      <c r="AC171" s="63">
        <f t="shared" ca="1" si="20"/>
        <v>3.0000000000000001E-3</v>
      </c>
      <c r="AD171" s="176">
        <f t="shared" si="21"/>
        <v>10</v>
      </c>
      <c r="AE171" s="177">
        <f t="shared" si="22"/>
        <v>6</v>
      </c>
      <c r="AF171" s="177">
        <f t="shared" si="23"/>
        <v>-90</v>
      </c>
      <c r="AG171" s="178">
        <f t="shared" si="24"/>
        <v>-15</v>
      </c>
      <c r="AH171" s="179">
        <f t="shared" si="25"/>
        <v>-4.4999999999999998E-2</v>
      </c>
      <c r="AI171" s="178">
        <f t="shared" ca="1" si="26"/>
        <v>4.4999999999999998E-2</v>
      </c>
      <c r="AJ171" s="180" t="s">
        <v>508</v>
      </c>
    </row>
    <row r="172" spans="1:36" s="57" customFormat="1" ht="35.450000000000003" customHeight="1" x14ac:dyDescent="0.2">
      <c r="A172" s="132" t="s">
        <v>46</v>
      </c>
      <c r="B172" s="122" t="s">
        <v>294</v>
      </c>
      <c r="C172" s="121" t="s">
        <v>82</v>
      </c>
      <c r="D172" s="121" t="s">
        <v>100</v>
      </c>
      <c r="E172" s="121" t="s">
        <v>165</v>
      </c>
      <c r="F172" s="124" t="s">
        <v>222</v>
      </c>
      <c r="G172" s="44" t="str">
        <f t="shared" si="18"/>
        <v>Director de Mejoramiento de Barrios</v>
      </c>
      <c r="H172" s="116">
        <v>44468</v>
      </c>
      <c r="I172" s="116">
        <v>44473</v>
      </c>
      <c r="J172" s="54"/>
      <c r="K172" s="54"/>
      <c r="L172" s="54"/>
      <c r="M172" s="54"/>
      <c r="N172" s="54"/>
      <c r="O172" s="54"/>
      <c r="P172" s="54"/>
      <c r="Q172" s="54"/>
      <c r="R172" s="54"/>
      <c r="S172" s="54"/>
      <c r="T172" s="54"/>
      <c r="U172" s="54"/>
      <c r="V172" s="119" t="s">
        <v>297</v>
      </c>
      <c r="W172" s="168">
        <v>1E-3</v>
      </c>
      <c r="X172" s="116"/>
      <c r="Y172" s="65"/>
      <c r="Z172" s="65"/>
      <c r="AA172" s="41"/>
      <c r="AB172" s="63">
        <f t="shared" ca="1" si="19"/>
        <v>0</v>
      </c>
      <c r="AC172" s="63">
        <f t="shared" ca="1" si="20"/>
        <v>1E-3</v>
      </c>
      <c r="AD172" s="176">
        <f t="shared" si="21"/>
        <v>10</v>
      </c>
      <c r="AE172" s="177">
        <f t="shared" si="22"/>
        <v>5</v>
      </c>
      <c r="AF172" s="177">
        <f t="shared" si="23"/>
        <v>-91</v>
      </c>
      <c r="AG172" s="178">
        <f t="shared" si="24"/>
        <v>-18.2</v>
      </c>
      <c r="AH172" s="179">
        <f t="shared" si="25"/>
        <v>-1.8200000000000001E-2</v>
      </c>
      <c r="AI172" s="178">
        <f t="shared" ca="1" si="26"/>
        <v>1.8200000000000001E-2</v>
      </c>
      <c r="AJ172" s="180" t="s">
        <v>508</v>
      </c>
    </row>
    <row r="173" spans="1:36" s="23" customFormat="1" ht="35.450000000000003" customHeight="1" x14ac:dyDescent="0.2">
      <c r="A173" s="121" t="s">
        <v>45</v>
      </c>
      <c r="B173" s="122" t="s">
        <v>114</v>
      </c>
      <c r="C173" s="121" t="s">
        <v>90</v>
      </c>
      <c r="D173" s="121" t="s">
        <v>97</v>
      </c>
      <c r="E173" s="121" t="s">
        <v>165</v>
      </c>
      <c r="F173" s="124" t="s">
        <v>222</v>
      </c>
      <c r="G173" s="44" t="str">
        <f t="shared" si="18"/>
        <v>Asesor de Control Interno</v>
      </c>
      <c r="H173" s="116">
        <v>44470</v>
      </c>
      <c r="I173" s="116">
        <v>44475</v>
      </c>
      <c r="J173" s="54"/>
      <c r="K173" s="54"/>
      <c r="L173" s="54"/>
      <c r="M173" s="54"/>
      <c r="N173" s="54"/>
      <c r="O173" s="54"/>
      <c r="P173" s="54"/>
      <c r="Q173" s="54"/>
      <c r="R173" s="54"/>
      <c r="S173" s="54"/>
      <c r="T173" s="54"/>
      <c r="U173" s="54"/>
      <c r="V173" s="121" t="s">
        <v>195</v>
      </c>
      <c r="W173" s="168">
        <v>3.0000000000000001E-3</v>
      </c>
      <c r="X173" s="116"/>
      <c r="Y173" s="65"/>
      <c r="Z173" s="65"/>
      <c r="AA173" s="41"/>
      <c r="AB173" s="63">
        <f t="shared" ca="1" si="19"/>
        <v>0</v>
      </c>
      <c r="AC173" s="63">
        <f t="shared" ca="1" si="20"/>
        <v>3.0000000000000001E-3</v>
      </c>
      <c r="AD173" s="176">
        <f t="shared" si="21"/>
        <v>10</v>
      </c>
      <c r="AE173" s="177">
        <f t="shared" si="22"/>
        <v>5</v>
      </c>
      <c r="AF173" s="177">
        <f t="shared" si="23"/>
        <v>-93</v>
      </c>
      <c r="AG173" s="178">
        <f t="shared" si="24"/>
        <v>-18.600000000000001</v>
      </c>
      <c r="AH173" s="179">
        <f t="shared" si="25"/>
        <v>-5.5800000000000002E-2</v>
      </c>
      <c r="AI173" s="178">
        <f t="shared" ca="1" si="26"/>
        <v>5.5800000000000002E-2</v>
      </c>
      <c r="AJ173" s="180" t="s">
        <v>508</v>
      </c>
    </row>
    <row r="174" spans="1:36" s="23" customFormat="1" ht="35.450000000000003" customHeight="1" x14ac:dyDescent="0.2">
      <c r="A174" s="121" t="s">
        <v>45</v>
      </c>
      <c r="B174" s="122" t="s">
        <v>237</v>
      </c>
      <c r="C174" s="121" t="s">
        <v>90</v>
      </c>
      <c r="D174" s="121" t="s">
        <v>97</v>
      </c>
      <c r="E174" s="121" t="s">
        <v>165</v>
      </c>
      <c r="F174" s="123" t="s">
        <v>160</v>
      </c>
      <c r="G174" s="44" t="str">
        <f t="shared" si="18"/>
        <v>Asesor de Control Interno</v>
      </c>
      <c r="H174" s="116">
        <v>44470</v>
      </c>
      <c r="I174" s="116">
        <v>44476</v>
      </c>
      <c r="J174" s="54"/>
      <c r="K174" s="54"/>
      <c r="L174" s="54"/>
      <c r="M174" s="54"/>
      <c r="N174" s="54"/>
      <c r="O174" s="54"/>
      <c r="P174" s="54"/>
      <c r="Q174" s="54"/>
      <c r="R174" s="54"/>
      <c r="S174" s="54"/>
      <c r="T174" s="54"/>
      <c r="U174" s="54"/>
      <c r="V174" s="121" t="s">
        <v>208</v>
      </c>
      <c r="W174" s="168">
        <v>4.0000000000000001E-3</v>
      </c>
      <c r="X174" s="116"/>
      <c r="Y174" s="122"/>
      <c r="Z174" s="65"/>
      <c r="AA174" s="41"/>
      <c r="AB174" s="63">
        <f t="shared" ca="1" si="19"/>
        <v>0</v>
      </c>
      <c r="AC174" s="63">
        <f t="shared" ca="1" si="20"/>
        <v>4.0000000000000001E-3</v>
      </c>
      <c r="AD174" s="176">
        <f t="shared" si="21"/>
        <v>10</v>
      </c>
      <c r="AE174" s="177">
        <f t="shared" si="22"/>
        <v>6</v>
      </c>
      <c r="AF174" s="177">
        <f t="shared" si="23"/>
        <v>-93</v>
      </c>
      <c r="AG174" s="178">
        <f t="shared" si="24"/>
        <v>-15.5</v>
      </c>
      <c r="AH174" s="179">
        <f t="shared" si="25"/>
        <v>-6.2E-2</v>
      </c>
      <c r="AI174" s="178">
        <f t="shared" ca="1" si="26"/>
        <v>6.2E-2</v>
      </c>
      <c r="AJ174" s="180" t="s">
        <v>508</v>
      </c>
    </row>
    <row r="175" spans="1:36" s="23" customFormat="1" ht="35.450000000000003" customHeight="1" x14ac:dyDescent="0.2">
      <c r="A175" s="132" t="s">
        <v>46</v>
      </c>
      <c r="B175" s="122" t="s">
        <v>93</v>
      </c>
      <c r="C175" s="121" t="s">
        <v>141</v>
      </c>
      <c r="D175" s="121" t="s">
        <v>96</v>
      </c>
      <c r="E175" s="121" t="s">
        <v>165</v>
      </c>
      <c r="F175" s="123" t="s">
        <v>223</v>
      </c>
      <c r="G175" s="44" t="str">
        <f t="shared" si="18"/>
        <v>Director de Gestión Corporativa y CID</v>
      </c>
      <c r="H175" s="116">
        <v>44470</v>
      </c>
      <c r="I175" s="116">
        <v>44480</v>
      </c>
      <c r="J175" s="54"/>
      <c r="K175" s="54"/>
      <c r="L175" s="54"/>
      <c r="M175" s="54"/>
      <c r="N175" s="54"/>
      <c r="O175" s="54"/>
      <c r="P175" s="54"/>
      <c r="Q175" s="54"/>
      <c r="R175" s="54"/>
      <c r="S175" s="54"/>
      <c r="T175" s="54"/>
      <c r="U175" s="54"/>
      <c r="V175" s="121" t="s">
        <v>312</v>
      </c>
      <c r="W175" s="168">
        <v>1E-3</v>
      </c>
      <c r="X175" s="116"/>
      <c r="Y175" s="65"/>
      <c r="Z175" s="65"/>
      <c r="AA175" s="41"/>
      <c r="AB175" s="63">
        <f t="shared" ca="1" si="19"/>
        <v>0</v>
      </c>
      <c r="AC175" s="63">
        <f t="shared" ca="1" si="20"/>
        <v>1E-3</v>
      </c>
      <c r="AD175" s="176">
        <f t="shared" si="21"/>
        <v>10</v>
      </c>
      <c r="AE175" s="177">
        <f t="shared" si="22"/>
        <v>10</v>
      </c>
      <c r="AF175" s="177">
        <f t="shared" si="23"/>
        <v>-93</v>
      </c>
      <c r="AG175" s="178">
        <f t="shared" si="24"/>
        <v>-9.3000000000000007</v>
      </c>
      <c r="AH175" s="179">
        <f t="shared" si="25"/>
        <v>-9.300000000000001E-3</v>
      </c>
      <c r="AI175" s="178">
        <f t="shared" ca="1" si="26"/>
        <v>9.300000000000001E-3</v>
      </c>
      <c r="AJ175" s="180" t="s">
        <v>508</v>
      </c>
    </row>
    <row r="176" spans="1:36" s="23" customFormat="1" ht="35.450000000000003" customHeight="1" x14ac:dyDescent="0.2">
      <c r="A176" s="132" t="s">
        <v>44</v>
      </c>
      <c r="B176" s="122" t="s">
        <v>92</v>
      </c>
      <c r="C176" s="121" t="s">
        <v>89</v>
      </c>
      <c r="D176" s="121" t="s">
        <v>96</v>
      </c>
      <c r="E176" s="121" t="s">
        <v>165</v>
      </c>
      <c r="F176" s="123" t="s">
        <v>196</v>
      </c>
      <c r="G176" s="44" t="str">
        <f t="shared" si="18"/>
        <v>Subdirector Financiero</v>
      </c>
      <c r="H176" s="116">
        <v>44470</v>
      </c>
      <c r="I176" s="116">
        <v>44480</v>
      </c>
      <c r="J176" s="54"/>
      <c r="K176" s="54"/>
      <c r="L176" s="54"/>
      <c r="M176" s="54"/>
      <c r="N176" s="54"/>
      <c r="O176" s="54"/>
      <c r="P176" s="54"/>
      <c r="Q176" s="54"/>
      <c r="R176" s="54"/>
      <c r="S176" s="54"/>
      <c r="T176" s="54"/>
      <c r="U176" s="54"/>
      <c r="V176" s="121" t="s">
        <v>123</v>
      </c>
      <c r="W176" s="168">
        <v>1E-3</v>
      </c>
      <c r="X176" s="116"/>
      <c r="Y176" s="122"/>
      <c r="Z176" s="65"/>
      <c r="AA176" s="41"/>
      <c r="AB176" s="63">
        <f t="shared" ca="1" si="19"/>
        <v>0</v>
      </c>
      <c r="AC176" s="63">
        <f t="shared" ca="1" si="20"/>
        <v>1E-3</v>
      </c>
      <c r="AD176" s="176">
        <f t="shared" si="21"/>
        <v>10</v>
      </c>
      <c r="AE176" s="177">
        <f t="shared" si="22"/>
        <v>10</v>
      </c>
      <c r="AF176" s="177">
        <f t="shared" si="23"/>
        <v>-93</v>
      </c>
      <c r="AG176" s="178">
        <f t="shared" si="24"/>
        <v>-9.3000000000000007</v>
      </c>
      <c r="AH176" s="179">
        <f t="shared" si="25"/>
        <v>-9.300000000000001E-3</v>
      </c>
      <c r="AI176" s="178">
        <f t="shared" ca="1" si="26"/>
        <v>9.300000000000001E-3</v>
      </c>
      <c r="AJ176" s="180" t="s">
        <v>508</v>
      </c>
    </row>
    <row r="177" spans="1:36" s="23" customFormat="1" ht="35.450000000000003" customHeight="1" x14ac:dyDescent="0.2">
      <c r="A177" s="132" t="s">
        <v>44</v>
      </c>
      <c r="B177" s="122" t="s">
        <v>202</v>
      </c>
      <c r="C177" s="121" t="s">
        <v>87</v>
      </c>
      <c r="D177" s="121" t="s">
        <v>96</v>
      </c>
      <c r="E177" s="121" t="s">
        <v>165</v>
      </c>
      <c r="F177" s="123" t="s">
        <v>159</v>
      </c>
      <c r="G177" s="44" t="str">
        <f t="shared" si="18"/>
        <v>Subdirector Administrativo</v>
      </c>
      <c r="H177" s="116">
        <v>44470</v>
      </c>
      <c r="I177" s="116">
        <v>44497</v>
      </c>
      <c r="J177" s="54"/>
      <c r="K177" s="54"/>
      <c r="L177" s="54"/>
      <c r="M177" s="54"/>
      <c r="N177" s="54"/>
      <c r="O177" s="54"/>
      <c r="P177" s="54"/>
      <c r="Q177" s="54"/>
      <c r="R177" s="54"/>
      <c r="S177" s="54"/>
      <c r="T177" s="54"/>
      <c r="U177" s="54"/>
      <c r="V177" s="121" t="s">
        <v>123</v>
      </c>
      <c r="W177" s="168">
        <v>7.4999999999999997E-3</v>
      </c>
      <c r="X177" s="116"/>
      <c r="Y177" s="122"/>
      <c r="Z177" s="65"/>
      <c r="AA177" s="41"/>
      <c r="AB177" s="63">
        <f t="shared" ca="1" si="19"/>
        <v>0</v>
      </c>
      <c r="AC177" s="63">
        <f t="shared" ca="1" si="20"/>
        <v>7.4999999999999997E-3</v>
      </c>
      <c r="AD177" s="176">
        <f t="shared" si="21"/>
        <v>10</v>
      </c>
      <c r="AE177" s="177">
        <f t="shared" si="22"/>
        <v>27</v>
      </c>
      <c r="AF177" s="177">
        <f t="shared" si="23"/>
        <v>-93</v>
      </c>
      <c r="AG177" s="178">
        <f t="shared" si="24"/>
        <v>-3.4444444444444446</v>
      </c>
      <c r="AH177" s="179">
        <f t="shared" si="25"/>
        <v>-2.5833333333333333E-2</v>
      </c>
      <c r="AI177" s="178">
        <f t="shared" ca="1" si="26"/>
        <v>2.5833333333333333E-2</v>
      </c>
      <c r="AJ177" s="180" t="s">
        <v>508</v>
      </c>
    </row>
    <row r="178" spans="1:36" s="23" customFormat="1" ht="35.450000000000003" customHeight="1" x14ac:dyDescent="0.2">
      <c r="A178" s="121" t="s">
        <v>50</v>
      </c>
      <c r="B178" s="122" t="s">
        <v>417</v>
      </c>
      <c r="C178" s="121" t="s">
        <v>80</v>
      </c>
      <c r="D178" s="121" t="s">
        <v>100</v>
      </c>
      <c r="E178" s="121" t="s">
        <v>165</v>
      </c>
      <c r="F178" s="124" t="s">
        <v>223</v>
      </c>
      <c r="G178" s="44" t="str">
        <f t="shared" si="18"/>
        <v>Director de Reasentamientos Humanos</v>
      </c>
      <c r="H178" s="116">
        <v>44470</v>
      </c>
      <c r="I178" s="116">
        <v>44516</v>
      </c>
      <c r="J178" s="54"/>
      <c r="K178" s="54"/>
      <c r="L178" s="54"/>
      <c r="M178" s="54"/>
      <c r="N178" s="54"/>
      <c r="O178" s="54"/>
      <c r="P178" s="54"/>
      <c r="Q178" s="54"/>
      <c r="R178" s="54"/>
      <c r="S178" s="54"/>
      <c r="T178" s="54"/>
      <c r="U178" s="54"/>
      <c r="V178" s="121" t="s">
        <v>123</v>
      </c>
      <c r="W178" s="168">
        <v>2.5000000000000001E-3</v>
      </c>
      <c r="X178" s="116"/>
      <c r="Y178" s="73"/>
      <c r="Z178" s="65"/>
      <c r="AA178" s="41"/>
      <c r="AB178" s="63">
        <f t="shared" ca="1" si="19"/>
        <v>0</v>
      </c>
      <c r="AC178" s="63">
        <f t="shared" ca="1" si="20"/>
        <v>2.5000000000000001E-3</v>
      </c>
      <c r="AD178" s="176">
        <f t="shared" si="21"/>
        <v>11</v>
      </c>
      <c r="AE178" s="177">
        <f t="shared" si="22"/>
        <v>46</v>
      </c>
      <c r="AF178" s="177">
        <f t="shared" si="23"/>
        <v>-93</v>
      </c>
      <c r="AG178" s="178">
        <f t="shared" si="24"/>
        <v>-2.0217391304347827</v>
      </c>
      <c r="AH178" s="179">
        <f t="shared" si="25"/>
        <v>-5.0543478260869565E-3</v>
      </c>
      <c r="AI178" s="178">
        <f t="shared" ca="1" si="26"/>
        <v>5.0543478260869565E-3</v>
      </c>
      <c r="AJ178" s="180" t="s">
        <v>508</v>
      </c>
    </row>
    <row r="179" spans="1:36" s="23" customFormat="1" ht="35.450000000000003" customHeight="1" x14ac:dyDescent="0.2">
      <c r="A179" s="121" t="s">
        <v>50</v>
      </c>
      <c r="B179" s="122" t="s">
        <v>417</v>
      </c>
      <c r="C179" s="121" t="s">
        <v>89</v>
      </c>
      <c r="D179" s="121" t="s">
        <v>96</v>
      </c>
      <c r="E179" s="121" t="s">
        <v>165</v>
      </c>
      <c r="F179" s="124" t="s">
        <v>223</v>
      </c>
      <c r="G179" s="44" t="str">
        <f t="shared" si="18"/>
        <v>Subdirector Financiero</v>
      </c>
      <c r="H179" s="116">
        <v>44470</v>
      </c>
      <c r="I179" s="116">
        <v>44516</v>
      </c>
      <c r="J179" s="54"/>
      <c r="K179" s="54"/>
      <c r="L179" s="54"/>
      <c r="M179" s="54"/>
      <c r="N179" s="54"/>
      <c r="O179" s="54"/>
      <c r="P179" s="54"/>
      <c r="Q179" s="54"/>
      <c r="R179" s="54"/>
      <c r="S179" s="54"/>
      <c r="T179" s="54"/>
      <c r="U179" s="54"/>
      <c r="V179" s="41" t="s">
        <v>123</v>
      </c>
      <c r="W179" s="168">
        <v>2.5000000000000001E-3</v>
      </c>
      <c r="X179" s="116"/>
      <c r="Y179" s="73"/>
      <c r="Z179" s="65"/>
      <c r="AA179" s="41"/>
      <c r="AB179" s="63">
        <f t="shared" ca="1" si="19"/>
        <v>0</v>
      </c>
      <c r="AC179" s="63">
        <f t="shared" ca="1" si="20"/>
        <v>2.5000000000000001E-3</v>
      </c>
      <c r="AD179" s="176">
        <f t="shared" si="21"/>
        <v>11</v>
      </c>
      <c r="AE179" s="177">
        <f t="shared" si="22"/>
        <v>46</v>
      </c>
      <c r="AF179" s="177">
        <f t="shared" si="23"/>
        <v>-93</v>
      </c>
      <c r="AG179" s="178">
        <f t="shared" si="24"/>
        <v>-2.0217391304347827</v>
      </c>
      <c r="AH179" s="179">
        <f t="shared" si="25"/>
        <v>-5.0543478260869565E-3</v>
      </c>
      <c r="AI179" s="178">
        <f t="shared" ca="1" si="26"/>
        <v>5.0543478260869565E-3</v>
      </c>
      <c r="AJ179" s="180" t="s">
        <v>508</v>
      </c>
    </row>
    <row r="180" spans="1:36" s="23" customFormat="1" ht="35.450000000000003" customHeight="1" x14ac:dyDescent="0.2">
      <c r="A180" s="121" t="s">
        <v>50</v>
      </c>
      <c r="B180" s="122" t="s">
        <v>414</v>
      </c>
      <c r="C180" s="121" t="s">
        <v>80</v>
      </c>
      <c r="D180" s="121" t="s">
        <v>100</v>
      </c>
      <c r="E180" s="121" t="s">
        <v>165</v>
      </c>
      <c r="F180" s="124" t="s">
        <v>223</v>
      </c>
      <c r="G180" s="44" t="str">
        <f t="shared" si="18"/>
        <v>Director de Reasentamientos Humanos</v>
      </c>
      <c r="H180" s="116">
        <v>44470</v>
      </c>
      <c r="I180" s="116">
        <v>44516</v>
      </c>
      <c r="J180" s="54"/>
      <c r="K180" s="54"/>
      <c r="L180" s="54"/>
      <c r="M180" s="54"/>
      <c r="N180" s="54"/>
      <c r="O180" s="54"/>
      <c r="P180" s="54"/>
      <c r="Q180" s="54"/>
      <c r="R180" s="54"/>
      <c r="S180" s="54"/>
      <c r="T180" s="54"/>
      <c r="U180" s="54"/>
      <c r="V180" s="121" t="s">
        <v>123</v>
      </c>
      <c r="W180" s="168">
        <v>2.5000000000000001E-3</v>
      </c>
      <c r="X180" s="116"/>
      <c r="Y180" s="73"/>
      <c r="Z180" s="65"/>
      <c r="AA180" s="41"/>
      <c r="AB180" s="63">
        <f t="shared" ca="1" si="19"/>
        <v>0</v>
      </c>
      <c r="AC180" s="63">
        <f t="shared" ca="1" si="20"/>
        <v>2.5000000000000001E-3</v>
      </c>
      <c r="AD180" s="176">
        <f t="shared" si="21"/>
        <v>11</v>
      </c>
      <c r="AE180" s="177">
        <f t="shared" si="22"/>
        <v>46</v>
      </c>
      <c r="AF180" s="177">
        <f t="shared" si="23"/>
        <v>-93</v>
      </c>
      <c r="AG180" s="178">
        <f t="shared" si="24"/>
        <v>-2.0217391304347827</v>
      </c>
      <c r="AH180" s="179">
        <f t="shared" si="25"/>
        <v>-5.0543478260869565E-3</v>
      </c>
      <c r="AI180" s="178">
        <f t="shared" ca="1" si="26"/>
        <v>5.0543478260869565E-3</v>
      </c>
      <c r="AJ180" s="180" t="s">
        <v>508</v>
      </c>
    </row>
    <row r="181" spans="1:36" s="23" customFormat="1" ht="35.450000000000003" customHeight="1" x14ac:dyDescent="0.2">
      <c r="A181" s="121" t="s">
        <v>50</v>
      </c>
      <c r="B181" s="122" t="s">
        <v>414</v>
      </c>
      <c r="C181" s="121" t="s">
        <v>89</v>
      </c>
      <c r="D181" s="121" t="s">
        <v>96</v>
      </c>
      <c r="E181" s="121" t="s">
        <v>165</v>
      </c>
      <c r="F181" s="124" t="s">
        <v>223</v>
      </c>
      <c r="G181" s="44" t="str">
        <f t="shared" si="18"/>
        <v>Subdirector Financiero</v>
      </c>
      <c r="H181" s="116">
        <v>44470</v>
      </c>
      <c r="I181" s="116">
        <v>44516</v>
      </c>
      <c r="J181" s="54"/>
      <c r="K181" s="54"/>
      <c r="L181" s="54"/>
      <c r="M181" s="54"/>
      <c r="N181" s="54"/>
      <c r="O181" s="54"/>
      <c r="P181" s="54"/>
      <c r="Q181" s="54"/>
      <c r="R181" s="54"/>
      <c r="S181" s="54"/>
      <c r="T181" s="54"/>
      <c r="U181" s="54"/>
      <c r="V181" s="121" t="s">
        <v>123</v>
      </c>
      <c r="W181" s="168">
        <v>2.5000000000000001E-3</v>
      </c>
      <c r="X181" s="116"/>
      <c r="Y181" s="73"/>
      <c r="Z181" s="65"/>
      <c r="AA181" s="41"/>
      <c r="AB181" s="63">
        <f t="shared" ca="1" si="19"/>
        <v>0</v>
      </c>
      <c r="AC181" s="63">
        <f t="shared" ca="1" si="20"/>
        <v>2.5000000000000001E-3</v>
      </c>
      <c r="AD181" s="176">
        <f t="shared" si="21"/>
        <v>11</v>
      </c>
      <c r="AE181" s="177">
        <f t="shared" si="22"/>
        <v>46</v>
      </c>
      <c r="AF181" s="177">
        <f t="shared" si="23"/>
        <v>-93</v>
      </c>
      <c r="AG181" s="178">
        <f t="shared" si="24"/>
        <v>-2.0217391304347827</v>
      </c>
      <c r="AH181" s="179">
        <f t="shared" si="25"/>
        <v>-5.0543478260869565E-3</v>
      </c>
      <c r="AI181" s="178">
        <f t="shared" ca="1" si="26"/>
        <v>5.0543478260869565E-3</v>
      </c>
      <c r="AJ181" s="180" t="s">
        <v>508</v>
      </c>
    </row>
    <row r="182" spans="1:36" s="23" customFormat="1" ht="35.450000000000003" customHeight="1" x14ac:dyDescent="0.2">
      <c r="A182" s="121" t="s">
        <v>44</v>
      </c>
      <c r="B182" s="122" t="s">
        <v>304</v>
      </c>
      <c r="C182" s="121" t="s">
        <v>89</v>
      </c>
      <c r="D182" s="121" t="s">
        <v>96</v>
      </c>
      <c r="E182" s="121" t="s">
        <v>165</v>
      </c>
      <c r="F182" s="123" t="s">
        <v>246</v>
      </c>
      <c r="G182" s="44" t="str">
        <f t="shared" si="18"/>
        <v>Subdirector Financiero</v>
      </c>
      <c r="H182" s="116">
        <v>44470</v>
      </c>
      <c r="I182" s="116">
        <v>44526</v>
      </c>
      <c r="J182" s="54"/>
      <c r="K182" s="54"/>
      <c r="L182" s="54"/>
      <c r="M182" s="54"/>
      <c r="N182" s="54"/>
      <c r="O182" s="54"/>
      <c r="P182" s="54"/>
      <c r="Q182" s="54"/>
      <c r="R182" s="54"/>
      <c r="S182" s="54"/>
      <c r="T182" s="54"/>
      <c r="U182" s="54"/>
      <c r="V182" s="121" t="s">
        <v>195</v>
      </c>
      <c r="W182" s="168">
        <v>0.01</v>
      </c>
      <c r="X182" s="116"/>
      <c r="Y182" s="65"/>
      <c r="Z182" s="65"/>
      <c r="AA182" s="41"/>
      <c r="AB182" s="63">
        <f t="shared" ca="1" si="19"/>
        <v>0</v>
      </c>
      <c r="AC182" s="63">
        <f t="shared" ca="1" si="20"/>
        <v>0.01</v>
      </c>
      <c r="AD182" s="176">
        <f t="shared" si="21"/>
        <v>11</v>
      </c>
      <c r="AE182" s="177">
        <f t="shared" si="22"/>
        <v>56</v>
      </c>
      <c r="AF182" s="177">
        <f t="shared" si="23"/>
        <v>-93</v>
      </c>
      <c r="AG182" s="178">
        <f t="shared" si="24"/>
        <v>-1.6607142857142858</v>
      </c>
      <c r="AH182" s="179">
        <f t="shared" si="25"/>
        <v>-1.6607142857142859E-2</v>
      </c>
      <c r="AI182" s="178">
        <f t="shared" ca="1" si="26"/>
        <v>1.6607142857142859E-2</v>
      </c>
      <c r="AJ182" s="180" t="s">
        <v>508</v>
      </c>
    </row>
    <row r="183" spans="1:36" s="23" customFormat="1" ht="35.450000000000003" customHeight="1" x14ac:dyDescent="0.2">
      <c r="A183" s="121" t="s">
        <v>43</v>
      </c>
      <c r="B183" s="122" t="s">
        <v>501</v>
      </c>
      <c r="C183" s="121" t="s">
        <v>90</v>
      </c>
      <c r="D183" s="121" t="s">
        <v>97</v>
      </c>
      <c r="E183" s="121" t="s">
        <v>165</v>
      </c>
      <c r="F183" s="124" t="s">
        <v>222</v>
      </c>
      <c r="G183" s="44" t="str">
        <f t="shared" si="18"/>
        <v>Asesor de Control Interno</v>
      </c>
      <c r="H183" s="195">
        <v>44475</v>
      </c>
      <c r="I183" s="195">
        <v>44509</v>
      </c>
      <c r="J183" s="54"/>
      <c r="K183" s="54"/>
      <c r="L183" s="54"/>
      <c r="M183" s="54"/>
      <c r="N183" s="54"/>
      <c r="O183" s="54"/>
      <c r="P183" s="54"/>
      <c r="Q183" s="54"/>
      <c r="R183" s="54"/>
      <c r="S183" s="54"/>
      <c r="T183" s="54"/>
      <c r="U183" s="54"/>
      <c r="V183" s="121" t="s">
        <v>314</v>
      </c>
      <c r="W183" s="170">
        <v>4.0000000000000001E-3</v>
      </c>
      <c r="X183" s="116"/>
      <c r="Y183" s="122"/>
      <c r="Z183" s="65"/>
      <c r="AA183" s="41"/>
      <c r="AB183" s="63">
        <f t="shared" ca="1" si="19"/>
        <v>0</v>
      </c>
      <c r="AC183" s="63">
        <f t="shared" ca="1" si="20"/>
        <v>4.0000000000000001E-3</v>
      </c>
      <c r="AD183" s="176">
        <f t="shared" si="21"/>
        <v>11</v>
      </c>
      <c r="AE183" s="177">
        <f t="shared" si="22"/>
        <v>34</v>
      </c>
      <c r="AF183" s="177">
        <f t="shared" si="23"/>
        <v>-98</v>
      </c>
      <c r="AG183" s="178">
        <f t="shared" si="24"/>
        <v>-2.8823529411764706</v>
      </c>
      <c r="AH183" s="179">
        <f t="shared" si="25"/>
        <v>-1.1529411764705882E-2</v>
      </c>
      <c r="AI183" s="178">
        <f t="shared" ca="1" si="26"/>
        <v>1.1529411764705882E-2</v>
      </c>
      <c r="AJ183" s="180" t="s">
        <v>508</v>
      </c>
    </row>
    <row r="184" spans="1:36" s="23" customFormat="1" ht="35.450000000000003" customHeight="1" x14ac:dyDescent="0.2">
      <c r="A184" s="132" t="s">
        <v>44</v>
      </c>
      <c r="B184" s="122" t="s">
        <v>94</v>
      </c>
      <c r="C184" s="121" t="s">
        <v>87</v>
      </c>
      <c r="D184" s="121" t="s">
        <v>96</v>
      </c>
      <c r="E184" s="121" t="s">
        <v>165</v>
      </c>
      <c r="F184" s="123" t="s">
        <v>159</v>
      </c>
      <c r="G184" s="44" t="str">
        <f t="shared" si="18"/>
        <v>Subdirector Administrativo</v>
      </c>
      <c r="H184" s="116">
        <v>44480</v>
      </c>
      <c r="I184" s="116">
        <v>44512</v>
      </c>
      <c r="J184" s="54"/>
      <c r="K184" s="54"/>
      <c r="L184" s="54"/>
      <c r="M184" s="54"/>
      <c r="N184" s="54"/>
      <c r="O184" s="54"/>
      <c r="P184" s="54"/>
      <c r="Q184" s="54"/>
      <c r="R184" s="54"/>
      <c r="S184" s="54"/>
      <c r="T184" s="54"/>
      <c r="U184" s="54"/>
      <c r="V184" s="121" t="s">
        <v>123</v>
      </c>
      <c r="W184" s="168">
        <v>0.01</v>
      </c>
      <c r="X184" s="116"/>
      <c r="Y184" s="65"/>
      <c r="Z184" s="65"/>
      <c r="AA184" s="121"/>
      <c r="AB184" s="63">
        <f t="shared" ca="1" si="19"/>
        <v>0</v>
      </c>
      <c r="AC184" s="63">
        <f t="shared" ca="1" si="20"/>
        <v>0.01</v>
      </c>
      <c r="AD184" s="176">
        <f t="shared" si="21"/>
        <v>11</v>
      </c>
      <c r="AE184" s="177">
        <f t="shared" si="22"/>
        <v>32</v>
      </c>
      <c r="AF184" s="177">
        <f t="shared" si="23"/>
        <v>-103</v>
      </c>
      <c r="AG184" s="178">
        <f t="shared" si="24"/>
        <v>-3.21875</v>
      </c>
      <c r="AH184" s="179">
        <f t="shared" si="25"/>
        <v>-3.2187500000000001E-2</v>
      </c>
      <c r="AI184" s="178">
        <f t="shared" ca="1" si="26"/>
        <v>3.2187500000000001E-2</v>
      </c>
      <c r="AJ184" s="180" t="s">
        <v>508</v>
      </c>
    </row>
    <row r="185" spans="1:36" s="23" customFormat="1" ht="35.450000000000003" customHeight="1" x14ac:dyDescent="0.2">
      <c r="A185" s="121" t="s">
        <v>45</v>
      </c>
      <c r="B185" s="65" t="s">
        <v>206</v>
      </c>
      <c r="C185" s="121" t="s">
        <v>98</v>
      </c>
      <c r="D185" s="121" t="s">
        <v>98</v>
      </c>
      <c r="E185" s="121" t="s">
        <v>165</v>
      </c>
      <c r="F185" s="124" t="s">
        <v>222</v>
      </c>
      <c r="G185" s="44" t="str">
        <f t="shared" si="18"/>
        <v>Líderes de Cada Proceso</v>
      </c>
      <c r="H185" s="195">
        <v>44484</v>
      </c>
      <c r="I185" s="195">
        <v>44526</v>
      </c>
      <c r="J185" s="54"/>
      <c r="K185" s="54"/>
      <c r="L185" s="54"/>
      <c r="M185" s="54"/>
      <c r="N185" s="54"/>
      <c r="O185" s="54"/>
      <c r="P185" s="54"/>
      <c r="Q185" s="54"/>
      <c r="R185" s="54"/>
      <c r="S185" s="54"/>
      <c r="T185" s="54"/>
      <c r="U185" s="54"/>
      <c r="V185" s="121" t="s">
        <v>123</v>
      </c>
      <c r="W185" s="168">
        <v>7.0000000000000001E-3</v>
      </c>
      <c r="X185" s="116"/>
      <c r="Y185" s="65"/>
      <c r="Z185" s="65"/>
      <c r="AA185" s="121"/>
      <c r="AB185" s="63">
        <f t="shared" ca="1" si="19"/>
        <v>0</v>
      </c>
      <c r="AC185" s="63">
        <f t="shared" ca="1" si="20"/>
        <v>7.0000000000000001E-3</v>
      </c>
      <c r="AD185" s="176">
        <f t="shared" si="21"/>
        <v>11</v>
      </c>
      <c r="AE185" s="177">
        <f t="shared" si="22"/>
        <v>42</v>
      </c>
      <c r="AF185" s="177">
        <f t="shared" si="23"/>
        <v>-107</v>
      </c>
      <c r="AG185" s="178">
        <f t="shared" si="24"/>
        <v>-2.5476190476190474</v>
      </c>
      <c r="AH185" s="179">
        <f t="shared" si="25"/>
        <v>-1.7833333333333333E-2</v>
      </c>
      <c r="AI185" s="178">
        <f t="shared" ca="1" si="26"/>
        <v>1.7833333333333333E-2</v>
      </c>
      <c r="AJ185" s="180" t="s">
        <v>508</v>
      </c>
    </row>
    <row r="186" spans="1:36" s="23" customFormat="1" ht="35.450000000000003" customHeight="1" x14ac:dyDescent="0.2">
      <c r="A186" s="121" t="s">
        <v>47</v>
      </c>
      <c r="B186" s="125" t="s">
        <v>192</v>
      </c>
      <c r="C186" s="121" t="s">
        <v>90</v>
      </c>
      <c r="D186" s="121" t="s">
        <v>97</v>
      </c>
      <c r="E186" s="121" t="s">
        <v>165</v>
      </c>
      <c r="F186" s="123" t="s">
        <v>223</v>
      </c>
      <c r="G186" s="44" t="str">
        <f t="shared" si="18"/>
        <v>Asesor de Control Interno</v>
      </c>
      <c r="H186" s="116">
        <v>44494</v>
      </c>
      <c r="I186" s="116">
        <v>44508</v>
      </c>
      <c r="J186" s="54"/>
      <c r="K186" s="54"/>
      <c r="L186" s="54"/>
      <c r="M186" s="54"/>
      <c r="N186" s="54"/>
      <c r="O186" s="54"/>
      <c r="P186" s="54"/>
      <c r="Q186" s="54"/>
      <c r="R186" s="54"/>
      <c r="S186" s="54"/>
      <c r="T186" s="54"/>
      <c r="U186" s="54"/>
      <c r="V186" s="121" t="s">
        <v>208</v>
      </c>
      <c r="W186" s="170">
        <v>5.0000000000000001E-3</v>
      </c>
      <c r="X186" s="169"/>
      <c r="Y186" s="65"/>
      <c r="Z186" s="65"/>
      <c r="AA186" s="121"/>
      <c r="AB186" s="63">
        <f t="shared" ca="1" si="19"/>
        <v>0</v>
      </c>
      <c r="AC186" s="63">
        <f t="shared" ca="1" si="20"/>
        <v>5.0000000000000001E-3</v>
      </c>
      <c r="AD186" s="176">
        <f t="shared" si="21"/>
        <v>11</v>
      </c>
      <c r="AE186" s="177">
        <f t="shared" si="22"/>
        <v>14</v>
      </c>
      <c r="AF186" s="177">
        <f t="shared" si="23"/>
        <v>-117</v>
      </c>
      <c r="AG186" s="178">
        <f t="shared" si="24"/>
        <v>-8.3571428571428577</v>
      </c>
      <c r="AH186" s="179">
        <f t="shared" si="25"/>
        <v>-4.1785714285714287E-2</v>
      </c>
      <c r="AI186" s="178">
        <f t="shared" ca="1" si="26"/>
        <v>4.1785714285714287E-2</v>
      </c>
      <c r="AJ186" s="180" t="s">
        <v>508</v>
      </c>
    </row>
    <row r="187" spans="1:36" s="23" customFormat="1" ht="35.450000000000003" customHeight="1" x14ac:dyDescent="0.2">
      <c r="A187" s="121" t="s">
        <v>45</v>
      </c>
      <c r="B187" s="122" t="s">
        <v>272</v>
      </c>
      <c r="C187" s="121" t="s">
        <v>90</v>
      </c>
      <c r="D187" s="121" t="s">
        <v>97</v>
      </c>
      <c r="E187" s="121" t="s">
        <v>165</v>
      </c>
      <c r="F187" s="124" t="s">
        <v>222</v>
      </c>
      <c r="G187" s="44" t="str">
        <f t="shared" si="18"/>
        <v>Asesor de Control Interno</v>
      </c>
      <c r="H187" s="116">
        <v>44496</v>
      </c>
      <c r="I187" s="116">
        <v>44503</v>
      </c>
      <c r="J187" s="54"/>
      <c r="K187" s="54"/>
      <c r="L187" s="54"/>
      <c r="M187" s="54"/>
      <c r="N187" s="54"/>
      <c r="O187" s="54"/>
      <c r="P187" s="54"/>
      <c r="Q187" s="54"/>
      <c r="R187" s="54"/>
      <c r="S187" s="54"/>
      <c r="T187" s="54"/>
      <c r="U187" s="54"/>
      <c r="V187" s="121" t="s">
        <v>208</v>
      </c>
      <c r="W187" s="168">
        <v>3.0000000000000001E-3</v>
      </c>
      <c r="X187" s="116"/>
      <c r="Y187" s="122"/>
      <c r="Z187" s="65"/>
      <c r="AA187" s="121"/>
      <c r="AB187" s="63">
        <f t="shared" ca="1" si="19"/>
        <v>0</v>
      </c>
      <c r="AC187" s="63">
        <f t="shared" ca="1" si="20"/>
        <v>3.0000000000000001E-3</v>
      </c>
      <c r="AD187" s="176">
        <f t="shared" si="21"/>
        <v>11</v>
      </c>
      <c r="AE187" s="177">
        <f t="shared" si="22"/>
        <v>7</v>
      </c>
      <c r="AF187" s="177">
        <f t="shared" si="23"/>
        <v>-119</v>
      </c>
      <c r="AG187" s="178">
        <f t="shared" si="24"/>
        <v>-17</v>
      </c>
      <c r="AH187" s="179">
        <f t="shared" si="25"/>
        <v>-5.1000000000000004E-2</v>
      </c>
      <c r="AI187" s="178">
        <f t="shared" ca="1" si="26"/>
        <v>5.1000000000000004E-2</v>
      </c>
      <c r="AJ187" s="180" t="s">
        <v>508</v>
      </c>
    </row>
    <row r="188" spans="1:36" s="23" customFormat="1" ht="35.450000000000003" customHeight="1" x14ac:dyDescent="0.2">
      <c r="A188" s="121" t="s">
        <v>46</v>
      </c>
      <c r="B188" s="115" t="s">
        <v>296</v>
      </c>
      <c r="C188" s="121" t="s">
        <v>80</v>
      </c>
      <c r="D188" s="121" t="s">
        <v>100</v>
      </c>
      <c r="E188" s="121" t="s">
        <v>165</v>
      </c>
      <c r="F188" s="123" t="s">
        <v>223</v>
      </c>
      <c r="G188" s="44" t="str">
        <f t="shared" si="18"/>
        <v>Director de Reasentamientos Humanos</v>
      </c>
      <c r="H188" s="116">
        <v>44496</v>
      </c>
      <c r="I188" s="116">
        <v>44561</v>
      </c>
      <c r="J188" s="54"/>
      <c r="K188" s="54"/>
      <c r="L188" s="54"/>
      <c r="M188" s="54"/>
      <c r="N188" s="54"/>
      <c r="O188" s="54"/>
      <c r="P188" s="54"/>
      <c r="Q188" s="54"/>
      <c r="R188" s="54"/>
      <c r="S188" s="54"/>
      <c r="T188" s="54"/>
      <c r="U188" s="54"/>
      <c r="V188" s="119" t="s">
        <v>317</v>
      </c>
      <c r="W188" s="170">
        <v>0.01</v>
      </c>
      <c r="X188" s="116"/>
      <c r="Y188" s="72"/>
      <c r="Z188" s="65"/>
      <c r="AA188" s="121"/>
      <c r="AB188" s="63">
        <f t="shared" ca="1" si="19"/>
        <v>0</v>
      </c>
      <c r="AC188" s="63">
        <f t="shared" ca="1" si="20"/>
        <v>0.01</v>
      </c>
      <c r="AD188" s="176">
        <f t="shared" si="21"/>
        <v>12</v>
      </c>
      <c r="AE188" s="177">
        <f t="shared" si="22"/>
        <v>65</v>
      </c>
      <c r="AF188" s="177">
        <f t="shared" si="23"/>
        <v>-119</v>
      </c>
      <c r="AG188" s="178">
        <f t="shared" si="24"/>
        <v>-1.8307692307692307</v>
      </c>
      <c r="AH188" s="179">
        <f t="shared" si="25"/>
        <v>-1.8307692307692306E-2</v>
      </c>
      <c r="AI188" s="178">
        <f t="shared" ca="1" si="26"/>
        <v>1.8307692307692306E-2</v>
      </c>
      <c r="AJ188" s="180" t="s">
        <v>508</v>
      </c>
    </row>
    <row r="189" spans="1:36" s="23" customFormat="1" ht="35.450000000000003" customHeight="1" x14ac:dyDescent="0.2">
      <c r="A189" s="132" t="s">
        <v>46</v>
      </c>
      <c r="B189" s="122" t="s">
        <v>294</v>
      </c>
      <c r="C189" s="121" t="s">
        <v>82</v>
      </c>
      <c r="D189" s="121" t="s">
        <v>100</v>
      </c>
      <c r="E189" s="121" t="s">
        <v>165</v>
      </c>
      <c r="F189" s="124" t="s">
        <v>222</v>
      </c>
      <c r="G189" s="44" t="str">
        <f t="shared" si="18"/>
        <v>Director de Mejoramiento de Barrios</v>
      </c>
      <c r="H189" s="116">
        <v>44497</v>
      </c>
      <c r="I189" s="116">
        <v>44503</v>
      </c>
      <c r="J189" s="54"/>
      <c r="K189" s="54"/>
      <c r="L189" s="54"/>
      <c r="M189" s="54"/>
      <c r="N189" s="54"/>
      <c r="O189" s="54"/>
      <c r="P189" s="54"/>
      <c r="Q189" s="54"/>
      <c r="R189" s="54"/>
      <c r="S189" s="54"/>
      <c r="T189" s="54"/>
      <c r="U189" s="54"/>
      <c r="V189" s="119" t="s">
        <v>297</v>
      </c>
      <c r="W189" s="168">
        <v>1E-3</v>
      </c>
      <c r="X189" s="116"/>
      <c r="Y189" s="65"/>
      <c r="Z189" s="65"/>
      <c r="AA189" s="121"/>
      <c r="AB189" s="63">
        <f t="shared" ca="1" si="19"/>
        <v>0</v>
      </c>
      <c r="AC189" s="63">
        <f t="shared" ca="1" si="20"/>
        <v>1E-3</v>
      </c>
      <c r="AD189" s="176">
        <f t="shared" si="21"/>
        <v>11</v>
      </c>
      <c r="AE189" s="177">
        <f t="shared" si="22"/>
        <v>6</v>
      </c>
      <c r="AF189" s="177">
        <f t="shared" si="23"/>
        <v>-120</v>
      </c>
      <c r="AG189" s="178">
        <f t="shared" si="24"/>
        <v>-20</v>
      </c>
      <c r="AH189" s="179">
        <f t="shared" si="25"/>
        <v>-0.02</v>
      </c>
      <c r="AI189" s="178">
        <f t="shared" ca="1" si="26"/>
        <v>0.02</v>
      </c>
      <c r="AJ189" s="180" t="s">
        <v>508</v>
      </c>
    </row>
    <row r="190" spans="1:36" s="23" customFormat="1" ht="35.450000000000003" customHeight="1" x14ac:dyDescent="0.2">
      <c r="A190" s="121" t="s">
        <v>45</v>
      </c>
      <c r="B190" s="122" t="s">
        <v>114</v>
      </c>
      <c r="C190" s="121" t="s">
        <v>90</v>
      </c>
      <c r="D190" s="121" t="s">
        <v>97</v>
      </c>
      <c r="E190" s="121" t="s">
        <v>165</v>
      </c>
      <c r="F190" s="124" t="s">
        <v>222</v>
      </c>
      <c r="G190" s="44" t="str">
        <f t="shared" si="18"/>
        <v>Asesor de Control Interno</v>
      </c>
      <c r="H190" s="116">
        <v>44502</v>
      </c>
      <c r="I190" s="116">
        <v>44505</v>
      </c>
      <c r="J190" s="54"/>
      <c r="K190" s="54"/>
      <c r="L190" s="54"/>
      <c r="M190" s="54"/>
      <c r="N190" s="54"/>
      <c r="O190" s="54"/>
      <c r="P190" s="54"/>
      <c r="Q190" s="54"/>
      <c r="R190" s="54"/>
      <c r="S190" s="54"/>
      <c r="T190" s="54"/>
      <c r="U190" s="54"/>
      <c r="V190" s="121" t="s">
        <v>195</v>
      </c>
      <c r="W190" s="168">
        <v>3.0000000000000001E-3</v>
      </c>
      <c r="X190" s="116"/>
      <c r="Y190" s="122"/>
      <c r="Z190" s="65"/>
      <c r="AA190" s="121"/>
      <c r="AB190" s="63">
        <f t="shared" ca="1" si="19"/>
        <v>0</v>
      </c>
      <c r="AC190" s="63">
        <f t="shared" ca="1" si="20"/>
        <v>3.0000000000000001E-3</v>
      </c>
      <c r="AD190" s="176">
        <f t="shared" si="21"/>
        <v>11</v>
      </c>
      <c r="AE190" s="177">
        <f t="shared" si="22"/>
        <v>3</v>
      </c>
      <c r="AF190" s="177">
        <f t="shared" si="23"/>
        <v>-125</v>
      </c>
      <c r="AG190" s="178">
        <f t="shared" si="24"/>
        <v>-41.666666666666664</v>
      </c>
      <c r="AH190" s="179">
        <f t="shared" si="25"/>
        <v>-0.125</v>
      </c>
      <c r="AI190" s="178">
        <f t="shared" ca="1" si="26"/>
        <v>0.125</v>
      </c>
      <c r="AJ190" s="180" t="s">
        <v>508</v>
      </c>
    </row>
    <row r="191" spans="1:36" s="23" customFormat="1" ht="35.450000000000003" customHeight="1" x14ac:dyDescent="0.2">
      <c r="A191" s="132" t="s">
        <v>44</v>
      </c>
      <c r="B191" s="122" t="s">
        <v>92</v>
      </c>
      <c r="C191" s="121" t="s">
        <v>89</v>
      </c>
      <c r="D191" s="121" t="s">
        <v>96</v>
      </c>
      <c r="E191" s="121" t="s">
        <v>165</v>
      </c>
      <c r="F191" s="123" t="s">
        <v>196</v>
      </c>
      <c r="G191" s="44" t="str">
        <f t="shared" si="18"/>
        <v>Subdirector Financiero</v>
      </c>
      <c r="H191" s="116">
        <v>44502</v>
      </c>
      <c r="I191" s="116">
        <v>44509</v>
      </c>
      <c r="J191" s="54"/>
      <c r="K191" s="54"/>
      <c r="L191" s="54"/>
      <c r="M191" s="54"/>
      <c r="N191" s="54"/>
      <c r="O191" s="54"/>
      <c r="P191" s="54"/>
      <c r="Q191" s="54"/>
      <c r="R191" s="54"/>
      <c r="S191" s="54"/>
      <c r="T191" s="54"/>
      <c r="U191" s="54"/>
      <c r="V191" s="121" t="s">
        <v>123</v>
      </c>
      <c r="W191" s="168">
        <v>1E-3</v>
      </c>
      <c r="X191" s="116"/>
      <c r="Y191" s="122"/>
      <c r="Z191" s="65"/>
      <c r="AA191" s="121"/>
      <c r="AB191" s="63">
        <f t="shared" ca="1" si="19"/>
        <v>0</v>
      </c>
      <c r="AC191" s="63">
        <f t="shared" ca="1" si="20"/>
        <v>1E-3</v>
      </c>
      <c r="AD191" s="176">
        <f t="shared" si="21"/>
        <v>11</v>
      </c>
      <c r="AE191" s="177">
        <f t="shared" si="22"/>
        <v>7</v>
      </c>
      <c r="AF191" s="177">
        <f t="shared" si="23"/>
        <v>-125</v>
      </c>
      <c r="AG191" s="178">
        <f t="shared" si="24"/>
        <v>-17.857142857142858</v>
      </c>
      <c r="AH191" s="179">
        <f t="shared" si="25"/>
        <v>-1.785714285714286E-2</v>
      </c>
      <c r="AI191" s="178">
        <f t="shared" ca="1" si="26"/>
        <v>1.785714285714286E-2</v>
      </c>
      <c r="AJ191" s="180" t="s">
        <v>508</v>
      </c>
    </row>
    <row r="192" spans="1:36" s="23" customFormat="1" ht="35.450000000000003" customHeight="1" x14ac:dyDescent="0.2">
      <c r="A192" s="132" t="s">
        <v>46</v>
      </c>
      <c r="B192" s="122" t="s">
        <v>93</v>
      </c>
      <c r="C192" s="121" t="s">
        <v>89</v>
      </c>
      <c r="D192" s="121" t="s">
        <v>96</v>
      </c>
      <c r="E192" s="121" t="s">
        <v>165</v>
      </c>
      <c r="F192" s="123" t="s">
        <v>223</v>
      </c>
      <c r="G192" s="44" t="str">
        <f t="shared" si="18"/>
        <v>Subdirector Financiero</v>
      </c>
      <c r="H192" s="116">
        <v>44502</v>
      </c>
      <c r="I192" s="116">
        <v>44510</v>
      </c>
      <c r="J192" s="54"/>
      <c r="K192" s="54"/>
      <c r="L192" s="54"/>
      <c r="M192" s="54"/>
      <c r="N192" s="54"/>
      <c r="O192" s="54"/>
      <c r="P192" s="54"/>
      <c r="Q192" s="54"/>
      <c r="R192" s="54"/>
      <c r="S192" s="54"/>
      <c r="T192" s="54"/>
      <c r="U192" s="54"/>
      <c r="V192" s="121" t="s">
        <v>312</v>
      </c>
      <c r="W192" s="168">
        <v>1E-3</v>
      </c>
      <c r="X192" s="116"/>
      <c r="Y192" s="65"/>
      <c r="Z192" s="65"/>
      <c r="AA192" s="121"/>
      <c r="AB192" s="63">
        <f t="shared" ca="1" si="19"/>
        <v>0</v>
      </c>
      <c r="AC192" s="63">
        <f t="shared" ca="1" si="20"/>
        <v>1E-3</v>
      </c>
      <c r="AD192" s="176">
        <f t="shared" ref="AD192:AD204" si="27">MONTH(I192)</f>
        <v>11</v>
      </c>
      <c r="AE192" s="177">
        <f t="shared" ref="AE192:AE204" si="28">+I192-H192</f>
        <v>8</v>
      </c>
      <c r="AF192" s="177">
        <f t="shared" ref="AF192:AF204" si="29">+$AF$18-H192</f>
        <v>-125</v>
      </c>
      <c r="AG192" s="178">
        <f t="shared" ref="AG192:AG204" si="30">+AF192/AE192</f>
        <v>-15.625</v>
      </c>
      <c r="AH192" s="179">
        <f t="shared" ref="AH192:AH204" si="31">+AG192*W192</f>
        <v>-1.5625E-2</v>
      </c>
      <c r="AI192" s="178">
        <f t="shared" ref="AI192:AI204" ca="1" si="32">+AB192-AH192</f>
        <v>1.5625E-2</v>
      </c>
      <c r="AJ192" s="180" t="s">
        <v>508</v>
      </c>
    </row>
    <row r="193" spans="1:36" s="23" customFormat="1" ht="35.450000000000003" customHeight="1" x14ac:dyDescent="0.2">
      <c r="A193" s="132" t="s">
        <v>44</v>
      </c>
      <c r="B193" s="122" t="s">
        <v>265</v>
      </c>
      <c r="C193" s="121" t="s">
        <v>89</v>
      </c>
      <c r="D193" s="121" t="s">
        <v>96</v>
      </c>
      <c r="E193" s="121" t="s">
        <v>165</v>
      </c>
      <c r="F193" s="123" t="s">
        <v>159</v>
      </c>
      <c r="G193" s="44" t="str">
        <f t="shared" si="18"/>
        <v>Subdirector Financiero</v>
      </c>
      <c r="H193" s="195">
        <v>44502</v>
      </c>
      <c r="I193" s="195">
        <v>44526</v>
      </c>
      <c r="J193" s="54"/>
      <c r="K193" s="54"/>
      <c r="L193" s="54"/>
      <c r="M193" s="54"/>
      <c r="N193" s="54"/>
      <c r="O193" s="54"/>
      <c r="P193" s="54"/>
      <c r="Q193" s="54"/>
      <c r="R193" s="54"/>
      <c r="S193" s="54"/>
      <c r="T193" s="54"/>
      <c r="U193" s="54"/>
      <c r="V193" s="121" t="s">
        <v>123</v>
      </c>
      <c r="W193" s="168">
        <v>2E-3</v>
      </c>
      <c r="X193" s="116"/>
      <c r="Y193" s="65"/>
      <c r="Z193" s="65"/>
      <c r="AA193" s="121"/>
      <c r="AB193" s="63">
        <f t="shared" ca="1" si="19"/>
        <v>0</v>
      </c>
      <c r="AC193" s="63">
        <f t="shared" ca="1" si="20"/>
        <v>2E-3</v>
      </c>
      <c r="AD193" s="176">
        <f t="shared" si="27"/>
        <v>11</v>
      </c>
      <c r="AE193" s="177">
        <f t="shared" si="28"/>
        <v>24</v>
      </c>
      <c r="AF193" s="177">
        <f t="shared" si="29"/>
        <v>-125</v>
      </c>
      <c r="AG193" s="178">
        <f t="shared" si="30"/>
        <v>-5.208333333333333</v>
      </c>
      <c r="AH193" s="179">
        <f t="shared" si="31"/>
        <v>-1.0416666666666666E-2</v>
      </c>
      <c r="AI193" s="178">
        <f t="shared" ca="1" si="32"/>
        <v>1.0416666666666666E-2</v>
      </c>
      <c r="AJ193" s="180" t="s">
        <v>508</v>
      </c>
    </row>
    <row r="194" spans="1:36" s="23" customFormat="1" ht="35.450000000000003" customHeight="1" x14ac:dyDescent="0.2">
      <c r="A194" s="132" t="s">
        <v>47</v>
      </c>
      <c r="B194" s="125" t="s">
        <v>288</v>
      </c>
      <c r="C194" s="121" t="s">
        <v>98</v>
      </c>
      <c r="D194" s="121" t="s">
        <v>98</v>
      </c>
      <c r="E194" s="121" t="s">
        <v>165</v>
      </c>
      <c r="F194" s="123" t="s">
        <v>246</v>
      </c>
      <c r="G194" s="44" t="str">
        <f t="shared" si="18"/>
        <v>Líderes de Cada Proceso</v>
      </c>
      <c r="H194" s="116">
        <v>44522</v>
      </c>
      <c r="I194" s="116">
        <v>44540</v>
      </c>
      <c r="J194" s="54"/>
      <c r="K194" s="54"/>
      <c r="L194" s="54"/>
      <c r="M194" s="54"/>
      <c r="N194" s="54"/>
      <c r="O194" s="54"/>
      <c r="P194" s="54"/>
      <c r="Q194" s="54"/>
      <c r="R194" s="54"/>
      <c r="S194" s="54"/>
      <c r="T194" s="54"/>
      <c r="U194" s="54"/>
      <c r="V194" s="121" t="s">
        <v>208</v>
      </c>
      <c r="W194" s="170">
        <v>0.02</v>
      </c>
      <c r="X194" s="116"/>
      <c r="Y194" s="65"/>
      <c r="Z194" s="65"/>
      <c r="AA194" s="121"/>
      <c r="AB194" s="63">
        <f t="shared" ca="1" si="19"/>
        <v>0</v>
      </c>
      <c r="AC194" s="63">
        <f t="shared" ca="1" si="20"/>
        <v>0.02</v>
      </c>
      <c r="AD194" s="176">
        <f t="shared" si="27"/>
        <v>12</v>
      </c>
      <c r="AE194" s="177">
        <f t="shared" si="28"/>
        <v>18</v>
      </c>
      <c r="AF194" s="177">
        <f t="shared" si="29"/>
        <v>-145</v>
      </c>
      <c r="AG194" s="178">
        <f t="shared" si="30"/>
        <v>-8.0555555555555554</v>
      </c>
      <c r="AH194" s="179">
        <f t="shared" si="31"/>
        <v>-0.16111111111111112</v>
      </c>
      <c r="AI194" s="178">
        <f t="shared" ca="1" si="32"/>
        <v>0.16111111111111112</v>
      </c>
      <c r="AJ194" s="180" t="s">
        <v>508</v>
      </c>
    </row>
    <row r="195" spans="1:36" s="23" customFormat="1" ht="35.450000000000003" customHeight="1" x14ac:dyDescent="0.2">
      <c r="A195" s="121" t="s">
        <v>47</v>
      </c>
      <c r="B195" s="125" t="s">
        <v>289</v>
      </c>
      <c r="C195" s="121" t="s">
        <v>98</v>
      </c>
      <c r="D195" s="121" t="s">
        <v>98</v>
      </c>
      <c r="E195" s="121" t="s">
        <v>165</v>
      </c>
      <c r="F195" s="123" t="s">
        <v>246</v>
      </c>
      <c r="G195" s="44" t="str">
        <f t="shared" si="18"/>
        <v>Líderes de Cada Proceso</v>
      </c>
      <c r="H195" s="116">
        <v>44522</v>
      </c>
      <c r="I195" s="116">
        <v>44540</v>
      </c>
      <c r="J195" s="54"/>
      <c r="K195" s="54"/>
      <c r="L195" s="54"/>
      <c r="M195" s="54"/>
      <c r="N195" s="54"/>
      <c r="O195" s="54"/>
      <c r="P195" s="54"/>
      <c r="Q195" s="54"/>
      <c r="R195" s="54"/>
      <c r="S195" s="54"/>
      <c r="T195" s="54"/>
      <c r="U195" s="54"/>
      <c r="V195" s="121" t="s">
        <v>208</v>
      </c>
      <c r="W195" s="170">
        <v>0.02</v>
      </c>
      <c r="X195" s="116"/>
      <c r="Y195" s="122"/>
      <c r="Z195" s="65"/>
      <c r="AA195" s="121"/>
      <c r="AB195" s="63">
        <f t="shared" ca="1" si="19"/>
        <v>0</v>
      </c>
      <c r="AC195" s="63">
        <f t="shared" ca="1" si="20"/>
        <v>0.02</v>
      </c>
      <c r="AD195" s="176">
        <f t="shared" si="27"/>
        <v>12</v>
      </c>
      <c r="AE195" s="177">
        <f t="shared" si="28"/>
        <v>18</v>
      </c>
      <c r="AF195" s="177">
        <f t="shared" si="29"/>
        <v>-145</v>
      </c>
      <c r="AG195" s="178">
        <f t="shared" si="30"/>
        <v>-8.0555555555555554</v>
      </c>
      <c r="AH195" s="179">
        <f t="shared" si="31"/>
        <v>-0.16111111111111112</v>
      </c>
      <c r="AI195" s="178">
        <f t="shared" ca="1" si="32"/>
        <v>0.16111111111111112</v>
      </c>
      <c r="AJ195" s="180" t="s">
        <v>508</v>
      </c>
    </row>
    <row r="196" spans="1:36" s="23" customFormat="1" ht="35.450000000000003" customHeight="1" x14ac:dyDescent="0.2">
      <c r="A196" s="121" t="s">
        <v>45</v>
      </c>
      <c r="B196" s="122" t="s">
        <v>272</v>
      </c>
      <c r="C196" s="121" t="s">
        <v>90</v>
      </c>
      <c r="D196" s="121" t="s">
        <v>97</v>
      </c>
      <c r="E196" s="121" t="s">
        <v>165</v>
      </c>
      <c r="F196" s="124" t="s">
        <v>222</v>
      </c>
      <c r="G196" s="44" t="str">
        <f t="shared" si="18"/>
        <v>Asesor de Control Interno</v>
      </c>
      <c r="H196" s="116">
        <v>44524</v>
      </c>
      <c r="I196" s="116">
        <v>44532</v>
      </c>
      <c r="J196" s="54"/>
      <c r="K196" s="54"/>
      <c r="L196" s="54"/>
      <c r="M196" s="54"/>
      <c r="N196" s="54"/>
      <c r="O196" s="54"/>
      <c r="P196" s="54"/>
      <c r="Q196" s="54"/>
      <c r="R196" s="54"/>
      <c r="S196" s="54"/>
      <c r="T196" s="54"/>
      <c r="U196" s="54"/>
      <c r="V196" s="121" t="s">
        <v>208</v>
      </c>
      <c r="W196" s="168">
        <v>3.0000000000000001E-3</v>
      </c>
      <c r="X196" s="116"/>
      <c r="Y196" s="122"/>
      <c r="Z196" s="65"/>
      <c r="AA196" s="121"/>
      <c r="AB196" s="63">
        <f t="shared" ca="1" si="19"/>
        <v>0</v>
      </c>
      <c r="AC196" s="63">
        <f t="shared" ca="1" si="20"/>
        <v>3.0000000000000001E-3</v>
      </c>
      <c r="AD196" s="176">
        <f t="shared" si="27"/>
        <v>12</v>
      </c>
      <c r="AE196" s="177">
        <f t="shared" si="28"/>
        <v>8</v>
      </c>
      <c r="AF196" s="177">
        <f t="shared" si="29"/>
        <v>-147</v>
      </c>
      <c r="AG196" s="178">
        <f t="shared" si="30"/>
        <v>-18.375</v>
      </c>
      <c r="AH196" s="179">
        <f t="shared" si="31"/>
        <v>-5.5125E-2</v>
      </c>
      <c r="AI196" s="178">
        <f t="shared" ca="1" si="32"/>
        <v>5.5125E-2</v>
      </c>
      <c r="AJ196" s="180" t="s">
        <v>508</v>
      </c>
    </row>
    <row r="197" spans="1:36" s="23" customFormat="1" ht="35.450000000000003" customHeight="1" x14ac:dyDescent="0.2">
      <c r="A197" s="121" t="s">
        <v>43</v>
      </c>
      <c r="B197" s="122" t="s">
        <v>502</v>
      </c>
      <c r="C197" s="121" t="s">
        <v>90</v>
      </c>
      <c r="D197" s="121" t="s">
        <v>97</v>
      </c>
      <c r="E197" s="121" t="s">
        <v>165</v>
      </c>
      <c r="F197" s="124" t="s">
        <v>222</v>
      </c>
      <c r="G197" s="44" t="str">
        <f t="shared" si="18"/>
        <v>Asesor de Control Interno</v>
      </c>
      <c r="H197" s="195">
        <v>44524</v>
      </c>
      <c r="I197" s="116">
        <v>44552</v>
      </c>
      <c r="J197" s="54"/>
      <c r="K197" s="54"/>
      <c r="L197" s="54"/>
      <c r="M197" s="54"/>
      <c r="N197" s="54"/>
      <c r="O197" s="54"/>
      <c r="P197" s="54"/>
      <c r="Q197" s="54"/>
      <c r="R197" s="54"/>
      <c r="S197" s="54"/>
      <c r="T197" s="54"/>
      <c r="U197" s="54"/>
      <c r="V197" s="121" t="s">
        <v>314</v>
      </c>
      <c r="W197" s="168">
        <v>4.0000000000000001E-3</v>
      </c>
      <c r="X197" s="116"/>
      <c r="Y197" s="122"/>
      <c r="Z197" s="65"/>
      <c r="AA197" s="121"/>
      <c r="AB197" s="63">
        <f t="shared" ca="1" si="19"/>
        <v>0</v>
      </c>
      <c r="AC197" s="63">
        <f t="shared" ca="1" si="20"/>
        <v>4.0000000000000001E-3</v>
      </c>
      <c r="AD197" s="176">
        <f t="shared" si="27"/>
        <v>12</v>
      </c>
      <c r="AE197" s="177">
        <f t="shared" si="28"/>
        <v>28</v>
      </c>
      <c r="AF197" s="177">
        <f t="shared" si="29"/>
        <v>-147</v>
      </c>
      <c r="AG197" s="178">
        <f t="shared" si="30"/>
        <v>-5.25</v>
      </c>
      <c r="AH197" s="179">
        <f t="shared" si="31"/>
        <v>-2.1000000000000001E-2</v>
      </c>
      <c r="AI197" s="178">
        <f t="shared" ca="1" si="32"/>
        <v>2.1000000000000001E-2</v>
      </c>
      <c r="AJ197" s="180" t="s">
        <v>508</v>
      </c>
    </row>
    <row r="198" spans="1:36" s="23" customFormat="1" ht="35.450000000000003" customHeight="1" x14ac:dyDescent="0.2">
      <c r="A198" s="132" t="s">
        <v>46</v>
      </c>
      <c r="B198" s="122" t="s">
        <v>294</v>
      </c>
      <c r="C198" s="121" t="s">
        <v>82</v>
      </c>
      <c r="D198" s="121" t="s">
        <v>100</v>
      </c>
      <c r="E198" s="121" t="s">
        <v>165</v>
      </c>
      <c r="F198" s="124" t="s">
        <v>222</v>
      </c>
      <c r="G198" s="44" t="str">
        <f t="shared" si="18"/>
        <v>Director de Mejoramiento de Barrios</v>
      </c>
      <c r="H198" s="116">
        <v>44529</v>
      </c>
      <c r="I198" s="116">
        <v>44532</v>
      </c>
      <c r="J198" s="54"/>
      <c r="K198" s="54"/>
      <c r="L198" s="54"/>
      <c r="M198" s="54"/>
      <c r="N198" s="54"/>
      <c r="O198" s="54"/>
      <c r="P198" s="54"/>
      <c r="Q198" s="54"/>
      <c r="R198" s="54"/>
      <c r="S198" s="54"/>
      <c r="T198" s="54"/>
      <c r="U198" s="54"/>
      <c r="V198" s="119" t="s">
        <v>297</v>
      </c>
      <c r="W198" s="168">
        <v>1E-3</v>
      </c>
      <c r="X198" s="116"/>
      <c r="Y198" s="65"/>
      <c r="Z198" s="65"/>
      <c r="AA198" s="121"/>
      <c r="AB198" s="63">
        <f t="shared" ca="1" si="19"/>
        <v>0</v>
      </c>
      <c r="AC198" s="63">
        <f t="shared" ca="1" si="20"/>
        <v>1E-3</v>
      </c>
      <c r="AD198" s="176">
        <f t="shared" si="27"/>
        <v>12</v>
      </c>
      <c r="AE198" s="177">
        <f t="shared" si="28"/>
        <v>3</v>
      </c>
      <c r="AF198" s="177">
        <f t="shared" si="29"/>
        <v>-152</v>
      </c>
      <c r="AG198" s="178">
        <f t="shared" si="30"/>
        <v>-50.666666666666664</v>
      </c>
      <c r="AH198" s="179">
        <f t="shared" si="31"/>
        <v>-5.0666666666666665E-2</v>
      </c>
      <c r="AI198" s="178">
        <f t="shared" ca="1" si="32"/>
        <v>5.0666666666666665E-2</v>
      </c>
      <c r="AJ198" s="180" t="s">
        <v>508</v>
      </c>
    </row>
    <row r="199" spans="1:36" s="23" customFormat="1" ht="35.450000000000003" customHeight="1" x14ac:dyDescent="0.2">
      <c r="A199" s="121" t="s">
        <v>45</v>
      </c>
      <c r="B199" s="122" t="s">
        <v>114</v>
      </c>
      <c r="C199" s="121" t="s">
        <v>90</v>
      </c>
      <c r="D199" s="121" t="s">
        <v>97</v>
      </c>
      <c r="E199" s="121" t="s">
        <v>165</v>
      </c>
      <c r="F199" s="124" t="s">
        <v>222</v>
      </c>
      <c r="G199" s="44" t="str">
        <f t="shared" si="18"/>
        <v>Asesor de Control Interno</v>
      </c>
      <c r="H199" s="116">
        <v>44531</v>
      </c>
      <c r="I199" s="116">
        <v>44536</v>
      </c>
      <c r="J199" s="54"/>
      <c r="K199" s="54"/>
      <c r="L199" s="54"/>
      <c r="M199" s="54"/>
      <c r="N199" s="54"/>
      <c r="O199" s="54"/>
      <c r="P199" s="54"/>
      <c r="Q199" s="54"/>
      <c r="R199" s="54"/>
      <c r="S199" s="54"/>
      <c r="T199" s="54"/>
      <c r="U199" s="54"/>
      <c r="V199" s="121" t="s">
        <v>195</v>
      </c>
      <c r="W199" s="168">
        <v>3.0000000000000001E-3</v>
      </c>
      <c r="X199" s="169"/>
      <c r="Y199" s="65"/>
      <c r="Z199" s="65"/>
      <c r="AA199" s="121"/>
      <c r="AB199" s="63">
        <f t="shared" ca="1" si="19"/>
        <v>0</v>
      </c>
      <c r="AC199" s="63">
        <f t="shared" ca="1" si="20"/>
        <v>3.0000000000000001E-3</v>
      </c>
      <c r="AD199" s="176">
        <f t="shared" si="27"/>
        <v>12</v>
      </c>
      <c r="AE199" s="177">
        <f t="shared" si="28"/>
        <v>5</v>
      </c>
      <c r="AF199" s="177">
        <f t="shared" si="29"/>
        <v>-154</v>
      </c>
      <c r="AG199" s="178">
        <f t="shared" si="30"/>
        <v>-30.8</v>
      </c>
      <c r="AH199" s="179">
        <f t="shared" si="31"/>
        <v>-9.240000000000001E-2</v>
      </c>
      <c r="AI199" s="178">
        <f t="shared" ca="1" si="32"/>
        <v>9.240000000000001E-2</v>
      </c>
      <c r="AJ199" s="180" t="s">
        <v>508</v>
      </c>
    </row>
    <row r="200" spans="1:36" s="23" customFormat="1" ht="35.450000000000003" customHeight="1" x14ac:dyDescent="0.2">
      <c r="A200" s="132" t="s">
        <v>46</v>
      </c>
      <c r="B200" s="122" t="s">
        <v>93</v>
      </c>
      <c r="C200" s="121" t="s">
        <v>141</v>
      </c>
      <c r="D200" s="121" t="s">
        <v>96</v>
      </c>
      <c r="E200" s="121" t="s">
        <v>165</v>
      </c>
      <c r="F200" s="123" t="s">
        <v>223</v>
      </c>
      <c r="G200" s="44" t="str">
        <f t="shared" si="18"/>
        <v>Director de Gestión Corporativa y CID</v>
      </c>
      <c r="H200" s="116">
        <v>44531</v>
      </c>
      <c r="I200" s="116">
        <v>44540</v>
      </c>
      <c r="J200" s="54"/>
      <c r="K200" s="54"/>
      <c r="L200" s="54"/>
      <c r="M200" s="54"/>
      <c r="N200" s="54"/>
      <c r="O200" s="54"/>
      <c r="P200" s="54"/>
      <c r="Q200" s="54"/>
      <c r="R200" s="54"/>
      <c r="S200" s="54"/>
      <c r="T200" s="54"/>
      <c r="U200" s="54"/>
      <c r="V200" s="121" t="s">
        <v>312</v>
      </c>
      <c r="W200" s="168">
        <v>1E-3</v>
      </c>
      <c r="X200" s="116"/>
      <c r="Y200" s="122"/>
      <c r="Z200" s="65"/>
      <c r="AA200" s="121"/>
      <c r="AB200" s="63">
        <f t="shared" ca="1" si="19"/>
        <v>0</v>
      </c>
      <c r="AC200" s="63">
        <f t="shared" ca="1" si="20"/>
        <v>1E-3</v>
      </c>
      <c r="AD200" s="176">
        <f t="shared" si="27"/>
        <v>12</v>
      </c>
      <c r="AE200" s="177">
        <f t="shared" si="28"/>
        <v>9</v>
      </c>
      <c r="AF200" s="177">
        <f t="shared" si="29"/>
        <v>-154</v>
      </c>
      <c r="AG200" s="178">
        <f t="shared" si="30"/>
        <v>-17.111111111111111</v>
      </c>
      <c r="AH200" s="179">
        <f t="shared" si="31"/>
        <v>-1.7111111111111112E-2</v>
      </c>
      <c r="AI200" s="178">
        <f t="shared" ca="1" si="32"/>
        <v>1.7111111111111112E-2</v>
      </c>
      <c r="AJ200" s="180" t="s">
        <v>508</v>
      </c>
    </row>
    <row r="201" spans="1:36" s="23" customFormat="1" ht="35.450000000000003" customHeight="1" x14ac:dyDescent="0.2">
      <c r="A201" s="132" t="s">
        <v>44</v>
      </c>
      <c r="B201" s="122" t="s">
        <v>92</v>
      </c>
      <c r="C201" s="121" t="s">
        <v>89</v>
      </c>
      <c r="D201" s="121" t="s">
        <v>96</v>
      </c>
      <c r="E201" s="121" t="s">
        <v>165</v>
      </c>
      <c r="F201" s="123" t="s">
        <v>196</v>
      </c>
      <c r="G201" s="44" t="str">
        <f t="shared" si="18"/>
        <v>Subdirector Financiero</v>
      </c>
      <c r="H201" s="116">
        <v>44531</v>
      </c>
      <c r="I201" s="116">
        <v>44540</v>
      </c>
      <c r="J201" s="54"/>
      <c r="K201" s="54"/>
      <c r="L201" s="54"/>
      <c r="M201" s="54"/>
      <c r="N201" s="54"/>
      <c r="O201" s="54"/>
      <c r="P201" s="54"/>
      <c r="Q201" s="54"/>
      <c r="R201" s="54"/>
      <c r="S201" s="54"/>
      <c r="T201" s="54"/>
      <c r="U201" s="54"/>
      <c r="V201" s="121" t="s">
        <v>123</v>
      </c>
      <c r="W201" s="168">
        <v>1E-3</v>
      </c>
      <c r="X201" s="116"/>
      <c r="Y201" s="122"/>
      <c r="Z201" s="122"/>
      <c r="AA201" s="121"/>
      <c r="AB201" s="63">
        <f t="shared" ca="1" si="19"/>
        <v>0</v>
      </c>
      <c r="AC201" s="63">
        <f t="shared" ca="1" si="20"/>
        <v>1E-3</v>
      </c>
      <c r="AD201" s="176">
        <f t="shared" si="27"/>
        <v>12</v>
      </c>
      <c r="AE201" s="177">
        <f t="shared" si="28"/>
        <v>9</v>
      </c>
      <c r="AF201" s="177">
        <f t="shared" si="29"/>
        <v>-154</v>
      </c>
      <c r="AG201" s="178">
        <f t="shared" si="30"/>
        <v>-17.111111111111111</v>
      </c>
      <c r="AH201" s="179">
        <f t="shared" si="31"/>
        <v>-1.7111111111111112E-2</v>
      </c>
      <c r="AI201" s="178">
        <f t="shared" ca="1" si="32"/>
        <v>1.7111111111111112E-2</v>
      </c>
      <c r="AJ201" s="180" t="s">
        <v>508</v>
      </c>
    </row>
    <row r="202" spans="1:36" s="23" customFormat="1" ht="35.450000000000003" customHeight="1" x14ac:dyDescent="0.2">
      <c r="A202" s="121" t="s">
        <v>45</v>
      </c>
      <c r="B202" s="122" t="s">
        <v>407</v>
      </c>
      <c r="C202" s="121" t="s">
        <v>90</v>
      </c>
      <c r="D202" s="121" t="s">
        <v>97</v>
      </c>
      <c r="E202" s="121" t="s">
        <v>165</v>
      </c>
      <c r="F202" s="123" t="s">
        <v>196</v>
      </c>
      <c r="G202" s="44" t="str">
        <f t="shared" si="18"/>
        <v>Asesor de Control Interno</v>
      </c>
      <c r="H202" s="158">
        <v>44533</v>
      </c>
      <c r="I202" s="158">
        <v>44545</v>
      </c>
      <c r="J202" s="54"/>
      <c r="K202" s="54"/>
      <c r="L202" s="54"/>
      <c r="M202" s="54"/>
      <c r="N202" s="54"/>
      <c r="O202" s="54"/>
      <c r="P202" s="54"/>
      <c r="Q202" s="54"/>
      <c r="R202" s="54"/>
      <c r="S202" s="54"/>
      <c r="T202" s="54"/>
      <c r="U202" s="54"/>
      <c r="V202" s="121" t="s">
        <v>312</v>
      </c>
      <c r="W202" s="168">
        <v>1E-3</v>
      </c>
      <c r="X202" s="116"/>
      <c r="Y202" s="73"/>
      <c r="Z202" s="65"/>
      <c r="AA202" s="121"/>
      <c r="AB202" s="63">
        <f t="shared" ca="1" si="19"/>
        <v>0</v>
      </c>
      <c r="AC202" s="63">
        <f t="shared" ca="1" si="20"/>
        <v>1E-3</v>
      </c>
      <c r="AD202" s="176">
        <f t="shared" si="27"/>
        <v>12</v>
      </c>
      <c r="AE202" s="177">
        <f t="shared" si="28"/>
        <v>12</v>
      </c>
      <c r="AF202" s="177">
        <f t="shared" si="29"/>
        <v>-156</v>
      </c>
      <c r="AG202" s="178">
        <f t="shared" si="30"/>
        <v>-13</v>
      </c>
      <c r="AH202" s="179">
        <f t="shared" si="31"/>
        <v>-1.3000000000000001E-2</v>
      </c>
      <c r="AI202" s="178">
        <f t="shared" ca="1" si="32"/>
        <v>1.3000000000000001E-2</v>
      </c>
      <c r="AJ202" s="180" t="s">
        <v>508</v>
      </c>
    </row>
    <row r="203" spans="1:36" s="23" customFormat="1" ht="35.450000000000003" customHeight="1" x14ac:dyDescent="0.2">
      <c r="A203" s="132" t="s">
        <v>45</v>
      </c>
      <c r="B203" s="122" t="s">
        <v>287</v>
      </c>
      <c r="C203" s="121" t="s">
        <v>90</v>
      </c>
      <c r="D203" s="121" t="s">
        <v>97</v>
      </c>
      <c r="E203" s="121" t="s">
        <v>165</v>
      </c>
      <c r="F203" s="124" t="s">
        <v>160</v>
      </c>
      <c r="G203" s="44" t="str">
        <f t="shared" si="18"/>
        <v>Asesor de Control Interno</v>
      </c>
      <c r="H203" s="116">
        <v>44543</v>
      </c>
      <c r="I203" s="116">
        <v>44557</v>
      </c>
      <c r="J203" s="54"/>
      <c r="K203" s="54"/>
      <c r="L203" s="54"/>
      <c r="M203" s="54"/>
      <c r="N203" s="54"/>
      <c r="O203" s="54"/>
      <c r="P203" s="54"/>
      <c r="Q203" s="54"/>
      <c r="R203" s="54"/>
      <c r="S203" s="54"/>
      <c r="T203" s="54"/>
      <c r="U203" s="54"/>
      <c r="V203" s="121" t="s">
        <v>123</v>
      </c>
      <c r="W203" s="168">
        <v>1.2E-2</v>
      </c>
      <c r="X203" s="116"/>
      <c r="Y203" s="73"/>
      <c r="Z203" s="65"/>
      <c r="AA203" s="121"/>
      <c r="AB203" s="63">
        <f t="shared" ca="1" si="19"/>
        <v>0</v>
      </c>
      <c r="AC203" s="63">
        <f t="shared" ca="1" si="20"/>
        <v>1.2E-2</v>
      </c>
      <c r="AD203" s="176">
        <f t="shared" si="27"/>
        <v>12</v>
      </c>
      <c r="AE203" s="177">
        <f t="shared" si="28"/>
        <v>14</v>
      </c>
      <c r="AF203" s="177">
        <f t="shared" si="29"/>
        <v>-166</v>
      </c>
      <c r="AG203" s="178">
        <f t="shared" si="30"/>
        <v>-11.857142857142858</v>
      </c>
      <c r="AH203" s="179">
        <f t="shared" si="31"/>
        <v>-0.14228571428571429</v>
      </c>
      <c r="AI203" s="178">
        <f t="shared" ca="1" si="32"/>
        <v>0.14228571428571429</v>
      </c>
      <c r="AJ203" s="180" t="s">
        <v>508</v>
      </c>
    </row>
    <row r="204" spans="1:36" s="23" customFormat="1" ht="35.450000000000003" customHeight="1" x14ac:dyDescent="0.2">
      <c r="A204" s="121" t="s">
        <v>47</v>
      </c>
      <c r="B204" s="125" t="s">
        <v>192</v>
      </c>
      <c r="C204" s="121" t="s">
        <v>90</v>
      </c>
      <c r="D204" s="121" t="s">
        <v>97</v>
      </c>
      <c r="E204" s="121" t="s">
        <v>165</v>
      </c>
      <c r="F204" s="123" t="s">
        <v>223</v>
      </c>
      <c r="G204" s="44" t="str">
        <f t="shared" si="18"/>
        <v>Asesor de Control Interno</v>
      </c>
      <c r="H204" s="116">
        <v>44559</v>
      </c>
      <c r="I204" s="116">
        <v>44573</v>
      </c>
      <c r="J204" s="54"/>
      <c r="K204" s="54"/>
      <c r="L204" s="54"/>
      <c r="M204" s="54"/>
      <c r="N204" s="54"/>
      <c r="O204" s="54"/>
      <c r="P204" s="54"/>
      <c r="Q204" s="54"/>
      <c r="R204" s="54"/>
      <c r="S204" s="54"/>
      <c r="T204" s="54"/>
      <c r="U204" s="54"/>
      <c r="V204" s="121" t="s">
        <v>208</v>
      </c>
      <c r="W204" s="170">
        <v>5.0000000000000001E-3</v>
      </c>
      <c r="X204" s="169"/>
      <c r="Y204" s="65"/>
      <c r="Z204" s="65"/>
      <c r="AA204" s="121"/>
      <c r="AB204" s="63">
        <f t="shared" ca="1" si="19"/>
        <v>0</v>
      </c>
      <c r="AC204" s="63">
        <f t="shared" ca="1" si="20"/>
        <v>5.0000000000000001E-3</v>
      </c>
      <c r="AD204" s="176">
        <f t="shared" si="27"/>
        <v>1</v>
      </c>
      <c r="AE204" s="177">
        <f t="shared" si="28"/>
        <v>14</v>
      </c>
      <c r="AF204" s="177">
        <f t="shared" si="29"/>
        <v>-182</v>
      </c>
      <c r="AG204" s="178">
        <f t="shared" si="30"/>
        <v>-13</v>
      </c>
      <c r="AH204" s="179">
        <f t="shared" si="31"/>
        <v>-6.5000000000000002E-2</v>
      </c>
      <c r="AI204" s="178">
        <f t="shared" ca="1" si="32"/>
        <v>6.5000000000000002E-2</v>
      </c>
      <c r="AJ204" s="180" t="s">
        <v>508</v>
      </c>
    </row>
    <row r="205" spans="1:36" s="23" customFormat="1" ht="35.450000000000003" customHeight="1" x14ac:dyDescent="0.2">
      <c r="A205" s="121" t="s">
        <v>50</v>
      </c>
      <c r="B205" s="122" t="s">
        <v>412</v>
      </c>
      <c r="C205" s="121" t="s">
        <v>89</v>
      </c>
      <c r="D205" s="121" t="s">
        <v>96</v>
      </c>
      <c r="E205" s="121" t="s">
        <v>165</v>
      </c>
      <c r="F205" s="123" t="s">
        <v>223</v>
      </c>
      <c r="G205" s="44" t="str">
        <f t="shared" si="18"/>
        <v>Subdirector Financiero</v>
      </c>
      <c r="H205" s="195"/>
      <c r="I205" s="195"/>
      <c r="J205" s="54"/>
      <c r="K205" s="54"/>
      <c r="L205" s="54"/>
      <c r="M205" s="54"/>
      <c r="N205" s="54"/>
      <c r="O205" s="54"/>
      <c r="P205" s="54"/>
      <c r="Q205" s="54"/>
      <c r="R205" s="54"/>
      <c r="S205" s="54"/>
      <c r="T205" s="54"/>
      <c r="U205" s="54"/>
      <c r="V205" s="121" t="s">
        <v>123</v>
      </c>
      <c r="W205" s="170">
        <v>0</v>
      </c>
      <c r="X205" s="116"/>
      <c r="Y205" s="65"/>
      <c r="Z205" s="65"/>
      <c r="AA205" s="121"/>
      <c r="AB205" s="63">
        <f t="shared" ca="1" si="19"/>
        <v>0</v>
      </c>
      <c r="AC205" s="63">
        <f t="shared" ca="1" si="20"/>
        <v>0</v>
      </c>
      <c r="AD205" s="176"/>
      <c r="AE205" s="177"/>
      <c r="AF205" s="177"/>
      <c r="AG205" s="178"/>
      <c r="AH205" s="179"/>
      <c r="AI205" s="178"/>
      <c r="AJ205" s="198" t="s">
        <v>225</v>
      </c>
    </row>
    <row r="206" spans="1:36" s="23" customFormat="1" ht="35.450000000000003" customHeight="1" x14ac:dyDescent="0.2">
      <c r="A206" s="121" t="s">
        <v>50</v>
      </c>
      <c r="B206" s="122" t="s">
        <v>412</v>
      </c>
      <c r="C206" s="121" t="s">
        <v>81</v>
      </c>
      <c r="D206" s="121" t="s">
        <v>100</v>
      </c>
      <c r="E206" s="121" t="s">
        <v>165</v>
      </c>
      <c r="F206" s="123" t="s">
        <v>223</v>
      </c>
      <c r="G206" s="44" t="str">
        <f t="shared" si="18"/>
        <v>Director de Urbanizaciones y Titulación</v>
      </c>
      <c r="H206" s="195"/>
      <c r="I206" s="195"/>
      <c r="J206" s="54"/>
      <c r="K206" s="54"/>
      <c r="L206" s="54"/>
      <c r="M206" s="54"/>
      <c r="N206" s="54"/>
      <c r="O206" s="54"/>
      <c r="P206" s="54"/>
      <c r="Q206" s="54"/>
      <c r="R206" s="54"/>
      <c r="S206" s="54"/>
      <c r="T206" s="54"/>
      <c r="U206" s="54"/>
      <c r="V206" s="121" t="s">
        <v>123</v>
      </c>
      <c r="W206" s="170">
        <v>0</v>
      </c>
      <c r="X206" s="116"/>
      <c r="Y206" s="65"/>
      <c r="Z206" s="65"/>
      <c r="AA206" s="121"/>
      <c r="AB206" s="63">
        <f t="shared" ca="1" si="19"/>
        <v>0</v>
      </c>
      <c r="AC206" s="63">
        <f t="shared" ca="1" si="20"/>
        <v>0</v>
      </c>
      <c r="AD206" s="176"/>
      <c r="AE206" s="177"/>
      <c r="AF206" s="177"/>
      <c r="AG206" s="178"/>
      <c r="AH206" s="179"/>
      <c r="AI206" s="178"/>
      <c r="AJ206" s="198" t="s">
        <v>225</v>
      </c>
    </row>
    <row r="207" spans="1:36" s="23" customFormat="1" ht="35.450000000000003" customHeight="1" x14ac:dyDescent="0.2">
      <c r="A207" s="121" t="s">
        <v>50</v>
      </c>
      <c r="B207" s="122" t="s">
        <v>416</v>
      </c>
      <c r="C207" s="121" t="s">
        <v>80</v>
      </c>
      <c r="D207" s="121" t="s">
        <v>100</v>
      </c>
      <c r="E207" s="121" t="s">
        <v>165</v>
      </c>
      <c r="F207" s="124" t="s">
        <v>223</v>
      </c>
      <c r="G207" s="44" t="str">
        <f t="shared" si="18"/>
        <v>Director de Reasentamientos Humanos</v>
      </c>
      <c r="H207" s="195"/>
      <c r="I207" s="195"/>
      <c r="J207" s="54"/>
      <c r="K207" s="54"/>
      <c r="L207" s="54"/>
      <c r="M207" s="54"/>
      <c r="N207" s="54"/>
      <c r="O207" s="54"/>
      <c r="P207" s="54"/>
      <c r="Q207" s="54"/>
      <c r="R207" s="54"/>
      <c r="S207" s="54"/>
      <c r="T207" s="54"/>
      <c r="U207" s="54"/>
      <c r="V207" s="121" t="s">
        <v>123</v>
      </c>
      <c r="W207" s="170">
        <v>0</v>
      </c>
      <c r="X207" s="116"/>
      <c r="Y207" s="73"/>
      <c r="Z207" s="65"/>
      <c r="AA207" s="121"/>
      <c r="AB207" s="63">
        <f t="shared" ca="1" si="19"/>
        <v>0</v>
      </c>
      <c r="AC207" s="63">
        <f t="shared" ca="1" si="20"/>
        <v>0</v>
      </c>
      <c r="AD207" s="176"/>
      <c r="AE207" s="177"/>
      <c r="AF207" s="177"/>
      <c r="AG207" s="178"/>
      <c r="AH207" s="179"/>
      <c r="AI207" s="178"/>
      <c r="AJ207" s="198" t="s">
        <v>225</v>
      </c>
    </row>
    <row r="208" spans="1:36" s="23" customFormat="1" ht="35.450000000000003" customHeight="1" x14ac:dyDescent="0.2">
      <c r="A208" s="121" t="s">
        <v>50</v>
      </c>
      <c r="B208" s="122" t="s">
        <v>416</v>
      </c>
      <c r="C208" s="121" t="s">
        <v>87</v>
      </c>
      <c r="D208" s="121" t="s">
        <v>96</v>
      </c>
      <c r="E208" s="121" t="s">
        <v>165</v>
      </c>
      <c r="F208" s="124" t="s">
        <v>223</v>
      </c>
      <c r="G208" s="44" t="str">
        <f t="shared" si="18"/>
        <v>Subdirector Administrativo</v>
      </c>
      <c r="H208" s="195"/>
      <c r="I208" s="195"/>
      <c r="J208" s="54"/>
      <c r="K208" s="54"/>
      <c r="L208" s="54"/>
      <c r="M208" s="54"/>
      <c r="N208" s="54"/>
      <c r="O208" s="54"/>
      <c r="P208" s="54"/>
      <c r="Q208" s="54"/>
      <c r="R208" s="54"/>
      <c r="S208" s="54"/>
      <c r="T208" s="54"/>
      <c r="U208" s="54"/>
      <c r="V208" s="121" t="s">
        <v>123</v>
      </c>
      <c r="W208" s="170">
        <v>0</v>
      </c>
      <c r="X208" s="116"/>
      <c r="Y208" s="73"/>
      <c r="Z208" s="65"/>
      <c r="AA208" s="121"/>
      <c r="AB208" s="63">
        <f t="shared" ca="1" si="19"/>
        <v>0</v>
      </c>
      <c r="AC208" s="63">
        <f t="shared" ca="1" si="20"/>
        <v>0</v>
      </c>
      <c r="AD208" s="176"/>
      <c r="AE208" s="177"/>
      <c r="AF208" s="177"/>
      <c r="AG208" s="178"/>
      <c r="AH208" s="179"/>
      <c r="AI208" s="178"/>
      <c r="AJ208" s="198" t="s">
        <v>225</v>
      </c>
    </row>
    <row r="209" spans="1:36" s="23" customFormat="1" ht="35.450000000000003" customHeight="1" x14ac:dyDescent="0.2">
      <c r="A209" s="121" t="s">
        <v>50</v>
      </c>
      <c r="B209" s="122" t="s">
        <v>413</v>
      </c>
      <c r="C209" s="121" t="s">
        <v>81</v>
      </c>
      <c r="D209" s="121" t="s">
        <v>100</v>
      </c>
      <c r="E209" s="121" t="s">
        <v>165</v>
      </c>
      <c r="F209" s="123" t="s">
        <v>223</v>
      </c>
      <c r="G209" s="44" t="str">
        <f t="shared" si="18"/>
        <v>Director de Urbanizaciones y Titulación</v>
      </c>
      <c r="H209" s="195"/>
      <c r="I209" s="195"/>
      <c r="J209" s="54"/>
      <c r="K209" s="54"/>
      <c r="L209" s="54"/>
      <c r="M209" s="54"/>
      <c r="N209" s="54"/>
      <c r="O209" s="54"/>
      <c r="P209" s="54"/>
      <c r="Q209" s="54"/>
      <c r="R209" s="54"/>
      <c r="S209" s="54"/>
      <c r="T209" s="54"/>
      <c r="U209" s="54"/>
      <c r="V209" s="121" t="s">
        <v>123</v>
      </c>
      <c r="W209" s="170">
        <v>0</v>
      </c>
      <c r="X209" s="116"/>
      <c r="Y209" s="65"/>
      <c r="Z209" s="65"/>
      <c r="AA209" s="121"/>
      <c r="AB209" s="63">
        <f t="shared" ca="1" si="19"/>
        <v>0</v>
      </c>
      <c r="AC209" s="63">
        <f t="shared" ca="1" si="20"/>
        <v>0</v>
      </c>
      <c r="AD209" s="176"/>
      <c r="AE209" s="177"/>
      <c r="AF209" s="177"/>
      <c r="AG209" s="178"/>
      <c r="AH209" s="179"/>
      <c r="AI209" s="178"/>
      <c r="AJ209" s="198" t="s">
        <v>225</v>
      </c>
    </row>
    <row r="210" spans="1:36" s="23" customFormat="1" ht="35.450000000000003" customHeight="1" x14ac:dyDescent="0.2">
      <c r="A210" s="121" t="s">
        <v>50</v>
      </c>
      <c r="B210" s="122" t="s">
        <v>413</v>
      </c>
      <c r="C210" s="121" t="s">
        <v>87</v>
      </c>
      <c r="D210" s="121" t="s">
        <v>96</v>
      </c>
      <c r="E210" s="121" t="s">
        <v>165</v>
      </c>
      <c r="F210" s="123" t="s">
        <v>223</v>
      </c>
      <c r="G210" s="44" t="str">
        <f t="shared" si="18"/>
        <v>Subdirector Administrativo</v>
      </c>
      <c r="H210" s="195"/>
      <c r="I210" s="195"/>
      <c r="J210" s="54"/>
      <c r="K210" s="54"/>
      <c r="L210" s="54"/>
      <c r="M210" s="54"/>
      <c r="N210" s="54"/>
      <c r="O210" s="54"/>
      <c r="P210" s="54"/>
      <c r="Q210" s="54"/>
      <c r="R210" s="54"/>
      <c r="S210" s="54"/>
      <c r="T210" s="54"/>
      <c r="U210" s="54"/>
      <c r="V210" s="121" t="s">
        <v>123</v>
      </c>
      <c r="W210" s="170">
        <v>0</v>
      </c>
      <c r="X210" s="116"/>
      <c r="Y210" s="65"/>
      <c r="Z210" s="65"/>
      <c r="AA210" s="121"/>
      <c r="AB210" s="63">
        <f t="shared" ca="1" si="19"/>
        <v>0</v>
      </c>
      <c r="AC210" s="63">
        <f t="shared" ca="1" si="20"/>
        <v>0</v>
      </c>
      <c r="AD210" s="176"/>
      <c r="AE210" s="177"/>
      <c r="AF210" s="177"/>
      <c r="AG210" s="178"/>
      <c r="AH210" s="179"/>
      <c r="AI210" s="178"/>
      <c r="AJ210" s="198" t="s">
        <v>225</v>
      </c>
    </row>
    <row r="211" spans="1:36" s="23" customFormat="1" ht="35.450000000000003" customHeight="1" x14ac:dyDescent="0.2">
      <c r="A211" s="121" t="s">
        <v>50</v>
      </c>
      <c r="B211" s="122" t="s">
        <v>415</v>
      </c>
      <c r="C211" s="121" t="s">
        <v>76</v>
      </c>
      <c r="D211" s="121" t="s">
        <v>96</v>
      </c>
      <c r="E211" s="121" t="s">
        <v>165</v>
      </c>
      <c r="F211" s="124" t="s">
        <v>223</v>
      </c>
      <c r="G211" s="44" t="str">
        <f t="shared" ref="G211:G227" si="33">IF(LEN(C211)&gt;0,VLOOKUP(C211,PROCESO2,3,0),"")</f>
        <v>Subdirector Administrativo</v>
      </c>
      <c r="H211" s="195"/>
      <c r="I211" s="195"/>
      <c r="J211" s="54"/>
      <c r="K211" s="54"/>
      <c r="L211" s="54"/>
      <c r="M211" s="54"/>
      <c r="N211" s="54"/>
      <c r="O211" s="54"/>
      <c r="P211" s="54"/>
      <c r="Q211" s="54"/>
      <c r="R211" s="54"/>
      <c r="S211" s="54"/>
      <c r="T211" s="54"/>
      <c r="U211" s="54"/>
      <c r="V211" s="121" t="s">
        <v>123</v>
      </c>
      <c r="W211" s="170">
        <v>0</v>
      </c>
      <c r="X211" s="116"/>
      <c r="Y211" s="73"/>
      <c r="Z211" s="65"/>
      <c r="AA211" s="121"/>
      <c r="AB211" s="63">
        <f t="shared" ref="AB211:AB227" ca="1" si="34">IF(ISERROR(VLOOKUP(AA211,INDIRECT(VLOOKUP(A211,ACTA,2,0)&amp;"A"),2,0))=TRUE,0,W211*(VLOOKUP(AA211,INDIRECT(VLOOKUP(A211,ACTA,2,0)&amp;"A"),2,0)))</f>
        <v>0</v>
      </c>
      <c r="AC211" s="63">
        <f t="shared" ref="AC211:AC227" ca="1" si="35">+W211-AB211</f>
        <v>0</v>
      </c>
      <c r="AD211" s="176"/>
      <c r="AE211" s="177"/>
      <c r="AF211" s="177"/>
      <c r="AG211" s="178"/>
      <c r="AH211" s="179"/>
      <c r="AI211" s="178"/>
      <c r="AJ211" s="198" t="s">
        <v>225</v>
      </c>
    </row>
    <row r="212" spans="1:36" s="23" customFormat="1" ht="35.450000000000003" customHeight="1" x14ac:dyDescent="0.2">
      <c r="A212" s="121" t="s">
        <v>50</v>
      </c>
      <c r="B212" s="122" t="s">
        <v>320</v>
      </c>
      <c r="C212" s="121" t="s">
        <v>82</v>
      </c>
      <c r="D212" s="121" t="s">
        <v>100</v>
      </c>
      <c r="E212" s="121" t="s">
        <v>165</v>
      </c>
      <c r="F212" s="124" t="s">
        <v>223</v>
      </c>
      <c r="G212" s="44" t="str">
        <f t="shared" si="33"/>
        <v>Director de Mejoramiento de Barrios</v>
      </c>
      <c r="H212" s="195"/>
      <c r="I212" s="195"/>
      <c r="J212" s="54"/>
      <c r="K212" s="54"/>
      <c r="L212" s="54"/>
      <c r="M212" s="54"/>
      <c r="N212" s="54"/>
      <c r="O212" s="54"/>
      <c r="P212" s="54"/>
      <c r="Q212" s="54"/>
      <c r="R212" s="54"/>
      <c r="S212" s="54"/>
      <c r="T212" s="54"/>
      <c r="U212" s="54"/>
      <c r="V212" s="121" t="s">
        <v>123</v>
      </c>
      <c r="W212" s="170">
        <v>0</v>
      </c>
      <c r="X212" s="116"/>
      <c r="Y212" s="73"/>
      <c r="Z212" s="65"/>
      <c r="AA212" s="121"/>
      <c r="AB212" s="63">
        <f t="shared" ca="1" si="34"/>
        <v>0</v>
      </c>
      <c r="AC212" s="63">
        <f t="shared" ca="1" si="35"/>
        <v>0</v>
      </c>
      <c r="AD212" s="176"/>
      <c r="AE212" s="177"/>
      <c r="AF212" s="177"/>
      <c r="AG212" s="178"/>
      <c r="AH212" s="179"/>
      <c r="AI212" s="178"/>
      <c r="AJ212" s="198" t="s">
        <v>225</v>
      </c>
    </row>
    <row r="213" spans="1:36" s="23" customFormat="1" ht="35.450000000000003" customHeight="1" x14ac:dyDescent="0.2">
      <c r="A213" s="121" t="s">
        <v>50</v>
      </c>
      <c r="B213" s="122" t="s">
        <v>331</v>
      </c>
      <c r="C213" s="121" t="s">
        <v>82</v>
      </c>
      <c r="D213" s="121" t="s">
        <v>100</v>
      </c>
      <c r="E213" s="121" t="s">
        <v>165</v>
      </c>
      <c r="F213" s="124" t="s">
        <v>159</v>
      </c>
      <c r="G213" s="44" t="str">
        <f t="shared" si="33"/>
        <v>Director de Mejoramiento de Barrios</v>
      </c>
      <c r="H213" s="195"/>
      <c r="I213" s="195"/>
      <c r="J213" s="54"/>
      <c r="K213" s="54"/>
      <c r="L213" s="54"/>
      <c r="M213" s="54"/>
      <c r="N213" s="54"/>
      <c r="O213" s="54"/>
      <c r="P213" s="54"/>
      <c r="Q213" s="54"/>
      <c r="R213" s="54"/>
      <c r="S213" s="54"/>
      <c r="T213" s="54"/>
      <c r="U213" s="54"/>
      <c r="V213" s="121" t="s">
        <v>123</v>
      </c>
      <c r="W213" s="170">
        <v>0</v>
      </c>
      <c r="X213" s="116"/>
      <c r="Y213" s="73"/>
      <c r="Z213" s="65"/>
      <c r="AA213" s="121"/>
      <c r="AB213" s="63">
        <f t="shared" ca="1" si="34"/>
        <v>0</v>
      </c>
      <c r="AC213" s="63">
        <f t="shared" ca="1" si="35"/>
        <v>0</v>
      </c>
      <c r="AD213" s="176"/>
      <c r="AE213" s="177"/>
      <c r="AF213" s="177"/>
      <c r="AG213" s="178"/>
      <c r="AH213" s="179"/>
      <c r="AI213" s="178"/>
      <c r="AJ213" s="198" t="s">
        <v>225</v>
      </c>
    </row>
    <row r="214" spans="1:36" s="23" customFormat="1" ht="35.450000000000003" customHeight="1" x14ac:dyDescent="0.2">
      <c r="A214" s="121" t="s">
        <v>50</v>
      </c>
      <c r="B214" s="122" t="s">
        <v>322</v>
      </c>
      <c r="C214" s="121" t="s">
        <v>83</v>
      </c>
      <c r="D214" s="121" t="s">
        <v>100</v>
      </c>
      <c r="E214" s="121" t="s">
        <v>165</v>
      </c>
      <c r="F214" s="124" t="s">
        <v>223</v>
      </c>
      <c r="G214" s="44" t="str">
        <f t="shared" si="33"/>
        <v>Director de Mejoramiento de Vivienda</v>
      </c>
      <c r="H214" s="195"/>
      <c r="I214" s="195"/>
      <c r="J214" s="54"/>
      <c r="K214" s="54"/>
      <c r="L214" s="54"/>
      <c r="M214" s="54"/>
      <c r="N214" s="54"/>
      <c r="O214" s="54"/>
      <c r="P214" s="54"/>
      <c r="Q214" s="54"/>
      <c r="R214" s="54"/>
      <c r="S214" s="54"/>
      <c r="T214" s="54"/>
      <c r="U214" s="54"/>
      <c r="V214" s="121" t="s">
        <v>123</v>
      </c>
      <c r="W214" s="170">
        <v>0</v>
      </c>
      <c r="X214" s="116"/>
      <c r="Y214" s="73"/>
      <c r="Z214" s="65"/>
      <c r="AA214" s="121"/>
      <c r="AB214" s="63">
        <f t="shared" ca="1" si="34"/>
        <v>0</v>
      </c>
      <c r="AC214" s="63">
        <f t="shared" ca="1" si="35"/>
        <v>0</v>
      </c>
      <c r="AD214" s="176"/>
      <c r="AE214" s="177"/>
      <c r="AF214" s="177"/>
      <c r="AG214" s="178"/>
      <c r="AH214" s="179"/>
      <c r="AI214" s="178"/>
      <c r="AJ214" s="198" t="s">
        <v>225</v>
      </c>
    </row>
    <row r="215" spans="1:36" s="23" customFormat="1" ht="35.450000000000003" customHeight="1" x14ac:dyDescent="0.2">
      <c r="A215" s="121" t="s">
        <v>50</v>
      </c>
      <c r="B215" s="122" t="s">
        <v>409</v>
      </c>
      <c r="C215" s="121" t="s">
        <v>83</v>
      </c>
      <c r="D215" s="121" t="s">
        <v>100</v>
      </c>
      <c r="E215" s="121" t="s">
        <v>165</v>
      </c>
      <c r="F215" s="124" t="s">
        <v>223</v>
      </c>
      <c r="G215" s="44" t="str">
        <f t="shared" si="33"/>
        <v>Director de Mejoramiento de Vivienda</v>
      </c>
      <c r="H215" s="195"/>
      <c r="I215" s="195"/>
      <c r="J215" s="54"/>
      <c r="K215" s="54"/>
      <c r="L215" s="54"/>
      <c r="M215" s="54"/>
      <c r="N215" s="54"/>
      <c r="O215" s="54"/>
      <c r="P215" s="54"/>
      <c r="Q215" s="54"/>
      <c r="R215" s="54"/>
      <c r="S215" s="54"/>
      <c r="T215" s="54"/>
      <c r="U215" s="54"/>
      <c r="V215" s="121" t="s">
        <v>123</v>
      </c>
      <c r="W215" s="170">
        <v>0</v>
      </c>
      <c r="X215" s="116"/>
      <c r="Y215" s="73"/>
      <c r="Z215" s="65"/>
      <c r="AA215" s="121"/>
      <c r="AB215" s="63">
        <f t="shared" ca="1" si="34"/>
        <v>0</v>
      </c>
      <c r="AC215" s="63">
        <f t="shared" ca="1" si="35"/>
        <v>0</v>
      </c>
      <c r="AD215" s="176"/>
      <c r="AE215" s="177"/>
      <c r="AF215" s="177"/>
      <c r="AG215" s="178"/>
      <c r="AH215" s="179"/>
      <c r="AI215" s="178"/>
      <c r="AJ215" s="198" t="s">
        <v>225</v>
      </c>
    </row>
    <row r="216" spans="1:36" s="23" customFormat="1" ht="35.450000000000003" customHeight="1" x14ac:dyDescent="0.2">
      <c r="A216" s="121" t="s">
        <v>50</v>
      </c>
      <c r="B216" s="122" t="s">
        <v>210</v>
      </c>
      <c r="C216" s="60" t="s">
        <v>141</v>
      </c>
      <c r="D216" s="45" t="s">
        <v>96</v>
      </c>
      <c r="E216" s="121" t="s">
        <v>165</v>
      </c>
      <c r="F216" s="123" t="s">
        <v>160</v>
      </c>
      <c r="G216" s="44" t="str">
        <f t="shared" si="33"/>
        <v>Director de Gestión Corporativa y CID</v>
      </c>
      <c r="H216" s="195"/>
      <c r="I216" s="195"/>
      <c r="J216" s="54"/>
      <c r="K216" s="54"/>
      <c r="L216" s="54"/>
      <c r="M216" s="54"/>
      <c r="N216" s="54"/>
      <c r="O216" s="54"/>
      <c r="P216" s="54"/>
      <c r="Q216" s="54"/>
      <c r="R216" s="54"/>
      <c r="S216" s="54"/>
      <c r="T216" s="54"/>
      <c r="U216" s="54"/>
      <c r="V216" s="121" t="s">
        <v>123</v>
      </c>
      <c r="W216" s="170">
        <v>0</v>
      </c>
      <c r="X216" s="116"/>
      <c r="Y216" s="65"/>
      <c r="Z216" s="65"/>
      <c r="AA216" s="121"/>
      <c r="AB216" s="63">
        <f t="shared" ca="1" si="34"/>
        <v>0</v>
      </c>
      <c r="AC216" s="63">
        <f t="shared" ca="1" si="35"/>
        <v>0</v>
      </c>
      <c r="AD216" s="176"/>
      <c r="AE216" s="177"/>
      <c r="AF216" s="177"/>
      <c r="AG216" s="178"/>
      <c r="AH216" s="179"/>
      <c r="AI216" s="178"/>
      <c r="AJ216" s="198" t="s">
        <v>225</v>
      </c>
    </row>
    <row r="217" spans="1:36" s="23" customFormat="1" ht="35.450000000000003" customHeight="1" x14ac:dyDescent="0.2">
      <c r="A217" s="121" t="s">
        <v>50</v>
      </c>
      <c r="B217" s="122" t="s">
        <v>323</v>
      </c>
      <c r="C217" s="121" t="s">
        <v>140</v>
      </c>
      <c r="D217" s="121" t="s">
        <v>100</v>
      </c>
      <c r="E217" s="121" t="s">
        <v>165</v>
      </c>
      <c r="F217" s="124" t="s">
        <v>159</v>
      </c>
      <c r="G217" s="44" t="str">
        <f t="shared" si="33"/>
        <v>Director de Gestión Corporativa y CID</v>
      </c>
      <c r="H217" s="195"/>
      <c r="I217" s="195"/>
      <c r="J217" s="54"/>
      <c r="K217" s="54"/>
      <c r="L217" s="54"/>
      <c r="M217" s="54"/>
      <c r="N217" s="54"/>
      <c r="O217" s="54"/>
      <c r="P217" s="54"/>
      <c r="Q217" s="54"/>
      <c r="R217" s="54"/>
      <c r="S217" s="54"/>
      <c r="T217" s="54"/>
      <c r="U217" s="54"/>
      <c r="V217" s="121" t="s">
        <v>123</v>
      </c>
      <c r="W217" s="170">
        <v>0</v>
      </c>
      <c r="X217" s="116"/>
      <c r="Y217" s="73"/>
      <c r="Z217" s="65"/>
      <c r="AA217" s="121"/>
      <c r="AB217" s="63">
        <f t="shared" ca="1" si="34"/>
        <v>0</v>
      </c>
      <c r="AC217" s="63">
        <f t="shared" ca="1" si="35"/>
        <v>0</v>
      </c>
      <c r="AD217" s="176"/>
      <c r="AE217" s="177"/>
      <c r="AF217" s="177"/>
      <c r="AG217" s="178"/>
      <c r="AH217" s="179"/>
      <c r="AI217" s="178"/>
      <c r="AJ217" s="198" t="s">
        <v>225</v>
      </c>
    </row>
    <row r="218" spans="1:36" s="23" customFormat="1" ht="35.450000000000003" customHeight="1" x14ac:dyDescent="0.2">
      <c r="A218" s="121" t="s">
        <v>50</v>
      </c>
      <c r="B218" s="122" t="s">
        <v>325</v>
      </c>
      <c r="C218" s="121" t="s">
        <v>80</v>
      </c>
      <c r="D218" s="121" t="s">
        <v>100</v>
      </c>
      <c r="E218" s="121" t="s">
        <v>165</v>
      </c>
      <c r="F218" s="124" t="s">
        <v>159</v>
      </c>
      <c r="G218" s="44" t="str">
        <f t="shared" si="33"/>
        <v>Director de Reasentamientos Humanos</v>
      </c>
      <c r="H218" s="195"/>
      <c r="I218" s="195"/>
      <c r="J218" s="54"/>
      <c r="K218" s="54"/>
      <c r="L218" s="54"/>
      <c r="M218" s="54"/>
      <c r="N218" s="54"/>
      <c r="O218" s="54"/>
      <c r="P218" s="54"/>
      <c r="Q218" s="54"/>
      <c r="R218" s="54"/>
      <c r="S218" s="54"/>
      <c r="T218" s="54"/>
      <c r="U218" s="54"/>
      <c r="V218" s="121" t="s">
        <v>123</v>
      </c>
      <c r="W218" s="170">
        <v>0</v>
      </c>
      <c r="X218" s="116"/>
      <c r="Y218" s="73"/>
      <c r="Z218" s="65"/>
      <c r="AA218" s="121"/>
      <c r="AB218" s="63">
        <f t="shared" ca="1" si="34"/>
        <v>0</v>
      </c>
      <c r="AC218" s="63">
        <f t="shared" ca="1" si="35"/>
        <v>0</v>
      </c>
      <c r="AD218" s="176"/>
      <c r="AE218" s="177"/>
      <c r="AF218" s="177"/>
      <c r="AG218" s="178"/>
      <c r="AH218" s="179"/>
      <c r="AI218" s="178"/>
      <c r="AJ218" s="198" t="s">
        <v>225</v>
      </c>
    </row>
    <row r="219" spans="1:36" s="23" customFormat="1" ht="35.450000000000003" customHeight="1" x14ac:dyDescent="0.2">
      <c r="A219" s="121" t="s">
        <v>50</v>
      </c>
      <c r="B219" s="185" t="s">
        <v>302</v>
      </c>
      <c r="C219" s="121" t="s">
        <v>80</v>
      </c>
      <c r="D219" s="121" t="s">
        <v>100</v>
      </c>
      <c r="E219" s="121" t="s">
        <v>165</v>
      </c>
      <c r="F219" s="123" t="s">
        <v>246</v>
      </c>
      <c r="G219" s="44" t="str">
        <f t="shared" si="33"/>
        <v>Director de Reasentamientos Humanos</v>
      </c>
      <c r="H219" s="195"/>
      <c r="I219" s="195"/>
      <c r="J219" s="54"/>
      <c r="K219" s="54"/>
      <c r="L219" s="54"/>
      <c r="M219" s="54"/>
      <c r="N219" s="54"/>
      <c r="O219" s="54"/>
      <c r="P219" s="54"/>
      <c r="Q219" s="54"/>
      <c r="R219" s="54"/>
      <c r="S219" s="54"/>
      <c r="T219" s="54"/>
      <c r="U219" s="54"/>
      <c r="V219" s="121" t="s">
        <v>123</v>
      </c>
      <c r="W219" s="170">
        <v>0</v>
      </c>
      <c r="X219" s="116"/>
      <c r="Y219" s="122"/>
      <c r="Z219" s="187"/>
      <c r="AA219" s="121"/>
      <c r="AB219" s="196">
        <f t="shared" ca="1" si="34"/>
        <v>0</v>
      </c>
      <c r="AC219" s="63">
        <f t="shared" ca="1" si="35"/>
        <v>0</v>
      </c>
      <c r="AD219" s="176"/>
      <c r="AE219" s="177"/>
      <c r="AF219" s="177"/>
      <c r="AG219" s="178"/>
      <c r="AH219" s="179"/>
      <c r="AI219" s="178"/>
      <c r="AJ219" s="198" t="s">
        <v>225</v>
      </c>
    </row>
    <row r="220" spans="1:36" s="23" customFormat="1" ht="35.450000000000003" customHeight="1" x14ac:dyDescent="0.2">
      <c r="A220" s="121" t="s">
        <v>50</v>
      </c>
      <c r="B220" s="122" t="s">
        <v>318</v>
      </c>
      <c r="C220" s="121" t="s">
        <v>81</v>
      </c>
      <c r="D220" s="121" t="s">
        <v>100</v>
      </c>
      <c r="E220" s="121" t="s">
        <v>165</v>
      </c>
      <c r="F220" s="123" t="s">
        <v>246</v>
      </c>
      <c r="G220" s="44" t="str">
        <f t="shared" si="33"/>
        <v>Director de Urbanizaciones y Titulación</v>
      </c>
      <c r="H220" s="195"/>
      <c r="I220" s="195"/>
      <c r="J220" s="54"/>
      <c r="K220" s="54"/>
      <c r="L220" s="54"/>
      <c r="M220" s="54"/>
      <c r="N220" s="54"/>
      <c r="O220" s="54"/>
      <c r="P220" s="54"/>
      <c r="Q220" s="54"/>
      <c r="R220" s="54"/>
      <c r="S220" s="54"/>
      <c r="T220" s="54"/>
      <c r="U220" s="54"/>
      <c r="V220" s="121" t="s">
        <v>123</v>
      </c>
      <c r="W220" s="170">
        <v>0</v>
      </c>
      <c r="X220" s="116"/>
      <c r="Y220" s="65"/>
      <c r="Z220" s="65"/>
      <c r="AA220" s="121"/>
      <c r="AB220" s="63">
        <f t="shared" ca="1" si="34"/>
        <v>0</v>
      </c>
      <c r="AC220" s="63">
        <f t="shared" ca="1" si="35"/>
        <v>0</v>
      </c>
      <c r="AD220" s="176"/>
      <c r="AE220" s="177"/>
      <c r="AF220" s="177"/>
      <c r="AG220" s="178"/>
      <c r="AH220" s="179"/>
      <c r="AI220" s="178"/>
      <c r="AJ220" s="198" t="s">
        <v>225</v>
      </c>
    </row>
    <row r="221" spans="1:36" s="23" customFormat="1" ht="35.450000000000003" customHeight="1" x14ac:dyDescent="0.2">
      <c r="A221" s="121" t="s">
        <v>52</v>
      </c>
      <c r="B221" s="122" t="s">
        <v>266</v>
      </c>
      <c r="C221" s="121" t="s">
        <v>90</v>
      </c>
      <c r="D221" s="121" t="s">
        <v>97</v>
      </c>
      <c r="E221" s="121" t="s">
        <v>165</v>
      </c>
      <c r="F221" s="123" t="s">
        <v>243</v>
      </c>
      <c r="G221" s="44" t="str">
        <f t="shared" si="33"/>
        <v>Asesor de Control Interno</v>
      </c>
      <c r="H221" s="116"/>
      <c r="I221" s="116"/>
      <c r="J221" s="54"/>
      <c r="K221" s="54"/>
      <c r="L221" s="54"/>
      <c r="M221" s="54"/>
      <c r="N221" s="54"/>
      <c r="O221" s="54"/>
      <c r="P221" s="54"/>
      <c r="Q221" s="54"/>
      <c r="R221" s="54"/>
      <c r="S221" s="54"/>
      <c r="T221" s="54"/>
      <c r="U221" s="54"/>
      <c r="V221" s="121" t="s">
        <v>207</v>
      </c>
      <c r="W221" s="170">
        <v>0</v>
      </c>
      <c r="X221" s="116"/>
      <c r="Y221" s="65"/>
      <c r="Z221" s="65"/>
      <c r="AA221" s="121"/>
      <c r="AB221" s="63">
        <f t="shared" ca="1" si="34"/>
        <v>0</v>
      </c>
      <c r="AC221" s="63">
        <f t="shared" ca="1" si="35"/>
        <v>0</v>
      </c>
      <c r="AD221" s="176"/>
      <c r="AE221" s="177"/>
      <c r="AF221" s="177"/>
      <c r="AG221" s="178"/>
      <c r="AH221" s="179"/>
      <c r="AI221" s="178"/>
      <c r="AJ221" s="165" t="s">
        <v>225</v>
      </c>
    </row>
    <row r="222" spans="1:36" s="23" customFormat="1" ht="35.450000000000003" customHeight="1" x14ac:dyDescent="0.2">
      <c r="A222" s="132" t="s">
        <v>44</v>
      </c>
      <c r="B222" s="122" t="s">
        <v>311</v>
      </c>
      <c r="C222" s="121" t="s">
        <v>98</v>
      </c>
      <c r="D222" s="121" t="s">
        <v>98</v>
      </c>
      <c r="E222" s="121" t="s">
        <v>165</v>
      </c>
      <c r="F222" s="124" t="s">
        <v>246</v>
      </c>
      <c r="G222" s="44" t="str">
        <f t="shared" si="33"/>
        <v>Líderes de Cada Proceso</v>
      </c>
      <c r="H222" s="158"/>
      <c r="I222" s="158"/>
      <c r="J222" s="54"/>
      <c r="K222" s="54"/>
      <c r="L222" s="54"/>
      <c r="M222" s="54"/>
      <c r="N222" s="54"/>
      <c r="O222" s="54"/>
      <c r="P222" s="54"/>
      <c r="Q222" s="54"/>
      <c r="R222" s="54"/>
      <c r="S222" s="54"/>
      <c r="T222" s="54"/>
      <c r="U222" s="54"/>
      <c r="V222" s="121" t="s">
        <v>312</v>
      </c>
      <c r="W222" s="170">
        <v>0</v>
      </c>
      <c r="X222" s="116"/>
      <c r="Y222" s="73"/>
      <c r="Z222" s="65"/>
      <c r="AA222" s="121"/>
      <c r="AB222" s="63">
        <f t="shared" ca="1" si="34"/>
        <v>0</v>
      </c>
      <c r="AC222" s="63">
        <f t="shared" ca="1" si="35"/>
        <v>0</v>
      </c>
      <c r="AD222" s="176"/>
      <c r="AE222" s="177"/>
      <c r="AF222" s="177"/>
      <c r="AG222" s="178"/>
      <c r="AH222" s="179"/>
      <c r="AI222" s="178"/>
      <c r="AJ222" s="165" t="s">
        <v>225</v>
      </c>
    </row>
    <row r="223" spans="1:36" s="23" customFormat="1" ht="35.450000000000003" customHeight="1" x14ac:dyDescent="0.2">
      <c r="A223" s="121" t="s">
        <v>43</v>
      </c>
      <c r="B223" s="122" t="s">
        <v>285</v>
      </c>
      <c r="C223" s="121" t="s">
        <v>90</v>
      </c>
      <c r="D223" s="121" t="s">
        <v>97</v>
      </c>
      <c r="E223" s="121" t="s">
        <v>165</v>
      </c>
      <c r="F223" s="124" t="s">
        <v>222</v>
      </c>
      <c r="G223" s="44" t="str">
        <f t="shared" si="33"/>
        <v>Asesor de Control Interno</v>
      </c>
      <c r="H223" s="158"/>
      <c r="I223" s="158"/>
      <c r="J223" s="54"/>
      <c r="K223" s="54"/>
      <c r="L223" s="54"/>
      <c r="M223" s="54"/>
      <c r="N223" s="54"/>
      <c r="O223" s="54"/>
      <c r="P223" s="54"/>
      <c r="Q223" s="54"/>
      <c r="R223" s="54"/>
      <c r="S223" s="54"/>
      <c r="T223" s="54"/>
      <c r="U223" s="54"/>
      <c r="V223" s="121" t="s">
        <v>314</v>
      </c>
      <c r="W223" s="170">
        <v>0</v>
      </c>
      <c r="X223" s="116"/>
      <c r="Y223" s="73"/>
      <c r="Z223" s="65"/>
      <c r="AA223" s="121"/>
      <c r="AB223" s="63">
        <f t="shared" ca="1" si="34"/>
        <v>0</v>
      </c>
      <c r="AC223" s="63">
        <f t="shared" ca="1" si="35"/>
        <v>0</v>
      </c>
      <c r="AD223" s="176"/>
      <c r="AE223" s="177"/>
      <c r="AF223" s="177"/>
      <c r="AG223" s="178"/>
      <c r="AH223" s="179"/>
      <c r="AI223" s="178"/>
      <c r="AJ223" s="165" t="s">
        <v>225</v>
      </c>
    </row>
    <row r="224" spans="1:36" s="23" customFormat="1" ht="35.450000000000003" customHeight="1" x14ac:dyDescent="0.2">
      <c r="A224" s="121" t="s">
        <v>45</v>
      </c>
      <c r="B224" s="122" t="s">
        <v>309</v>
      </c>
      <c r="C224" s="121" t="s">
        <v>90</v>
      </c>
      <c r="D224" s="121" t="s">
        <v>97</v>
      </c>
      <c r="E224" s="121" t="s">
        <v>165</v>
      </c>
      <c r="F224" s="123" t="s">
        <v>243</v>
      </c>
      <c r="G224" s="44" t="str">
        <f t="shared" si="33"/>
        <v>Asesor de Control Interno</v>
      </c>
      <c r="H224" s="195"/>
      <c r="I224" s="195"/>
      <c r="J224" s="54"/>
      <c r="K224" s="54"/>
      <c r="L224" s="54"/>
      <c r="M224" s="54"/>
      <c r="N224" s="54"/>
      <c r="O224" s="54"/>
      <c r="P224" s="54"/>
      <c r="Q224" s="54"/>
      <c r="R224" s="54"/>
      <c r="S224" s="54"/>
      <c r="T224" s="54"/>
      <c r="U224" s="54"/>
      <c r="V224" s="121" t="s">
        <v>314</v>
      </c>
      <c r="W224" s="170">
        <v>0</v>
      </c>
      <c r="X224" s="169"/>
      <c r="Y224" s="65"/>
      <c r="Z224" s="65"/>
      <c r="AA224" s="121"/>
      <c r="AB224" s="63">
        <f t="shared" ca="1" si="34"/>
        <v>0</v>
      </c>
      <c r="AC224" s="63">
        <f t="shared" ca="1" si="35"/>
        <v>0</v>
      </c>
      <c r="AD224" s="176"/>
      <c r="AE224" s="177"/>
      <c r="AF224" s="177"/>
      <c r="AG224" s="178"/>
      <c r="AH224" s="179"/>
      <c r="AI224" s="178"/>
      <c r="AJ224" s="198" t="s">
        <v>225</v>
      </c>
    </row>
    <row r="225" spans="1:36" s="23" customFormat="1" ht="35.450000000000003" customHeight="1" x14ac:dyDescent="0.2">
      <c r="A225" s="121" t="s">
        <v>45</v>
      </c>
      <c r="B225" s="122" t="s">
        <v>309</v>
      </c>
      <c r="C225" s="121" t="s">
        <v>90</v>
      </c>
      <c r="D225" s="121" t="s">
        <v>97</v>
      </c>
      <c r="E225" s="121" t="s">
        <v>165</v>
      </c>
      <c r="F225" s="123" t="s">
        <v>222</v>
      </c>
      <c r="G225" s="44" t="str">
        <f t="shared" si="33"/>
        <v>Asesor de Control Interno</v>
      </c>
      <c r="H225" s="195"/>
      <c r="I225" s="195"/>
      <c r="J225" s="54"/>
      <c r="K225" s="54"/>
      <c r="L225" s="54"/>
      <c r="M225" s="54"/>
      <c r="N225" s="54"/>
      <c r="O225" s="54"/>
      <c r="P225" s="54"/>
      <c r="Q225" s="54"/>
      <c r="R225" s="54"/>
      <c r="S225" s="54"/>
      <c r="T225" s="54"/>
      <c r="U225" s="54"/>
      <c r="V225" s="121" t="s">
        <v>314</v>
      </c>
      <c r="W225" s="170">
        <v>0</v>
      </c>
      <c r="X225" s="169"/>
      <c r="Y225" s="65"/>
      <c r="Z225" s="65"/>
      <c r="AA225" s="121"/>
      <c r="AB225" s="63">
        <f t="shared" ca="1" si="34"/>
        <v>0</v>
      </c>
      <c r="AC225" s="63">
        <f t="shared" ca="1" si="35"/>
        <v>0</v>
      </c>
      <c r="AD225" s="176"/>
      <c r="AE225" s="177"/>
      <c r="AF225" s="177"/>
      <c r="AG225" s="178"/>
      <c r="AH225" s="179"/>
      <c r="AI225" s="178"/>
      <c r="AJ225" s="198" t="s">
        <v>225</v>
      </c>
    </row>
    <row r="226" spans="1:36" s="23" customFormat="1" ht="35.450000000000003" customHeight="1" x14ac:dyDescent="0.2">
      <c r="A226" s="121" t="s">
        <v>50</v>
      </c>
      <c r="B226" s="125" t="s">
        <v>186</v>
      </c>
      <c r="C226" s="121" t="s">
        <v>73</v>
      </c>
      <c r="D226" s="121" t="s">
        <v>95</v>
      </c>
      <c r="E226" s="121" t="s">
        <v>165</v>
      </c>
      <c r="F226" s="123" t="s">
        <v>246</v>
      </c>
      <c r="G226" s="44" t="str">
        <f t="shared" si="33"/>
        <v xml:space="preserve">Jefe Oficina Asesora de Planeación </v>
      </c>
      <c r="H226" s="195"/>
      <c r="I226" s="195"/>
      <c r="J226" s="54"/>
      <c r="K226" s="54"/>
      <c r="L226" s="54"/>
      <c r="M226" s="54"/>
      <c r="N226" s="54"/>
      <c r="O226" s="54"/>
      <c r="P226" s="54"/>
      <c r="Q226" s="54"/>
      <c r="R226" s="54"/>
      <c r="S226" s="54"/>
      <c r="T226" s="54"/>
      <c r="U226" s="54"/>
      <c r="V226" s="121" t="s">
        <v>123</v>
      </c>
      <c r="W226" s="170">
        <v>0</v>
      </c>
      <c r="X226" s="116"/>
      <c r="Y226" s="122"/>
      <c r="Z226" s="65"/>
      <c r="AA226" s="121"/>
      <c r="AB226" s="63">
        <f t="shared" ca="1" si="34"/>
        <v>0</v>
      </c>
      <c r="AC226" s="63">
        <f t="shared" ca="1" si="35"/>
        <v>0</v>
      </c>
      <c r="AD226" s="176"/>
      <c r="AE226" s="177"/>
      <c r="AF226" s="177"/>
      <c r="AG226" s="178"/>
      <c r="AH226" s="179"/>
      <c r="AI226" s="178"/>
      <c r="AJ226" s="198" t="s">
        <v>225</v>
      </c>
    </row>
    <row r="227" spans="1:36" s="23" customFormat="1" ht="35.450000000000003" customHeight="1" x14ac:dyDescent="0.2">
      <c r="A227" s="121" t="s">
        <v>47</v>
      </c>
      <c r="B227" s="125" t="s">
        <v>289</v>
      </c>
      <c r="C227" s="121" t="s">
        <v>98</v>
      </c>
      <c r="D227" s="121" t="s">
        <v>98</v>
      </c>
      <c r="E227" s="121" t="s">
        <v>165</v>
      </c>
      <c r="F227" s="123" t="s">
        <v>246</v>
      </c>
      <c r="G227" s="44" t="str">
        <f t="shared" si="33"/>
        <v>Líderes de Cada Proceso</v>
      </c>
      <c r="H227" s="158"/>
      <c r="I227" s="158"/>
      <c r="J227" s="54"/>
      <c r="K227" s="54"/>
      <c r="L227" s="54"/>
      <c r="M227" s="54"/>
      <c r="N227" s="54"/>
      <c r="O227" s="54"/>
      <c r="P227" s="54"/>
      <c r="Q227" s="54"/>
      <c r="R227" s="54"/>
      <c r="S227" s="54"/>
      <c r="T227" s="54"/>
      <c r="U227" s="54"/>
      <c r="V227" s="121" t="s">
        <v>208</v>
      </c>
      <c r="W227" s="170">
        <v>0</v>
      </c>
      <c r="X227" s="116"/>
      <c r="Y227" s="65"/>
      <c r="Z227" s="65"/>
      <c r="AA227" s="121"/>
      <c r="AB227" s="63">
        <f t="shared" ca="1" si="34"/>
        <v>0</v>
      </c>
      <c r="AC227" s="63">
        <f t="shared" ca="1" si="35"/>
        <v>0</v>
      </c>
      <c r="AD227" s="176"/>
      <c r="AE227" s="177"/>
      <c r="AF227" s="177"/>
      <c r="AG227" s="178"/>
      <c r="AH227" s="179"/>
      <c r="AI227" s="178"/>
      <c r="AJ227" s="165" t="s">
        <v>225</v>
      </c>
    </row>
    <row r="228" spans="1:36" ht="15.75" x14ac:dyDescent="0.2">
      <c r="B228" s="64"/>
      <c r="I228" s="75"/>
      <c r="W228" s="171">
        <f>SUBTOTAL(9,W19:W227)</f>
        <v>1.0000000000000002</v>
      </c>
      <c r="X228" s="75"/>
      <c r="Y228" s="48"/>
      <c r="Z228" s="48"/>
      <c r="AB228" s="171">
        <f ca="1">SUBTOTAL(9,AB19:AB227)</f>
        <v>0.57678550000000028</v>
      </c>
      <c r="AC228" s="171">
        <f ca="1">SUBTOTAL(9,AC19:AC227)</f>
        <v>0.42321450000000027</v>
      </c>
      <c r="AD228" s="94"/>
      <c r="AE228" s="56"/>
      <c r="AF228" s="22"/>
      <c r="AG228" s="67"/>
      <c r="AH228" s="93">
        <f>SUBTOTAL(9,AH19:AH227)</f>
        <v>-1.444509867870821</v>
      </c>
    </row>
    <row r="229" spans="1:36" x14ac:dyDescent="0.2">
      <c r="AD229" s="1"/>
    </row>
    <row r="230" spans="1:36" ht="27" customHeight="1" x14ac:dyDescent="0.2">
      <c r="I230" s="75"/>
      <c r="W230" s="75"/>
      <c r="X230" s="75"/>
      <c r="Y230" s="48"/>
      <c r="Z230" s="48"/>
      <c r="AB230" s="68"/>
      <c r="AC230" s="96"/>
      <c r="AD230" s="98"/>
      <c r="AE230" s="97"/>
      <c r="AF230" s="97"/>
      <c r="AG230" s="68"/>
      <c r="AH230" s="68"/>
      <c r="AI230" s="68"/>
      <c r="AJ230" s="47"/>
    </row>
    <row r="231" spans="1:36" ht="23.25" customHeight="1" x14ac:dyDescent="0.2">
      <c r="W231" s="100"/>
      <c r="X231" s="100"/>
      <c r="Y231" s="128"/>
      <c r="Z231" s="129"/>
      <c r="AA231" s="129"/>
      <c r="AB231" s="68"/>
      <c r="AC231" s="129"/>
      <c r="AD231" s="95"/>
      <c r="AF231" s="34"/>
      <c r="AG231" s="34"/>
      <c r="AH231" s="68"/>
      <c r="AI231" s="34"/>
    </row>
    <row r="232" spans="1:36" ht="23.25" customHeight="1" x14ac:dyDescent="0.25">
      <c r="W232" s="100"/>
      <c r="X232" s="100"/>
      <c r="Y232" s="128"/>
      <c r="Z232" s="129"/>
      <c r="AA232" s="129"/>
      <c r="AB232" s="131"/>
      <c r="AC232" s="129"/>
      <c r="AH232" s="131"/>
      <c r="AI232" s="69"/>
    </row>
    <row r="233" spans="1:36" x14ac:dyDescent="0.2">
      <c r="A233" s="155" t="s">
        <v>361</v>
      </c>
      <c r="B233" s="64"/>
      <c r="W233" s="70"/>
      <c r="X233" s="70"/>
      <c r="Y233" s="172" t="s">
        <v>592</v>
      </c>
      <c r="Z233" s="134"/>
      <c r="AA233" s="134"/>
      <c r="AB233" s="134"/>
      <c r="AC233" s="134"/>
      <c r="AD233" s="135"/>
      <c r="AE233" s="135"/>
      <c r="AF233" s="135"/>
    </row>
    <row r="234" spans="1:36" ht="22.5" x14ac:dyDescent="0.2">
      <c r="A234" s="191" t="s">
        <v>497</v>
      </c>
      <c r="B234" s="155" t="s">
        <v>362</v>
      </c>
      <c r="W234" s="70"/>
      <c r="X234" s="70"/>
      <c r="Y234" s="172" t="s">
        <v>593</v>
      </c>
      <c r="Z234" s="134"/>
      <c r="AA234" s="134"/>
      <c r="AB234" s="134"/>
      <c r="AC234" s="134"/>
      <c r="AD234" s="135"/>
      <c r="AE234" s="135"/>
      <c r="AF234" s="135"/>
    </row>
    <row r="235" spans="1:36" x14ac:dyDescent="0.2">
      <c r="A235" s="156" t="s">
        <v>18</v>
      </c>
      <c r="B235" s="164" t="s">
        <v>406</v>
      </c>
      <c r="H235" s="99"/>
      <c r="I235" s="99"/>
      <c r="J235" s="99"/>
      <c r="K235" s="99"/>
      <c r="L235" s="99"/>
      <c r="M235" s="99"/>
      <c r="N235" s="99"/>
      <c r="O235" s="99"/>
      <c r="P235" s="99"/>
      <c r="Q235" s="99"/>
      <c r="R235" s="99"/>
      <c r="S235" s="99"/>
      <c r="T235" s="99"/>
      <c r="U235" s="99"/>
      <c r="V235" s="99"/>
      <c r="W235" s="99"/>
      <c r="X235" s="99"/>
      <c r="Y235" s="136" t="s">
        <v>594</v>
      </c>
      <c r="Z235" s="136"/>
      <c r="AA235" s="136"/>
      <c r="AB235" s="136"/>
      <c r="AC235" s="136"/>
      <c r="AD235" s="136"/>
      <c r="AE235" s="135"/>
      <c r="AF235" s="135"/>
    </row>
    <row r="236" spans="1:36" ht="15" x14ac:dyDescent="0.25">
      <c r="A236" s="24" t="s">
        <v>148</v>
      </c>
      <c r="B236" s="101"/>
      <c r="C236" s="101"/>
      <c r="D236" s="101"/>
      <c r="E236" s="101"/>
      <c r="F236" s="101"/>
      <c r="G236" s="101"/>
      <c r="Y236" s="137" t="s">
        <v>595</v>
      </c>
      <c r="Z236" s="137"/>
      <c r="AA236" s="137"/>
      <c r="AB236" s="137"/>
      <c r="AC236" s="137"/>
      <c r="AD236" s="138"/>
      <c r="AE236" s="135"/>
      <c r="AF236" s="135"/>
      <c r="AG236" s="23"/>
      <c r="AH236" s="23"/>
      <c r="AI236" s="23"/>
      <c r="AJ236" s="84"/>
    </row>
    <row r="237" spans="1:36" x14ac:dyDescent="0.2">
      <c r="Y237" s="139" t="s">
        <v>596</v>
      </c>
      <c r="Z237" s="139"/>
      <c r="AA237" s="139"/>
      <c r="AB237" s="139"/>
      <c r="AC237" s="139"/>
      <c r="AD237" s="138"/>
      <c r="AE237" s="135"/>
      <c r="AF237" s="135"/>
      <c r="AG237" s="85"/>
      <c r="AH237" s="23"/>
      <c r="AI237" s="23"/>
      <c r="AJ237" s="84"/>
    </row>
    <row r="238" spans="1:36" x14ac:dyDescent="0.2">
      <c r="Y238" s="172" t="s">
        <v>597</v>
      </c>
      <c r="Z238" s="134"/>
      <c r="AA238" s="134"/>
      <c r="AB238" s="134"/>
      <c r="AC238" s="134"/>
      <c r="AD238" s="135"/>
      <c r="AE238" s="140"/>
      <c r="AF238" s="184" t="s">
        <v>443</v>
      </c>
      <c r="AG238" s="85"/>
      <c r="AH238" s="23"/>
      <c r="AI238" s="23"/>
      <c r="AJ238" s="84"/>
    </row>
    <row r="239" spans="1:36" x14ac:dyDescent="0.2">
      <c r="Y239" s="282" t="s">
        <v>598</v>
      </c>
      <c r="Z239" s="282"/>
      <c r="AA239" s="282"/>
      <c r="AB239" s="282"/>
      <c r="AC239" s="282"/>
      <c r="AD239" s="283"/>
      <c r="AE239" s="140"/>
      <c r="AF239" s="142">
        <v>0.47025</v>
      </c>
      <c r="AG239" s="85"/>
      <c r="AH239" s="23"/>
      <c r="AI239" s="23"/>
      <c r="AJ239" s="84"/>
    </row>
    <row r="240" spans="1:36" x14ac:dyDescent="0.2">
      <c r="Y240" s="282"/>
      <c r="Z240" s="282"/>
      <c r="AA240" s="282"/>
      <c r="AB240" s="282"/>
      <c r="AC240" s="282"/>
      <c r="AD240" s="283"/>
      <c r="AE240" s="140"/>
      <c r="AF240" s="143"/>
      <c r="AG240" s="85"/>
      <c r="AH240" s="23"/>
      <c r="AI240" s="23"/>
      <c r="AJ240" s="84"/>
    </row>
    <row r="241" spans="1:36" x14ac:dyDescent="0.2">
      <c r="Y241" s="284" t="s">
        <v>605</v>
      </c>
      <c r="Z241" s="284"/>
      <c r="AA241" s="284"/>
      <c r="AB241" s="284"/>
      <c r="AC241" s="284"/>
      <c r="AD241" s="283"/>
      <c r="AE241" s="135"/>
      <c r="AF241" s="188">
        <v>0.11455</v>
      </c>
      <c r="AG241" s="23"/>
      <c r="AH241" s="23"/>
      <c r="AI241" s="23"/>
      <c r="AJ241" s="84"/>
    </row>
    <row r="242" spans="1:36" ht="15" x14ac:dyDescent="0.25">
      <c r="Y242" s="284"/>
      <c r="Z242" s="284"/>
      <c r="AA242" s="284"/>
      <c r="AB242" s="284"/>
      <c r="AC242" s="284"/>
      <c r="AD242" s="283"/>
      <c r="AE242" s="86"/>
      <c r="AF242" s="189">
        <f>SUM(AF239:AF241)</f>
        <v>0.58479999999999999</v>
      </c>
      <c r="AG242" s="23"/>
      <c r="AH242" s="23"/>
      <c r="AI242" s="23"/>
      <c r="AJ242" s="84"/>
    </row>
    <row r="243" spans="1:36" ht="15" x14ac:dyDescent="0.25">
      <c r="Y243" s="284"/>
      <c r="Z243" s="284"/>
      <c r="AA243" s="284"/>
      <c r="AB243" s="284"/>
      <c r="AC243" s="284"/>
      <c r="AD243" s="283"/>
      <c r="AE243" s="86"/>
      <c r="AF243" s="88"/>
      <c r="AG243" s="23"/>
      <c r="AH243" s="23"/>
      <c r="AI243" s="23"/>
      <c r="AJ243" s="84"/>
    </row>
    <row r="244" spans="1:36" x14ac:dyDescent="0.2">
      <c r="A244" s="230"/>
      <c r="Y244" s="284"/>
      <c r="Z244" s="284"/>
      <c r="AA244" s="284"/>
      <c r="AB244" s="284"/>
      <c r="AC244" s="284"/>
      <c r="AD244" s="283"/>
      <c r="AE244" s="87"/>
      <c r="AF244" s="144"/>
      <c r="AG244" s="23"/>
      <c r="AH244" s="89"/>
      <c r="AI244" s="23"/>
      <c r="AJ244" s="84"/>
    </row>
    <row r="245" spans="1:36" x14ac:dyDescent="0.2">
      <c r="Y245" s="284"/>
      <c r="Z245" s="284"/>
      <c r="AA245" s="284"/>
      <c r="AB245" s="284"/>
      <c r="AC245" s="284"/>
      <c r="AD245" s="283"/>
      <c r="AE245" s="145"/>
      <c r="AF245" s="146"/>
      <c r="AG245" s="23"/>
      <c r="AH245" s="47"/>
      <c r="AI245" s="23"/>
      <c r="AJ245" s="84"/>
    </row>
    <row r="246" spans="1:36" ht="15" x14ac:dyDescent="0.25">
      <c r="Y246" s="285" t="s">
        <v>606</v>
      </c>
      <c r="Z246" s="285"/>
      <c r="AA246" s="285"/>
      <c r="AB246" s="285"/>
      <c r="AC246" s="285"/>
      <c r="AD246" s="285"/>
      <c r="AE246" s="147"/>
      <c r="AF246" s="141" t="s">
        <v>360</v>
      </c>
      <c r="AG246" s="23"/>
      <c r="AH246" s="23"/>
      <c r="AI246" s="23"/>
      <c r="AJ246" s="84"/>
    </row>
    <row r="247" spans="1:36" x14ac:dyDescent="0.2">
      <c r="Y247" s="285"/>
      <c r="Z247" s="285"/>
      <c r="AA247" s="285"/>
      <c r="AB247" s="285"/>
      <c r="AC247" s="285"/>
      <c r="AD247" s="285"/>
      <c r="AE247" s="140"/>
      <c r="AF247" s="148">
        <v>0.434</v>
      </c>
      <c r="AG247" s="23"/>
      <c r="AH247" s="89"/>
      <c r="AI247" s="23"/>
      <c r="AJ247" s="84"/>
    </row>
    <row r="248" spans="1:36" x14ac:dyDescent="0.2">
      <c r="Y248" s="173" t="s">
        <v>608</v>
      </c>
      <c r="Z248" s="149"/>
      <c r="AA248" s="149"/>
      <c r="AB248" s="149"/>
      <c r="AC248" s="149"/>
      <c r="AD248" s="135"/>
      <c r="AE248" s="146"/>
      <c r="AF248" s="192">
        <v>2.8240000000000001E-2</v>
      </c>
      <c r="AG248" s="23"/>
      <c r="AH248" s="85"/>
      <c r="AI248" s="23"/>
      <c r="AJ248" s="84"/>
    </row>
    <row r="249" spans="1:36" x14ac:dyDescent="0.2">
      <c r="Y249" s="173" t="s">
        <v>607</v>
      </c>
      <c r="Z249" s="150"/>
      <c r="AA249" s="150"/>
      <c r="AB249" s="150"/>
      <c r="AC249" s="150"/>
      <c r="AD249" s="135"/>
      <c r="AE249" s="135"/>
      <c r="AF249" s="151"/>
      <c r="AG249" s="23"/>
      <c r="AH249" s="23"/>
      <c r="AI249" s="23"/>
      <c r="AJ249" s="84"/>
    </row>
    <row r="250" spans="1:36" x14ac:dyDescent="0.2">
      <c r="Y250" s="150"/>
      <c r="Z250" s="150"/>
      <c r="AA250" s="150"/>
      <c r="AB250" s="150"/>
      <c r="AC250" s="150"/>
      <c r="AD250" s="135"/>
      <c r="AE250" s="90"/>
      <c r="AF250" s="152">
        <v>0.11455</v>
      </c>
      <c r="AG250" s="23"/>
      <c r="AH250" s="23"/>
      <c r="AI250" s="23"/>
      <c r="AJ250" s="84"/>
    </row>
    <row r="251" spans="1:36" ht="15" x14ac:dyDescent="0.2">
      <c r="Y251" s="173" t="s">
        <v>609</v>
      </c>
      <c r="Z251" s="149"/>
      <c r="AA251" s="149"/>
      <c r="AB251" s="149"/>
      <c r="AC251" s="149"/>
      <c r="AD251" s="135"/>
      <c r="AE251" s="91"/>
      <c r="AF251" s="153"/>
      <c r="AG251" s="23"/>
      <c r="AH251" s="23"/>
      <c r="AI251" s="23"/>
      <c r="AJ251" s="84"/>
    </row>
    <row r="252" spans="1:36" ht="15" x14ac:dyDescent="0.25">
      <c r="Y252" s="149"/>
      <c r="Z252" s="150"/>
      <c r="AA252" s="150"/>
      <c r="AB252" s="150"/>
      <c r="AC252" s="150"/>
      <c r="AD252" s="135"/>
      <c r="AE252" s="87"/>
      <c r="AF252" s="189">
        <f>SUM(AF247:AF250)</f>
        <v>0.57679000000000002</v>
      </c>
      <c r="AG252" s="23"/>
      <c r="AH252" s="23"/>
      <c r="AI252" s="23"/>
      <c r="AJ252" s="84"/>
    </row>
    <row r="253" spans="1:36" ht="15" thickBot="1" x14ac:dyDescent="0.25">
      <c r="H253" s="163"/>
      <c r="I253" s="163"/>
      <c r="Y253" s="150"/>
      <c r="Z253" s="150"/>
      <c r="AA253" s="150"/>
      <c r="AB253" s="150"/>
      <c r="AC253" s="150"/>
      <c r="AD253" s="135"/>
      <c r="AE253" s="92"/>
      <c r="AF253" s="135"/>
      <c r="AG253" s="23"/>
      <c r="AH253" s="23"/>
      <c r="AI253" s="23"/>
      <c r="AJ253" s="84"/>
    </row>
    <row r="254" spans="1:36" x14ac:dyDescent="0.2">
      <c r="Y254" s="149"/>
      <c r="Z254" s="149"/>
      <c r="AA254" s="149"/>
      <c r="AB254" s="149"/>
      <c r="AC254" s="149"/>
      <c r="AD254" s="135"/>
      <c r="AE254" s="135"/>
      <c r="AF254" s="190" t="s">
        <v>213</v>
      </c>
      <c r="AG254" s="23"/>
      <c r="AH254" s="23"/>
      <c r="AI254" s="23"/>
      <c r="AJ254" s="84"/>
    </row>
    <row r="255" spans="1:36" ht="15.75" thickBot="1" x14ac:dyDescent="0.3">
      <c r="Y255" s="135"/>
      <c r="Z255" s="135"/>
      <c r="AA255" s="135"/>
      <c r="AB255" s="135"/>
      <c r="AC255" s="135"/>
      <c r="AD255" s="135"/>
      <c r="AE255" s="88"/>
      <c r="AF255" s="154">
        <f>AF252/AF242</f>
        <v>0.98630300957592343</v>
      </c>
      <c r="AG255" s="23"/>
      <c r="AH255" s="23"/>
      <c r="AI255" s="23"/>
      <c r="AJ255" s="84"/>
    </row>
    <row r="256" spans="1:36" x14ac:dyDescent="0.2">
      <c r="AD256" s="57"/>
      <c r="AE256" s="23"/>
      <c r="AF256" s="23"/>
      <c r="AG256" s="23"/>
      <c r="AH256" s="23"/>
      <c r="AI256" s="23"/>
      <c r="AJ256" s="84"/>
    </row>
    <row r="257" spans="25:36" x14ac:dyDescent="0.2">
      <c r="AD257" s="57"/>
      <c r="AE257" s="23"/>
      <c r="AF257" s="23"/>
      <c r="AG257" s="23"/>
      <c r="AH257" s="23"/>
      <c r="AI257" s="23"/>
      <c r="AJ257" s="84"/>
    </row>
    <row r="258" spans="25:36" ht="23.25" customHeight="1" x14ac:dyDescent="0.2">
      <c r="AD258" s="57"/>
      <c r="AE258" s="23"/>
      <c r="AF258" s="23"/>
      <c r="AG258" s="23"/>
      <c r="AH258" s="23"/>
      <c r="AI258" s="23"/>
      <c r="AJ258" s="84"/>
    </row>
    <row r="259" spans="25:36" ht="23.25" customHeight="1" x14ac:dyDescent="0.2">
      <c r="AD259" s="57"/>
      <c r="AE259" s="23"/>
      <c r="AF259" s="23"/>
      <c r="AG259" s="23"/>
      <c r="AH259" s="23"/>
      <c r="AI259" s="23"/>
      <c r="AJ259" s="84"/>
    </row>
    <row r="260" spans="25:36" x14ac:dyDescent="0.2">
      <c r="Y260" s="23"/>
      <c r="Z260" s="23"/>
      <c r="AA260" s="23"/>
      <c r="AB260" s="23"/>
      <c r="AC260" s="23"/>
      <c r="AD260" s="57"/>
      <c r="AE260" s="23"/>
      <c r="AF260" s="23"/>
      <c r="AG260" s="23"/>
      <c r="AH260" s="23"/>
      <c r="AI260" s="23"/>
      <c r="AJ260" s="84"/>
    </row>
    <row r="261" spans="25:36" x14ac:dyDescent="0.2">
      <c r="Y261" s="23"/>
      <c r="Z261" s="23"/>
      <c r="AA261" s="23"/>
      <c r="AB261" s="23"/>
      <c r="AC261" s="23"/>
      <c r="AD261" s="57"/>
      <c r="AE261" s="23"/>
      <c r="AF261" s="23"/>
      <c r="AG261" s="23"/>
      <c r="AH261" s="23"/>
      <c r="AI261" s="23"/>
      <c r="AJ261" s="84"/>
    </row>
    <row r="262" spans="25:36" x14ac:dyDescent="0.2">
      <c r="Y262" s="23"/>
      <c r="Z262" s="23"/>
      <c r="AA262" s="23"/>
      <c r="AB262" s="23"/>
      <c r="AC262" s="23"/>
      <c r="AD262" s="57"/>
      <c r="AE262" s="23"/>
      <c r="AF262" s="23"/>
      <c r="AG262" s="23"/>
      <c r="AH262" s="23"/>
      <c r="AI262" s="23"/>
      <c r="AJ262" s="84"/>
    </row>
    <row r="263" spans="25:36" x14ac:dyDescent="0.2">
      <c r="Y263" s="23"/>
      <c r="Z263" s="23"/>
      <c r="AA263" s="23"/>
      <c r="AB263" s="23"/>
      <c r="AC263" s="23"/>
      <c r="AD263" s="57"/>
      <c r="AE263" s="23"/>
      <c r="AF263" s="23"/>
      <c r="AG263" s="23"/>
      <c r="AH263" s="23"/>
      <c r="AI263" s="23"/>
      <c r="AJ263" s="84"/>
    </row>
    <row r="264" spans="25:36" x14ac:dyDescent="0.2">
      <c r="Y264" s="23"/>
      <c r="Z264" s="23"/>
      <c r="AA264" s="23"/>
      <c r="AB264" s="23"/>
      <c r="AC264" s="23"/>
      <c r="AD264" s="57"/>
      <c r="AE264" s="23"/>
      <c r="AF264" s="23"/>
      <c r="AG264" s="23"/>
      <c r="AH264" s="23"/>
      <c r="AI264" s="23"/>
      <c r="AJ264" s="84"/>
    </row>
    <row r="265" spans="25:36" x14ac:dyDescent="0.2">
      <c r="Y265" s="23"/>
      <c r="Z265" s="23"/>
      <c r="AA265" s="23"/>
      <c r="AB265" s="23"/>
      <c r="AC265" s="23"/>
      <c r="AD265" s="57"/>
      <c r="AE265" s="23"/>
      <c r="AF265" s="23"/>
      <c r="AG265" s="23"/>
      <c r="AH265" s="23"/>
      <c r="AI265" s="23"/>
      <c r="AJ265" s="84"/>
    </row>
    <row r="266" spans="25:36" x14ac:dyDescent="0.2">
      <c r="Y266" s="23"/>
      <c r="Z266" s="23"/>
      <c r="AA266" s="23"/>
      <c r="AB266" s="23"/>
      <c r="AC266" s="23"/>
      <c r="AD266" s="57"/>
      <c r="AE266" s="23"/>
      <c r="AF266" s="23"/>
      <c r="AG266" s="23"/>
      <c r="AH266" s="23"/>
      <c r="AI266" s="23"/>
      <c r="AJ266" s="84"/>
    </row>
    <row r="267" spans="25:36" x14ac:dyDescent="0.2">
      <c r="Y267" s="23"/>
      <c r="Z267" s="23"/>
      <c r="AA267" s="23"/>
      <c r="AB267" s="23"/>
      <c r="AC267" s="23"/>
      <c r="AD267" s="57"/>
      <c r="AE267" s="23"/>
      <c r="AF267" s="23"/>
      <c r="AG267" s="23"/>
      <c r="AH267" s="23"/>
      <c r="AI267" s="23"/>
      <c r="AJ267" s="84"/>
    </row>
    <row r="268" spans="25:36" x14ac:dyDescent="0.2">
      <c r="Y268" s="23"/>
      <c r="Z268" s="23"/>
      <c r="AA268" s="23"/>
      <c r="AB268" s="23"/>
      <c r="AC268" s="23"/>
      <c r="AD268" s="57"/>
      <c r="AE268" s="23"/>
      <c r="AF268" s="23"/>
      <c r="AG268" s="23"/>
      <c r="AH268" s="23"/>
      <c r="AI268" s="23"/>
      <c r="AJ268" s="84"/>
    </row>
    <row r="269" spans="25:36" x14ac:dyDescent="0.2">
      <c r="Y269" s="23"/>
      <c r="Z269" s="23"/>
      <c r="AA269" s="23"/>
      <c r="AB269" s="23"/>
      <c r="AC269" s="23"/>
      <c r="AD269" s="57"/>
      <c r="AE269" s="23"/>
      <c r="AF269" s="23"/>
      <c r="AG269" s="23"/>
      <c r="AH269" s="23"/>
      <c r="AI269" s="23"/>
      <c r="AJ269" s="84"/>
    </row>
    <row r="270" spans="25:36" x14ac:dyDescent="0.2">
      <c r="Y270" s="23"/>
      <c r="Z270" s="23"/>
      <c r="AA270" s="23"/>
      <c r="AB270" s="23"/>
      <c r="AC270" s="23"/>
      <c r="AD270" s="57"/>
      <c r="AE270" s="23"/>
      <c r="AF270" s="23"/>
      <c r="AG270" s="23"/>
      <c r="AH270" s="23"/>
      <c r="AI270" s="23"/>
      <c r="AJ270" s="84"/>
    </row>
    <row r="271" spans="25:36" x14ac:dyDescent="0.2">
      <c r="Y271" s="23"/>
      <c r="Z271" s="23"/>
      <c r="AA271" s="23"/>
      <c r="AB271" s="23"/>
      <c r="AC271" s="23"/>
      <c r="AD271" s="57"/>
      <c r="AE271" s="23"/>
      <c r="AF271" s="23"/>
      <c r="AG271" s="23"/>
      <c r="AH271" s="23"/>
      <c r="AI271" s="23"/>
      <c r="AJ271" s="84"/>
    </row>
    <row r="272" spans="25:36" x14ac:dyDescent="0.2">
      <c r="Y272" s="23"/>
      <c r="Z272" s="23"/>
      <c r="AA272" s="23"/>
      <c r="AB272" s="23"/>
      <c r="AC272" s="23"/>
      <c r="AD272" s="57"/>
      <c r="AE272" s="23"/>
      <c r="AF272" s="23"/>
      <c r="AG272" s="23"/>
      <c r="AH272" s="23"/>
      <c r="AI272" s="23"/>
      <c r="AJ272" s="84"/>
    </row>
    <row r="273" spans="25:36" x14ac:dyDescent="0.2">
      <c r="Y273" s="23"/>
      <c r="Z273" s="23"/>
      <c r="AA273" s="23"/>
      <c r="AB273" s="23"/>
      <c r="AC273" s="23"/>
      <c r="AD273" s="57"/>
      <c r="AE273" s="23"/>
      <c r="AF273" s="23"/>
      <c r="AG273" s="23"/>
      <c r="AH273" s="23"/>
      <c r="AI273" s="23"/>
      <c r="AJ273" s="84"/>
    </row>
    <row r="274" spans="25:36" x14ac:dyDescent="0.2">
      <c r="Y274" s="23"/>
      <c r="Z274" s="23"/>
      <c r="AA274" s="23"/>
      <c r="AB274" s="23"/>
      <c r="AC274" s="23"/>
      <c r="AD274" s="57"/>
      <c r="AE274" s="23"/>
      <c r="AF274" s="23"/>
      <c r="AG274" s="23"/>
      <c r="AH274" s="23"/>
      <c r="AI274" s="23"/>
      <c r="AJ274" s="84"/>
    </row>
    <row r="275" spans="25:36" x14ac:dyDescent="0.2">
      <c r="Y275" s="23"/>
      <c r="Z275" s="23"/>
      <c r="AA275" s="23"/>
      <c r="AB275" s="23"/>
      <c r="AC275" s="23"/>
      <c r="AD275" s="57"/>
      <c r="AE275" s="23"/>
      <c r="AF275" s="23"/>
      <c r="AG275" s="23"/>
      <c r="AH275" s="23"/>
      <c r="AI275" s="23"/>
      <c r="AJ275" s="84"/>
    </row>
    <row r="1047360" spans="24:24" x14ac:dyDescent="0.2">
      <c r="X1047360" s="45"/>
    </row>
  </sheetData>
  <autoFilter ref="A18:AJ227"/>
  <sortState ref="A19:AJ226">
    <sortCondition ref="H19:H226"/>
    <sortCondition ref="I19:I226"/>
    <sortCondition ref="B19:B226"/>
    <sortCondition ref="F19:F226"/>
  </sortState>
  <dataConsolidate/>
  <mergeCells count="46">
    <mergeCell ref="Y239:AD240"/>
    <mergeCell ref="Y241:AD245"/>
    <mergeCell ref="Y246:AD247"/>
    <mergeCell ref="A12:C12"/>
    <mergeCell ref="A11:C11"/>
    <mergeCell ref="M14:Q14"/>
    <mergeCell ref="D12:E12"/>
    <mergeCell ref="D11:E11"/>
    <mergeCell ref="A13:A14"/>
    <mergeCell ref="H14:I14"/>
    <mergeCell ref="H13:I13"/>
    <mergeCell ref="M13:Q13"/>
    <mergeCell ref="J14:L14"/>
    <mergeCell ref="J13:L13"/>
    <mergeCell ref="F14:G14"/>
    <mergeCell ref="F13:G13"/>
    <mergeCell ref="B14:E14"/>
    <mergeCell ref="B13:E13"/>
    <mergeCell ref="A10:E10"/>
    <mergeCell ref="H10:W12"/>
    <mergeCell ref="F12:G12"/>
    <mergeCell ref="F11:G11"/>
    <mergeCell ref="AA1:AB1"/>
    <mergeCell ref="A1:D3"/>
    <mergeCell ref="E1:Y3"/>
    <mergeCell ref="A9:E9"/>
    <mergeCell ref="A7:E7"/>
    <mergeCell ref="A5:E5"/>
    <mergeCell ref="A8:E8"/>
    <mergeCell ref="A6:E6"/>
    <mergeCell ref="AA3:AB3"/>
    <mergeCell ref="AA2:AB2"/>
    <mergeCell ref="X5:AB5"/>
    <mergeCell ref="F6:W8"/>
    <mergeCell ref="F5:W5"/>
    <mergeCell ref="H9:W9"/>
    <mergeCell ref="X6:AB8"/>
    <mergeCell ref="X9:AB9"/>
    <mergeCell ref="H17:I17"/>
    <mergeCell ref="J17:U17"/>
    <mergeCell ref="X17:Z17"/>
    <mergeCell ref="V14:W14"/>
    <mergeCell ref="V13:W13"/>
    <mergeCell ref="R13:U13"/>
    <mergeCell ref="X10:AB14"/>
    <mergeCell ref="R14:U14"/>
  </mergeCells>
  <conditionalFormatting sqref="J19:U19 J222:U222 J113:U219 K112:U112 J79:U111 K78:U78 J23:U77">
    <cfRule type="expression" dxfId="1611" priority="3781" stopIfTrue="1">
      <formula>IF(AND(J$16&gt;=$H19,J$15&lt;=$I19,VLOOKUP($F19,PROFA,2,0)=1),1,0)</formula>
    </cfRule>
    <cfRule type="expression" dxfId="1610" priority="3782" stopIfTrue="1">
      <formula>IF(AND(J$16&gt;=$H19,J$15&lt;=$I19,VLOOKUP($F19,PROFA,2,0)=2),1,0)</formula>
    </cfRule>
    <cfRule type="expression" dxfId="1609" priority="3783" stopIfTrue="1">
      <formula>IF(AND(J$16&gt;=$H19,J$15&lt;=$I19,VLOOKUP($F19,PROFA,2,0)=3),1,0)</formula>
    </cfRule>
    <cfRule type="expression" dxfId="1608" priority="3784" stopIfTrue="1">
      <formula>IF(AND(J$16&gt;=$H19,J$15&lt;=$I19,VLOOKUP($F19,PROFA,2,0)=4),1,0)</formula>
    </cfRule>
    <cfRule type="expression" dxfId="1607" priority="3785" stopIfTrue="1">
      <formula>IF(AND(J$16&gt;=$H19,J$15&lt;=$I19,VLOOKUP($F19,PROFA,2,0)=5),1,0)</formula>
    </cfRule>
    <cfRule type="expression" dxfId="1606" priority="3786" stopIfTrue="1">
      <formula>IF(AND(J$16&gt;=$H19,J$15&lt;=$I19,VLOOKUP($F19,PROFA,2,0)=6),1,0)</formula>
    </cfRule>
    <cfRule type="expression" dxfId="1605" priority="3788" stopIfTrue="1">
      <formula>IF(AND(J$16&gt;=$H19,J$15&lt;=$I19,VLOOKUP($F19,PROFA,2,0)=7),1,0)</formula>
    </cfRule>
    <cfRule type="expression" dxfId="1604" priority="3789" stopIfTrue="1">
      <formula>IF(AND(J$16&gt;=$H19,J$15&lt;=$I19,VLOOKUP($F19,PROFA,2,0)=8),1,0)</formula>
    </cfRule>
  </conditionalFormatting>
  <conditionalFormatting sqref="J20:U21">
    <cfRule type="expression" dxfId="1603" priority="3648" stopIfTrue="1">
      <formula>IF(AND(J$16&gt;=$H20,J$15&lt;=$I20,VLOOKUP($F20,PROFA,2,0)=1),1,0)</formula>
    </cfRule>
    <cfRule type="expression" dxfId="1602" priority="3649" stopIfTrue="1">
      <formula>IF(AND(J$16&gt;=$H20,J$15&lt;=$I20,VLOOKUP($F20,PROFA,2,0)=2),1,0)</formula>
    </cfRule>
    <cfRule type="expression" dxfId="1601" priority="3650" stopIfTrue="1">
      <formula>IF(AND(J$16&gt;=$H20,J$15&lt;=$I20,VLOOKUP($F20,PROFA,2,0)=3),1,0)</formula>
    </cfRule>
    <cfRule type="expression" dxfId="1600" priority="3651" stopIfTrue="1">
      <formula>IF(AND(J$16&gt;=$H20,J$15&lt;=$I20,VLOOKUP($F20,PROFA,2,0)=4),1,0)</formula>
    </cfRule>
    <cfRule type="expression" dxfId="1599" priority="3652" stopIfTrue="1">
      <formula>IF(AND(J$16&gt;=$H20,J$15&lt;=$I20,VLOOKUP($F20,PROFA,2,0)=5),1,0)</formula>
    </cfRule>
    <cfRule type="expression" dxfId="1598" priority="3653" stopIfTrue="1">
      <formula>IF(AND(J$16&gt;=$H20,J$15&lt;=$I20,VLOOKUP($F20,PROFA,2,0)=6),1,0)</formula>
    </cfRule>
    <cfRule type="expression" dxfId="1597" priority="3654" stopIfTrue="1">
      <formula>IF(AND(J$16&gt;=$H20,J$15&lt;=$I20,VLOOKUP($F20,PROFA,2,0)=7),1,0)</formula>
    </cfRule>
    <cfRule type="expression" dxfId="1596" priority="3655" stopIfTrue="1">
      <formula>IF(AND(J$16&gt;=$H20,J$15&lt;=$I20,VLOOKUP($F20,PROFA,2,0)=8),1,0)</formula>
    </cfRule>
  </conditionalFormatting>
  <conditionalFormatting sqref="J22:N22 R22:U22">
    <cfRule type="expression" dxfId="1595" priority="2407" stopIfTrue="1">
      <formula>IF(AND(J$16&gt;=$H22,J$15&lt;=$I22,VLOOKUP($F22,PROFA,2,0)=1),1,0)</formula>
    </cfRule>
    <cfRule type="expression" dxfId="1594" priority="2408" stopIfTrue="1">
      <formula>IF(AND(J$16&gt;=$H22,J$15&lt;=$I22,VLOOKUP($F22,PROFA,2,0)=2),1,0)</formula>
    </cfRule>
    <cfRule type="expression" dxfId="1593" priority="2409" stopIfTrue="1">
      <formula>IF(AND(J$16&gt;=$H22,J$15&lt;=$I22,VLOOKUP($F22,PROFA,2,0)=3),1,0)</formula>
    </cfRule>
    <cfRule type="expression" dxfId="1592" priority="2410" stopIfTrue="1">
      <formula>IF(AND(J$16&gt;=$H22,J$15&lt;=$I22,VLOOKUP($F22,PROFA,2,0)=4),1,0)</formula>
    </cfRule>
    <cfRule type="expression" dxfId="1591" priority="2411" stopIfTrue="1">
      <formula>IF(AND(J$16&gt;=$H22,J$15&lt;=$I22,VLOOKUP($F22,PROFA,2,0)=5),1,0)</formula>
    </cfRule>
    <cfRule type="expression" dxfId="1590" priority="2412" stopIfTrue="1">
      <formula>IF(AND(J$16&gt;=$H22,J$15&lt;=$I22,VLOOKUP($F22,PROFA,2,0)=6),1,0)</formula>
    </cfRule>
    <cfRule type="expression" dxfId="1589" priority="2413" stopIfTrue="1">
      <formula>IF(AND(J$16&gt;=$H22,J$15&lt;=$I22,VLOOKUP($F22,PROFA,2,0)=7),1,0)</formula>
    </cfRule>
    <cfRule type="expression" dxfId="1588" priority="2414" stopIfTrue="1">
      <formula>IF(AND(J$16&gt;=$H22,J$15&lt;=$I22,VLOOKUP($F22,PROFA,2,0)=8),1,0)</formula>
    </cfRule>
  </conditionalFormatting>
  <conditionalFormatting sqref="O22:Q22">
    <cfRule type="expression" dxfId="1587" priority="2391" stopIfTrue="1">
      <formula>IF(AND(O$16&gt;=$H22,O$15&lt;=$I22,VLOOKUP($F22,PROFA,2,0)=1),1,0)</formula>
    </cfRule>
    <cfRule type="expression" dxfId="1586" priority="2392" stopIfTrue="1">
      <formula>IF(AND(O$16&gt;=$H22,O$15&lt;=$I22,VLOOKUP($F22,PROFA,2,0)=2),1,0)</formula>
    </cfRule>
    <cfRule type="expression" dxfId="1585" priority="2393" stopIfTrue="1">
      <formula>IF(AND(O$16&gt;=$H22,O$15&lt;=$I22,VLOOKUP($F22,PROFA,2,0)=3),1,0)</formula>
    </cfRule>
    <cfRule type="expression" dxfId="1584" priority="2394" stopIfTrue="1">
      <formula>IF(AND(O$16&gt;=$H22,O$15&lt;=$I22,VLOOKUP($F22,PROFA,2,0)=4),1,0)</formula>
    </cfRule>
    <cfRule type="expression" dxfId="1583" priority="2395" stopIfTrue="1">
      <formula>IF(AND(O$16&gt;=$H22,O$15&lt;=$I22,VLOOKUP($F22,PROFA,2,0)=5),1,0)</formula>
    </cfRule>
    <cfRule type="expression" dxfId="1582" priority="2396" stopIfTrue="1">
      <formula>IF(AND(O$16&gt;=$H22,O$15&lt;=$I22,VLOOKUP($F22,PROFA,2,0)=6),1,0)</formula>
    </cfRule>
    <cfRule type="expression" dxfId="1581" priority="2397" stopIfTrue="1">
      <formula>IF(AND(O$16&gt;=$H22,O$15&lt;=$I22,VLOOKUP($F22,PROFA,2,0)=7),1,0)</formula>
    </cfRule>
    <cfRule type="expression" dxfId="1580" priority="2398" stopIfTrue="1">
      <formula>IF(AND(O$16&gt;=$H22,O$15&lt;=$I22,VLOOKUP($F22,PROFA,2,0)=8),1,0)</formula>
    </cfRule>
  </conditionalFormatting>
  <conditionalFormatting sqref="F90">
    <cfRule type="expression" dxfId="1579" priority="2231">
      <formula>IF(VLOOKUP($F90,PROFA,2,0)=1,1,0)</formula>
    </cfRule>
    <cfRule type="expression" dxfId="1578" priority="2232">
      <formula>IF(VLOOKUP($F90,PROFA,2,0)=2,1,0)</formula>
    </cfRule>
    <cfRule type="expression" dxfId="1577" priority="2233">
      <formula>IF(VLOOKUP($F90,PROFA,2,0)=3,1,0)</formula>
    </cfRule>
    <cfRule type="expression" dxfId="1576" priority="2234">
      <formula>IF(VLOOKUP($F90,PROFA,2,0)=4,1,0)</formula>
    </cfRule>
    <cfRule type="expression" dxfId="1575" priority="2235">
      <formula>IF(VLOOKUP($F90,PROFA,2,0)=5,1,0)</formula>
    </cfRule>
    <cfRule type="expression" dxfId="1574" priority="2236">
      <formula>IF(VLOOKUP($F90,PROFA,2,0)=6,1,0)</formula>
    </cfRule>
    <cfRule type="expression" dxfId="1573" priority="2237">
      <formula>IF(VLOOKUP($F90,PROFA,2,0)=7,1,0)</formula>
    </cfRule>
    <cfRule type="expression" dxfId="1572" priority="2238">
      <formula>IF(VLOOKUP($F90,PROFA,2,0)=8,1,0)</formula>
    </cfRule>
  </conditionalFormatting>
  <conditionalFormatting sqref="F19 F200:F206 F208:F219 F222 F183:F198">
    <cfRule type="expression" dxfId="1571" priority="1973">
      <formula>IF(VLOOKUP($F19,PROFA,2,0)=1,1,0)</formula>
    </cfRule>
    <cfRule type="expression" dxfId="1570" priority="2455">
      <formula>IF(VLOOKUP($F19,PROFA,2,0)=2,1,0)</formula>
    </cfRule>
    <cfRule type="expression" dxfId="1569" priority="2456">
      <formula>IF(VLOOKUP($F19,PROFA,2,0)=3,1,0)</formula>
    </cfRule>
    <cfRule type="expression" dxfId="1568" priority="2457">
      <formula>IF(VLOOKUP($F19,PROFA,2,0)=4,1,0)</formula>
    </cfRule>
    <cfRule type="expression" dxfId="1567" priority="2458">
      <formula>IF(VLOOKUP($F19,PROFA,2,0)=5,1,0)</formula>
    </cfRule>
    <cfRule type="expression" dxfId="1566" priority="2459">
      <formula>IF(VLOOKUP($F19,PROFA,2,0)=6,1,0)</formula>
    </cfRule>
    <cfRule type="expression" dxfId="1565" priority="2460">
      <formula>IF(VLOOKUP($F19,PROFA,2,0)=7,1,0)</formula>
    </cfRule>
    <cfRule type="expression" dxfId="1564" priority="2461">
      <formula>IF(VLOOKUP($F19,PROFA,2,0)=8,1,0)</formula>
    </cfRule>
    <cfRule type="expression" dxfId="1563" priority="2462">
      <formula>IF(VLOOKUP($F19,PROFA,2,0)=9,1,0)</formula>
    </cfRule>
  </conditionalFormatting>
  <conditionalFormatting sqref="F29">
    <cfRule type="expression" dxfId="1562" priority="1964">
      <formula>IF(VLOOKUP($F29,PROFA,2,0)=1,1,0)</formula>
    </cfRule>
    <cfRule type="expression" dxfId="1561" priority="1965">
      <formula>IF(VLOOKUP($F29,PROFA,2,0)=2,1,0)</formula>
    </cfRule>
    <cfRule type="expression" dxfId="1560" priority="1966">
      <formula>IF(VLOOKUP($F29,PROFA,2,0)=3,1,0)</formula>
    </cfRule>
    <cfRule type="expression" dxfId="1559" priority="1967">
      <formula>IF(VLOOKUP($F29,PROFA,2,0)=4,1,0)</formula>
    </cfRule>
    <cfRule type="expression" dxfId="1558" priority="1968">
      <formula>IF(VLOOKUP($F29,PROFA,2,0)=5,1,0)</formula>
    </cfRule>
    <cfRule type="expression" dxfId="1557" priority="1969">
      <formula>IF(VLOOKUP($F29,PROFA,2,0)=6,1,0)</formula>
    </cfRule>
    <cfRule type="expression" dxfId="1556" priority="1970">
      <formula>IF(VLOOKUP($F29,PROFA,2,0)=7,1,0)</formula>
    </cfRule>
    <cfRule type="expression" dxfId="1555" priority="1971">
      <formula>IF(VLOOKUP($F29,PROFA,2,0)=8,1,0)</formula>
    </cfRule>
    <cfRule type="expression" dxfId="1554" priority="1972">
      <formula>IF(VLOOKUP($F29,PROFA,2,0)=9,1,0)</formula>
    </cfRule>
  </conditionalFormatting>
  <conditionalFormatting sqref="F35">
    <cfRule type="expression" dxfId="1553" priority="1955">
      <formula>IF(VLOOKUP($F35,PROFA,2,0)=1,1,0)</formula>
    </cfRule>
    <cfRule type="expression" dxfId="1552" priority="1956">
      <formula>IF(VLOOKUP($F35,PROFA,2,0)=2,1,0)</formula>
    </cfRule>
    <cfRule type="expression" dxfId="1551" priority="1957">
      <formula>IF(VLOOKUP($F35,PROFA,2,0)=3,1,0)</formula>
    </cfRule>
    <cfRule type="expression" dxfId="1550" priority="1958">
      <formula>IF(VLOOKUP($F35,PROFA,2,0)=4,1,0)</formula>
    </cfRule>
    <cfRule type="expression" dxfId="1549" priority="1959">
      <formula>IF(VLOOKUP($F35,PROFA,2,0)=5,1,0)</formula>
    </cfRule>
    <cfRule type="expression" dxfId="1548" priority="1960">
      <formula>IF(VLOOKUP($F35,PROFA,2,0)=6,1,0)</formula>
    </cfRule>
    <cfRule type="expression" dxfId="1547" priority="1961">
      <formula>IF(VLOOKUP($F35,PROFA,2,0)=7,1,0)</formula>
    </cfRule>
    <cfRule type="expression" dxfId="1546" priority="1962">
      <formula>IF(VLOOKUP($F35,PROFA,2,0)=8,1,0)</formula>
    </cfRule>
    <cfRule type="expression" dxfId="1545" priority="1963">
      <formula>IF(VLOOKUP($F35,PROFA,2,0)=9,1,0)</formula>
    </cfRule>
  </conditionalFormatting>
  <conditionalFormatting sqref="F36">
    <cfRule type="expression" dxfId="1544" priority="1946">
      <formula>IF(VLOOKUP($F36,PROFA,2,0)=1,1,0)</formula>
    </cfRule>
    <cfRule type="expression" dxfId="1543" priority="1947">
      <formula>IF(VLOOKUP($F36,PROFA,2,0)=2,1,0)</formula>
    </cfRule>
    <cfRule type="expression" dxfId="1542" priority="1948">
      <formula>IF(VLOOKUP($F36,PROFA,2,0)=3,1,0)</formula>
    </cfRule>
    <cfRule type="expression" dxfId="1541" priority="1949">
      <formula>IF(VLOOKUP($F36,PROFA,2,0)=4,1,0)</formula>
    </cfRule>
    <cfRule type="expression" dxfId="1540" priority="1950">
      <formula>IF(VLOOKUP($F36,PROFA,2,0)=5,1,0)</formula>
    </cfRule>
    <cfRule type="expression" dxfId="1539" priority="1951">
      <formula>IF(VLOOKUP($F36,PROFA,2,0)=6,1,0)</formula>
    </cfRule>
    <cfRule type="expression" dxfId="1538" priority="1952">
      <formula>IF(VLOOKUP($F36,PROFA,2,0)=7,1,0)</formula>
    </cfRule>
    <cfRule type="expression" dxfId="1537" priority="1953">
      <formula>IF(VLOOKUP($F36,PROFA,2,0)=8,1,0)</formula>
    </cfRule>
    <cfRule type="expression" dxfId="1536" priority="1954">
      <formula>IF(VLOOKUP($F36,PROFA,2,0)=9,1,0)</formula>
    </cfRule>
  </conditionalFormatting>
  <conditionalFormatting sqref="F49">
    <cfRule type="expression" dxfId="1535" priority="1937">
      <formula>IF(VLOOKUP($F49,PROFA,2,0)=1,1,0)</formula>
    </cfRule>
    <cfRule type="expression" dxfId="1534" priority="1938">
      <formula>IF(VLOOKUP($F49,PROFA,2,0)=2,1,0)</formula>
    </cfRule>
    <cfRule type="expression" dxfId="1533" priority="1939">
      <formula>IF(VLOOKUP($F49,PROFA,2,0)=3,1,0)</formula>
    </cfRule>
    <cfRule type="expression" dxfId="1532" priority="1940">
      <formula>IF(VLOOKUP($F49,PROFA,2,0)=4,1,0)</formula>
    </cfRule>
    <cfRule type="expression" dxfId="1531" priority="1941">
      <formula>IF(VLOOKUP($F49,PROFA,2,0)=5,1,0)</formula>
    </cfRule>
    <cfRule type="expression" dxfId="1530" priority="1942">
      <formula>IF(VLOOKUP($F49,PROFA,2,0)=6,1,0)</formula>
    </cfRule>
    <cfRule type="expression" dxfId="1529" priority="1943">
      <formula>IF(VLOOKUP($F49,PROFA,2,0)=7,1,0)</formula>
    </cfRule>
    <cfRule type="expression" dxfId="1528" priority="1944">
      <formula>IF(VLOOKUP($F49,PROFA,2,0)=8,1,0)</formula>
    </cfRule>
    <cfRule type="expression" dxfId="1527" priority="1945">
      <formula>IF(VLOOKUP($F49,PROFA,2,0)=9,1,0)</formula>
    </cfRule>
  </conditionalFormatting>
  <conditionalFormatting sqref="F69">
    <cfRule type="expression" dxfId="1526" priority="1928">
      <formula>IF(VLOOKUP($F69,PROFA,2,0)=1,1,0)</formula>
    </cfRule>
    <cfRule type="expression" dxfId="1525" priority="1929">
      <formula>IF(VLOOKUP($F69,PROFA,2,0)=2,1,0)</formula>
    </cfRule>
    <cfRule type="expression" dxfId="1524" priority="1930">
      <formula>IF(VLOOKUP($F69,PROFA,2,0)=3,1,0)</formula>
    </cfRule>
    <cfRule type="expression" dxfId="1523" priority="1931">
      <formula>IF(VLOOKUP($F69,PROFA,2,0)=4,1,0)</formula>
    </cfRule>
    <cfRule type="expression" dxfId="1522" priority="1932">
      <formula>IF(VLOOKUP($F69,PROFA,2,0)=5,1,0)</formula>
    </cfRule>
    <cfRule type="expression" dxfId="1521" priority="1933">
      <formula>IF(VLOOKUP($F69,PROFA,2,0)=6,1,0)</formula>
    </cfRule>
    <cfRule type="expression" dxfId="1520" priority="1934">
      <formula>IF(VLOOKUP($F69,PROFA,2,0)=7,1,0)</formula>
    </cfRule>
    <cfRule type="expression" dxfId="1519" priority="1935">
      <formula>IF(VLOOKUP($F69,PROFA,2,0)=8,1,0)</formula>
    </cfRule>
    <cfRule type="expression" dxfId="1518" priority="1936">
      <formula>IF(VLOOKUP($F69,PROFA,2,0)=9,1,0)</formula>
    </cfRule>
  </conditionalFormatting>
  <conditionalFormatting sqref="F75">
    <cfRule type="expression" dxfId="1517" priority="1919">
      <formula>IF(VLOOKUP($F75,PROFA,2,0)=1,1,0)</formula>
    </cfRule>
    <cfRule type="expression" dxfId="1516" priority="1920">
      <formula>IF(VLOOKUP($F75,PROFA,2,0)=2,1,0)</formula>
    </cfRule>
    <cfRule type="expression" dxfId="1515" priority="1921">
      <formula>IF(VLOOKUP($F75,PROFA,2,0)=3,1,0)</formula>
    </cfRule>
    <cfRule type="expression" dxfId="1514" priority="1922">
      <formula>IF(VLOOKUP($F75,PROFA,2,0)=4,1,0)</formula>
    </cfRule>
    <cfRule type="expression" dxfId="1513" priority="1923">
      <formula>IF(VLOOKUP($F75,PROFA,2,0)=5,1,0)</formula>
    </cfRule>
    <cfRule type="expression" dxfId="1512" priority="1924">
      <formula>IF(VLOOKUP($F75,PROFA,2,0)=6,1,0)</formula>
    </cfRule>
    <cfRule type="expression" dxfId="1511" priority="1925">
      <formula>IF(VLOOKUP($F75,PROFA,2,0)=7,1,0)</formula>
    </cfRule>
    <cfRule type="expression" dxfId="1510" priority="1926">
      <formula>IF(VLOOKUP($F75,PROFA,2,0)=8,1,0)</formula>
    </cfRule>
    <cfRule type="expression" dxfId="1509" priority="1927">
      <formula>IF(VLOOKUP($F75,PROFA,2,0)=9,1,0)</formula>
    </cfRule>
  </conditionalFormatting>
  <conditionalFormatting sqref="F93">
    <cfRule type="expression" dxfId="1508" priority="1883">
      <formula>IF(VLOOKUP($F93,PROFA,2,0)=1,1,0)</formula>
    </cfRule>
    <cfRule type="expression" dxfId="1507" priority="1884">
      <formula>IF(VLOOKUP($F93,PROFA,2,0)=2,1,0)</formula>
    </cfRule>
    <cfRule type="expression" dxfId="1506" priority="1885">
      <formula>IF(VLOOKUP($F93,PROFA,2,0)=3,1,0)</formula>
    </cfRule>
    <cfRule type="expression" dxfId="1505" priority="1886">
      <formula>IF(VLOOKUP($F93,PROFA,2,0)=4,1,0)</formula>
    </cfRule>
    <cfRule type="expression" dxfId="1504" priority="1887">
      <formula>IF(VLOOKUP($F93,PROFA,2,0)=5,1,0)</formula>
    </cfRule>
    <cfRule type="expression" dxfId="1503" priority="1888">
      <formula>IF(VLOOKUP($F93,PROFA,2,0)=6,1,0)</formula>
    </cfRule>
    <cfRule type="expression" dxfId="1502" priority="1889">
      <formula>IF(VLOOKUP($F93,PROFA,2,0)=7,1,0)</formula>
    </cfRule>
    <cfRule type="expression" dxfId="1501" priority="1890">
      <formula>IF(VLOOKUP($F93,PROFA,2,0)=8,1,0)</formula>
    </cfRule>
    <cfRule type="expression" dxfId="1500" priority="1891">
      <formula>IF(VLOOKUP($F93,PROFA,2,0)=9,1,0)</formula>
    </cfRule>
  </conditionalFormatting>
  <conditionalFormatting sqref="F134">
    <cfRule type="expression" dxfId="1499" priority="1829">
      <formula>IF(VLOOKUP($F134,PROFA,2,0)=1,1,0)</formula>
    </cfRule>
    <cfRule type="expression" dxfId="1498" priority="1830">
      <formula>IF(VLOOKUP($F134,PROFA,2,0)=2,1,0)</formula>
    </cfRule>
    <cfRule type="expression" dxfId="1497" priority="1831">
      <formula>IF(VLOOKUP($F134,PROFA,2,0)=3,1,0)</formula>
    </cfRule>
    <cfRule type="expression" dxfId="1496" priority="1832">
      <formula>IF(VLOOKUP($F134,PROFA,2,0)=4,1,0)</formula>
    </cfRule>
    <cfRule type="expression" dxfId="1495" priority="1833">
      <formula>IF(VLOOKUP($F134,PROFA,2,0)=5,1,0)</formula>
    </cfRule>
    <cfRule type="expression" dxfId="1494" priority="1834">
      <formula>IF(VLOOKUP($F134,PROFA,2,0)=6,1,0)</formula>
    </cfRule>
    <cfRule type="expression" dxfId="1493" priority="1835">
      <formula>IF(VLOOKUP($F134,PROFA,2,0)=7,1,0)</formula>
    </cfRule>
    <cfRule type="expression" dxfId="1492" priority="1836">
      <formula>IF(VLOOKUP($F134,PROFA,2,0)=8,1,0)</formula>
    </cfRule>
    <cfRule type="expression" dxfId="1491" priority="1837">
      <formula>IF(VLOOKUP($F134,PROFA,2,0)=9,1,0)</formula>
    </cfRule>
  </conditionalFormatting>
  <conditionalFormatting sqref="F28">
    <cfRule type="expression" dxfId="1490" priority="1774">
      <formula>IF(VLOOKUP($F28,PROFA,2,0)=1,1,0)</formula>
    </cfRule>
    <cfRule type="expression" dxfId="1489" priority="1775">
      <formula>IF(VLOOKUP($F28,PROFA,2,0)=2,1,0)</formula>
    </cfRule>
    <cfRule type="expression" dxfId="1488" priority="1776">
      <formula>IF(VLOOKUP($F28,PROFA,2,0)=3,1,0)</formula>
    </cfRule>
    <cfRule type="expression" dxfId="1487" priority="1777">
      <formula>IF(VLOOKUP($F28,PROFA,2,0)=4,1,0)</formula>
    </cfRule>
    <cfRule type="expression" dxfId="1486" priority="1778">
      <formula>IF(VLOOKUP($F28,PROFA,2,0)=5,1,0)</formula>
    </cfRule>
    <cfRule type="expression" dxfId="1485" priority="1779">
      <formula>IF(VLOOKUP($F28,PROFA,2,0)=6,1,0)</formula>
    </cfRule>
    <cfRule type="expression" dxfId="1484" priority="1780">
      <formula>IF(VLOOKUP($F28,PROFA,2,0)=7,1,0)</formula>
    </cfRule>
    <cfRule type="expression" dxfId="1483" priority="1781">
      <formula>IF(VLOOKUP($F28,PROFA,2,0)=8,1,0)</formula>
    </cfRule>
    <cfRule type="expression" dxfId="1482" priority="1782">
      <formula>IF(VLOOKUP($F28,PROFA,2,0)=9,1,0)</formula>
    </cfRule>
  </conditionalFormatting>
  <conditionalFormatting sqref="F32">
    <cfRule type="expression" dxfId="1481" priority="1765">
      <formula>IF(VLOOKUP($F32,PROFA,2,0)=1,1,0)</formula>
    </cfRule>
    <cfRule type="expression" dxfId="1480" priority="1766">
      <formula>IF(VLOOKUP($F32,PROFA,2,0)=2,1,0)</formula>
    </cfRule>
    <cfRule type="expression" dxfId="1479" priority="1767">
      <formula>IF(VLOOKUP($F32,PROFA,2,0)=3,1,0)</formula>
    </cfRule>
    <cfRule type="expression" dxfId="1478" priority="1768">
      <formula>IF(VLOOKUP($F32,PROFA,2,0)=4,1,0)</formula>
    </cfRule>
    <cfRule type="expression" dxfId="1477" priority="1769">
      <formula>IF(VLOOKUP($F32,PROFA,2,0)=5,1,0)</formula>
    </cfRule>
    <cfRule type="expression" dxfId="1476" priority="1770">
      <formula>IF(VLOOKUP($F32,PROFA,2,0)=6,1,0)</formula>
    </cfRule>
    <cfRule type="expression" dxfId="1475" priority="1771">
      <formula>IF(VLOOKUP($F32,PROFA,2,0)=7,1,0)</formula>
    </cfRule>
    <cfRule type="expression" dxfId="1474" priority="1772">
      <formula>IF(VLOOKUP($F32,PROFA,2,0)=8,1,0)</formula>
    </cfRule>
    <cfRule type="expression" dxfId="1473" priority="1773">
      <formula>IF(VLOOKUP($F32,PROFA,2,0)=9,1,0)</formula>
    </cfRule>
  </conditionalFormatting>
  <conditionalFormatting sqref="F38">
    <cfRule type="expression" dxfId="1472" priority="1756">
      <formula>IF(VLOOKUP($F38,PROFA,2,0)=1,1,0)</formula>
    </cfRule>
    <cfRule type="expression" dxfId="1471" priority="1757">
      <formula>IF(VLOOKUP($F38,PROFA,2,0)=2,1,0)</formula>
    </cfRule>
    <cfRule type="expression" dxfId="1470" priority="1758">
      <formula>IF(VLOOKUP($F38,PROFA,2,0)=3,1,0)</formula>
    </cfRule>
    <cfRule type="expression" dxfId="1469" priority="1759">
      <formula>IF(VLOOKUP($F38,PROFA,2,0)=4,1,0)</formula>
    </cfRule>
    <cfRule type="expression" dxfId="1468" priority="1760">
      <formula>IF(VLOOKUP($F38,PROFA,2,0)=5,1,0)</formula>
    </cfRule>
    <cfRule type="expression" dxfId="1467" priority="1761">
      <formula>IF(VLOOKUP($F38,PROFA,2,0)=6,1,0)</formula>
    </cfRule>
    <cfRule type="expression" dxfId="1466" priority="1762">
      <formula>IF(VLOOKUP($F38,PROFA,2,0)=7,1,0)</formula>
    </cfRule>
    <cfRule type="expression" dxfId="1465" priority="1763">
      <formula>IF(VLOOKUP($F38,PROFA,2,0)=8,1,0)</formula>
    </cfRule>
    <cfRule type="expression" dxfId="1464" priority="1764">
      <formula>IF(VLOOKUP($F38,PROFA,2,0)=9,1,0)</formula>
    </cfRule>
  </conditionalFormatting>
  <conditionalFormatting sqref="F46">
    <cfRule type="expression" dxfId="1463" priority="1747">
      <formula>IF(VLOOKUP($F46,PROFA,2,0)=1,1,0)</formula>
    </cfRule>
    <cfRule type="expression" dxfId="1462" priority="1748">
      <formula>IF(VLOOKUP($F46,PROFA,2,0)=2,1,0)</formula>
    </cfRule>
    <cfRule type="expression" dxfId="1461" priority="1749">
      <formula>IF(VLOOKUP($F46,PROFA,2,0)=3,1,0)</formula>
    </cfRule>
    <cfRule type="expression" dxfId="1460" priority="1750">
      <formula>IF(VLOOKUP($F46,PROFA,2,0)=4,1,0)</formula>
    </cfRule>
    <cfRule type="expression" dxfId="1459" priority="1751">
      <formula>IF(VLOOKUP($F46,PROFA,2,0)=5,1,0)</formula>
    </cfRule>
    <cfRule type="expression" dxfId="1458" priority="1752">
      <formula>IF(VLOOKUP($F46,PROFA,2,0)=6,1,0)</formula>
    </cfRule>
    <cfRule type="expression" dxfId="1457" priority="1753">
      <formula>IF(VLOOKUP($F46,PROFA,2,0)=7,1,0)</formula>
    </cfRule>
    <cfRule type="expression" dxfId="1456" priority="1754">
      <formula>IF(VLOOKUP($F46,PROFA,2,0)=8,1,0)</formula>
    </cfRule>
    <cfRule type="expression" dxfId="1455" priority="1755">
      <formula>IF(VLOOKUP($F46,PROFA,2,0)=9,1,0)</formula>
    </cfRule>
  </conditionalFormatting>
  <conditionalFormatting sqref="F53">
    <cfRule type="expression" dxfId="1454" priority="1738">
      <formula>IF(VLOOKUP($F53,PROFA,2,0)=1,1,0)</formula>
    </cfRule>
    <cfRule type="expression" dxfId="1453" priority="1739">
      <formula>IF(VLOOKUP($F53,PROFA,2,0)=2,1,0)</formula>
    </cfRule>
    <cfRule type="expression" dxfId="1452" priority="1740">
      <formula>IF(VLOOKUP($F53,PROFA,2,0)=3,1,0)</formula>
    </cfRule>
    <cfRule type="expression" dxfId="1451" priority="1741">
      <formula>IF(VLOOKUP($F53,PROFA,2,0)=4,1,0)</formula>
    </cfRule>
    <cfRule type="expression" dxfId="1450" priority="1742">
      <formula>IF(VLOOKUP($F53,PROFA,2,0)=5,1,0)</formula>
    </cfRule>
    <cfRule type="expression" dxfId="1449" priority="1743">
      <formula>IF(VLOOKUP($F53,PROFA,2,0)=6,1,0)</formula>
    </cfRule>
    <cfRule type="expression" dxfId="1448" priority="1744">
      <formula>IF(VLOOKUP($F53,PROFA,2,0)=7,1,0)</formula>
    </cfRule>
    <cfRule type="expression" dxfId="1447" priority="1745">
      <formula>IF(VLOOKUP($F53,PROFA,2,0)=8,1,0)</formula>
    </cfRule>
    <cfRule type="expression" dxfId="1446" priority="1746">
      <formula>IF(VLOOKUP($F53,PROFA,2,0)=9,1,0)</formula>
    </cfRule>
  </conditionalFormatting>
  <conditionalFormatting sqref="F73">
    <cfRule type="expression" dxfId="1445" priority="1729">
      <formula>IF(VLOOKUP($F73,PROFA,2,0)=1,1,0)</formula>
    </cfRule>
    <cfRule type="expression" dxfId="1444" priority="1730">
      <formula>IF(VLOOKUP($F73,PROFA,2,0)=2,1,0)</formula>
    </cfRule>
    <cfRule type="expression" dxfId="1443" priority="1731">
      <formula>IF(VLOOKUP($F73,PROFA,2,0)=3,1,0)</formula>
    </cfRule>
    <cfRule type="expression" dxfId="1442" priority="1732">
      <formula>IF(VLOOKUP($F73,PROFA,2,0)=4,1,0)</formula>
    </cfRule>
    <cfRule type="expression" dxfId="1441" priority="1733">
      <formula>IF(VLOOKUP($F73,PROFA,2,0)=5,1,0)</formula>
    </cfRule>
    <cfRule type="expression" dxfId="1440" priority="1734">
      <formula>IF(VLOOKUP($F73,PROFA,2,0)=6,1,0)</formula>
    </cfRule>
    <cfRule type="expression" dxfId="1439" priority="1735">
      <formula>IF(VLOOKUP($F73,PROFA,2,0)=7,1,0)</formula>
    </cfRule>
    <cfRule type="expression" dxfId="1438" priority="1736">
      <formula>IF(VLOOKUP($F73,PROFA,2,0)=8,1,0)</formula>
    </cfRule>
    <cfRule type="expression" dxfId="1437" priority="1737">
      <formula>IF(VLOOKUP($F73,PROFA,2,0)=9,1,0)</formula>
    </cfRule>
  </conditionalFormatting>
  <conditionalFormatting sqref="F74">
    <cfRule type="expression" dxfId="1436" priority="1720">
      <formula>IF(VLOOKUP($F74,PROFA,2,0)=1,1,0)</formula>
    </cfRule>
    <cfRule type="expression" dxfId="1435" priority="1721">
      <formula>IF(VLOOKUP($F74,PROFA,2,0)=2,1,0)</formula>
    </cfRule>
    <cfRule type="expression" dxfId="1434" priority="1722">
      <formula>IF(VLOOKUP($F74,PROFA,2,0)=3,1,0)</formula>
    </cfRule>
    <cfRule type="expression" dxfId="1433" priority="1723">
      <formula>IF(VLOOKUP($F74,PROFA,2,0)=4,1,0)</formula>
    </cfRule>
    <cfRule type="expression" dxfId="1432" priority="1724">
      <formula>IF(VLOOKUP($F74,PROFA,2,0)=5,1,0)</formula>
    </cfRule>
    <cfRule type="expression" dxfId="1431" priority="1725">
      <formula>IF(VLOOKUP($F74,PROFA,2,0)=6,1,0)</formula>
    </cfRule>
    <cfRule type="expression" dxfId="1430" priority="1726">
      <formula>IF(VLOOKUP($F74,PROFA,2,0)=7,1,0)</formula>
    </cfRule>
    <cfRule type="expression" dxfId="1429" priority="1727">
      <formula>IF(VLOOKUP($F74,PROFA,2,0)=8,1,0)</formula>
    </cfRule>
    <cfRule type="expression" dxfId="1428" priority="1728">
      <formula>IF(VLOOKUP($F74,PROFA,2,0)=9,1,0)</formula>
    </cfRule>
  </conditionalFormatting>
  <conditionalFormatting sqref="F92">
    <cfRule type="expression" dxfId="1427" priority="1711">
      <formula>IF(VLOOKUP($F92,PROFA,2,0)=1,1,0)</formula>
    </cfRule>
    <cfRule type="expression" dxfId="1426" priority="1712">
      <formula>IF(VLOOKUP($F92,PROFA,2,0)=2,1,0)</formula>
    </cfRule>
    <cfRule type="expression" dxfId="1425" priority="1713">
      <formula>IF(VLOOKUP($F92,PROFA,2,0)=3,1,0)</formula>
    </cfRule>
    <cfRule type="expression" dxfId="1424" priority="1714">
      <formula>IF(VLOOKUP($F92,PROFA,2,0)=4,1,0)</formula>
    </cfRule>
    <cfRule type="expression" dxfId="1423" priority="1715">
      <formula>IF(VLOOKUP($F92,PROFA,2,0)=5,1,0)</formula>
    </cfRule>
    <cfRule type="expression" dxfId="1422" priority="1716">
      <formula>IF(VLOOKUP($F92,PROFA,2,0)=6,1,0)</formula>
    </cfRule>
    <cfRule type="expression" dxfId="1421" priority="1717">
      <formula>IF(VLOOKUP($F92,PROFA,2,0)=7,1,0)</formula>
    </cfRule>
    <cfRule type="expression" dxfId="1420" priority="1718">
      <formula>IF(VLOOKUP($F92,PROFA,2,0)=8,1,0)</formula>
    </cfRule>
    <cfRule type="expression" dxfId="1419" priority="1719">
      <formula>IF(VLOOKUP($F92,PROFA,2,0)=9,1,0)</formula>
    </cfRule>
  </conditionalFormatting>
  <conditionalFormatting sqref="F97">
    <cfRule type="expression" dxfId="1418" priority="1702">
      <formula>IF(VLOOKUP($F97,PROFA,2,0)=1,1,0)</formula>
    </cfRule>
    <cfRule type="expression" dxfId="1417" priority="1703">
      <formula>IF(VLOOKUP($F97,PROFA,2,0)=2,1,0)</formula>
    </cfRule>
    <cfRule type="expression" dxfId="1416" priority="1704">
      <formula>IF(VLOOKUP($F97,PROFA,2,0)=3,1,0)</formula>
    </cfRule>
    <cfRule type="expression" dxfId="1415" priority="1705">
      <formula>IF(VLOOKUP($F97,PROFA,2,0)=4,1,0)</formula>
    </cfRule>
    <cfRule type="expression" dxfId="1414" priority="1706">
      <formula>IF(VLOOKUP($F97,PROFA,2,0)=5,1,0)</formula>
    </cfRule>
    <cfRule type="expression" dxfId="1413" priority="1707">
      <formula>IF(VLOOKUP($F97,PROFA,2,0)=6,1,0)</formula>
    </cfRule>
    <cfRule type="expression" dxfId="1412" priority="1708">
      <formula>IF(VLOOKUP($F97,PROFA,2,0)=7,1,0)</formula>
    </cfRule>
    <cfRule type="expression" dxfId="1411" priority="1709">
      <formula>IF(VLOOKUP($F97,PROFA,2,0)=8,1,0)</formula>
    </cfRule>
    <cfRule type="expression" dxfId="1410" priority="1710">
      <formula>IF(VLOOKUP($F97,PROFA,2,0)=9,1,0)</formula>
    </cfRule>
  </conditionalFormatting>
  <conditionalFormatting sqref="F129">
    <cfRule type="expression" dxfId="1409" priority="1675">
      <formula>IF(VLOOKUP($F129,PROFA,2,0)=1,1,0)</formula>
    </cfRule>
    <cfRule type="expression" dxfId="1408" priority="1676">
      <formula>IF(VLOOKUP($F129,PROFA,2,0)=2,1,0)</formula>
    </cfRule>
    <cfRule type="expression" dxfId="1407" priority="1677">
      <formula>IF(VLOOKUP($F129,PROFA,2,0)=3,1,0)</formula>
    </cfRule>
    <cfRule type="expression" dxfId="1406" priority="1678">
      <formula>IF(VLOOKUP($F129,PROFA,2,0)=4,1,0)</formula>
    </cfRule>
    <cfRule type="expression" dxfId="1405" priority="1679">
      <formula>IF(VLOOKUP($F129,PROFA,2,0)=5,1,0)</formula>
    </cfRule>
    <cfRule type="expression" dxfId="1404" priority="1680">
      <formula>IF(VLOOKUP($F129,PROFA,2,0)=6,1,0)</formula>
    </cfRule>
    <cfRule type="expression" dxfId="1403" priority="1681">
      <formula>IF(VLOOKUP($F129,PROFA,2,0)=7,1,0)</formula>
    </cfRule>
    <cfRule type="expression" dxfId="1402" priority="1682">
      <formula>IF(VLOOKUP($F129,PROFA,2,0)=8,1,0)</formula>
    </cfRule>
    <cfRule type="expression" dxfId="1401" priority="1683">
      <formula>IF(VLOOKUP($F129,PROFA,2,0)=9,1,0)</formula>
    </cfRule>
  </conditionalFormatting>
  <conditionalFormatting sqref="F136">
    <cfRule type="expression" dxfId="1400" priority="1666">
      <formula>IF(VLOOKUP($F136,PROFA,2,0)=1,1,0)</formula>
    </cfRule>
    <cfRule type="expression" dxfId="1399" priority="1667">
      <formula>IF(VLOOKUP($F136,PROFA,2,0)=2,1,0)</formula>
    </cfRule>
    <cfRule type="expression" dxfId="1398" priority="1668">
      <formula>IF(VLOOKUP($F136,PROFA,2,0)=3,1,0)</formula>
    </cfRule>
    <cfRule type="expression" dxfId="1397" priority="1669">
      <formula>IF(VLOOKUP($F136,PROFA,2,0)=4,1,0)</formula>
    </cfRule>
    <cfRule type="expression" dxfId="1396" priority="1670">
      <formula>IF(VLOOKUP($F136,PROFA,2,0)=5,1,0)</formula>
    </cfRule>
    <cfRule type="expression" dxfId="1395" priority="1671">
      <formula>IF(VLOOKUP($F136,PROFA,2,0)=6,1,0)</formula>
    </cfRule>
    <cfRule type="expression" dxfId="1394" priority="1672">
      <formula>IF(VLOOKUP($F136,PROFA,2,0)=7,1,0)</formula>
    </cfRule>
    <cfRule type="expression" dxfId="1393" priority="1673">
      <formula>IF(VLOOKUP($F136,PROFA,2,0)=8,1,0)</formula>
    </cfRule>
    <cfRule type="expression" dxfId="1392" priority="1674">
      <formula>IF(VLOOKUP($F136,PROFA,2,0)=9,1,0)</formula>
    </cfRule>
  </conditionalFormatting>
  <conditionalFormatting sqref="F155">
    <cfRule type="expression" dxfId="1391" priority="1621">
      <formula>IF(VLOOKUP($F155,PROFA,2,0)=1,1,0)</formula>
    </cfRule>
    <cfRule type="expression" dxfId="1390" priority="1622">
      <formula>IF(VLOOKUP($F155,PROFA,2,0)=2,1,0)</formula>
    </cfRule>
    <cfRule type="expression" dxfId="1389" priority="1623">
      <formula>IF(VLOOKUP($F155,PROFA,2,0)=3,1,0)</formula>
    </cfRule>
    <cfRule type="expression" dxfId="1388" priority="1624">
      <formula>IF(VLOOKUP($F155,PROFA,2,0)=4,1,0)</formula>
    </cfRule>
    <cfRule type="expression" dxfId="1387" priority="1625">
      <formula>IF(VLOOKUP($F155,PROFA,2,0)=5,1,0)</formula>
    </cfRule>
    <cfRule type="expression" dxfId="1386" priority="1626">
      <formula>IF(VLOOKUP($F155,PROFA,2,0)=6,1,0)</formula>
    </cfRule>
    <cfRule type="expression" dxfId="1385" priority="1627">
      <formula>IF(VLOOKUP($F155,PROFA,2,0)=7,1,0)</formula>
    </cfRule>
    <cfRule type="expression" dxfId="1384" priority="1628">
      <formula>IF(VLOOKUP($F155,PROFA,2,0)=8,1,0)</formula>
    </cfRule>
    <cfRule type="expression" dxfId="1383" priority="1629">
      <formula>IF(VLOOKUP($F155,PROFA,2,0)=9,1,0)</formula>
    </cfRule>
  </conditionalFormatting>
  <conditionalFormatting sqref="F21">
    <cfRule type="expression" dxfId="1382" priority="1603">
      <formula>IF(VLOOKUP($F21,PROFA,2,0)=1,1,0)</formula>
    </cfRule>
    <cfRule type="expression" dxfId="1381" priority="1604">
      <formula>IF(VLOOKUP($F21,PROFA,2,0)=2,1,0)</formula>
    </cfRule>
    <cfRule type="expression" dxfId="1380" priority="1605">
      <formula>IF(VLOOKUP($F21,PROFA,2,0)=3,1,0)</formula>
    </cfRule>
    <cfRule type="expression" dxfId="1379" priority="1606">
      <formula>IF(VLOOKUP($F21,PROFA,2,0)=4,1,0)</formula>
    </cfRule>
    <cfRule type="expression" dxfId="1378" priority="1607">
      <formula>IF(VLOOKUP($F21,PROFA,2,0)=5,1,0)</formula>
    </cfRule>
    <cfRule type="expression" dxfId="1377" priority="1608">
      <formula>IF(VLOOKUP($F21,PROFA,2,0)=6,1,0)</formula>
    </cfRule>
    <cfRule type="expression" dxfId="1376" priority="1609">
      <formula>IF(VLOOKUP($F21,PROFA,2,0)=7,1,0)</formula>
    </cfRule>
    <cfRule type="expression" dxfId="1375" priority="1610">
      <formula>IF(VLOOKUP($F21,PROFA,2,0)=8,1,0)</formula>
    </cfRule>
    <cfRule type="expression" dxfId="1374" priority="1611">
      <formula>IF(VLOOKUP($F21,PROFA,2,0)=9,1,0)</formula>
    </cfRule>
  </conditionalFormatting>
  <conditionalFormatting sqref="F23">
    <cfRule type="expression" dxfId="1373" priority="1594">
      <formula>IF(VLOOKUP($F23,PROFA,2,0)=1,1,0)</formula>
    </cfRule>
    <cfRule type="expression" dxfId="1372" priority="1595">
      <formula>IF(VLOOKUP($F23,PROFA,2,0)=2,1,0)</formula>
    </cfRule>
    <cfRule type="expression" dxfId="1371" priority="1596">
      <formula>IF(VLOOKUP($F23,PROFA,2,0)=3,1,0)</formula>
    </cfRule>
    <cfRule type="expression" dxfId="1370" priority="1597">
      <formula>IF(VLOOKUP($F23,PROFA,2,0)=4,1,0)</formula>
    </cfRule>
    <cfRule type="expression" dxfId="1369" priority="1598">
      <formula>IF(VLOOKUP($F23,PROFA,2,0)=5,1,0)</formula>
    </cfRule>
    <cfRule type="expression" dxfId="1368" priority="1599">
      <formula>IF(VLOOKUP($F23,PROFA,2,0)=6,1,0)</formula>
    </cfRule>
    <cfRule type="expression" dxfId="1367" priority="1600">
      <formula>IF(VLOOKUP($F23,PROFA,2,0)=7,1,0)</formula>
    </cfRule>
    <cfRule type="expression" dxfId="1366" priority="1601">
      <formula>IF(VLOOKUP($F23,PROFA,2,0)=8,1,0)</formula>
    </cfRule>
    <cfRule type="expression" dxfId="1365" priority="1602">
      <formula>IF(VLOOKUP($F23,PROFA,2,0)=9,1,0)</formula>
    </cfRule>
  </conditionalFormatting>
  <conditionalFormatting sqref="F25">
    <cfRule type="expression" dxfId="1364" priority="1585">
      <formula>IF(VLOOKUP($F25,PROFA,2,0)=1,1,0)</formula>
    </cfRule>
    <cfRule type="expression" dxfId="1363" priority="1586">
      <formula>IF(VLOOKUP($F25,PROFA,2,0)=2,1,0)</formula>
    </cfRule>
    <cfRule type="expression" dxfId="1362" priority="1587">
      <formula>IF(VLOOKUP($F25,PROFA,2,0)=3,1,0)</formula>
    </cfRule>
    <cfRule type="expression" dxfId="1361" priority="1588">
      <formula>IF(VLOOKUP($F25,PROFA,2,0)=4,1,0)</formula>
    </cfRule>
    <cfRule type="expression" dxfId="1360" priority="1589">
      <formula>IF(VLOOKUP($F25,PROFA,2,0)=5,1,0)</formula>
    </cfRule>
    <cfRule type="expression" dxfId="1359" priority="1590">
      <formula>IF(VLOOKUP($F25,PROFA,2,0)=6,1,0)</formula>
    </cfRule>
    <cfRule type="expression" dxfId="1358" priority="1591">
      <formula>IF(VLOOKUP($F25,PROFA,2,0)=7,1,0)</formula>
    </cfRule>
    <cfRule type="expression" dxfId="1357" priority="1592">
      <formula>IF(VLOOKUP($F25,PROFA,2,0)=8,1,0)</formula>
    </cfRule>
    <cfRule type="expression" dxfId="1356" priority="1593">
      <formula>IF(VLOOKUP($F25,PROFA,2,0)=9,1,0)</formula>
    </cfRule>
  </conditionalFormatting>
  <conditionalFormatting sqref="F26">
    <cfRule type="expression" dxfId="1355" priority="1576">
      <formula>IF(VLOOKUP($F26,PROFA,2,0)=1,1,0)</formula>
    </cfRule>
    <cfRule type="expression" dxfId="1354" priority="1577">
      <formula>IF(VLOOKUP($F26,PROFA,2,0)=2,1,0)</formula>
    </cfRule>
    <cfRule type="expression" dxfId="1353" priority="1578">
      <formula>IF(VLOOKUP($F26,PROFA,2,0)=3,1,0)</formula>
    </cfRule>
    <cfRule type="expression" dxfId="1352" priority="1579">
      <formula>IF(VLOOKUP($F26,PROFA,2,0)=4,1,0)</formula>
    </cfRule>
    <cfRule type="expression" dxfId="1351" priority="1580">
      <formula>IF(VLOOKUP($F26,PROFA,2,0)=5,1,0)</formula>
    </cfRule>
    <cfRule type="expression" dxfId="1350" priority="1581">
      <formula>IF(VLOOKUP($F26,PROFA,2,0)=6,1,0)</formula>
    </cfRule>
    <cfRule type="expression" dxfId="1349" priority="1582">
      <formula>IF(VLOOKUP($F26,PROFA,2,0)=7,1,0)</formula>
    </cfRule>
    <cfRule type="expression" dxfId="1348" priority="1583">
      <formula>IF(VLOOKUP($F26,PROFA,2,0)=8,1,0)</formula>
    </cfRule>
    <cfRule type="expression" dxfId="1347" priority="1584">
      <formula>IF(VLOOKUP($F26,PROFA,2,0)=9,1,0)</formula>
    </cfRule>
  </conditionalFormatting>
  <conditionalFormatting sqref="F65">
    <cfRule type="expression" dxfId="1346" priority="1567">
      <formula>IF(VLOOKUP($F65,PROFA,2,0)=1,1,0)</formula>
    </cfRule>
    <cfRule type="expression" dxfId="1345" priority="1568">
      <formula>IF(VLOOKUP($F65,PROFA,2,0)=2,1,0)</formula>
    </cfRule>
    <cfRule type="expression" dxfId="1344" priority="1569">
      <formula>IF(VLOOKUP($F65,PROFA,2,0)=3,1,0)</formula>
    </cfRule>
    <cfRule type="expression" dxfId="1343" priority="1570">
      <formula>IF(VLOOKUP($F65,PROFA,2,0)=4,1,0)</formula>
    </cfRule>
    <cfRule type="expression" dxfId="1342" priority="1571">
      <formula>IF(VLOOKUP($F65,PROFA,2,0)=5,1,0)</formula>
    </cfRule>
    <cfRule type="expression" dxfId="1341" priority="1572">
      <formula>IF(VLOOKUP($F65,PROFA,2,0)=6,1,0)</formula>
    </cfRule>
    <cfRule type="expression" dxfId="1340" priority="1573">
      <formula>IF(VLOOKUP($F65,PROFA,2,0)=7,1,0)</formula>
    </cfRule>
    <cfRule type="expression" dxfId="1339" priority="1574">
      <formula>IF(VLOOKUP($F65,PROFA,2,0)=8,1,0)</formula>
    </cfRule>
    <cfRule type="expression" dxfId="1338" priority="1575">
      <formula>IF(VLOOKUP($F65,PROFA,2,0)=9,1,0)</formula>
    </cfRule>
  </conditionalFormatting>
  <conditionalFormatting sqref="F117">
    <cfRule type="expression" dxfId="1337" priority="1540">
      <formula>IF(VLOOKUP($F117,PROFA,2,0)=1,1,0)</formula>
    </cfRule>
    <cfRule type="expression" dxfId="1336" priority="1541">
      <formula>IF(VLOOKUP($F117,PROFA,2,0)=2,1,0)</formula>
    </cfRule>
    <cfRule type="expression" dxfId="1335" priority="1542">
      <formula>IF(VLOOKUP($F117,PROFA,2,0)=3,1,0)</formula>
    </cfRule>
    <cfRule type="expression" dxfId="1334" priority="1543">
      <formula>IF(VLOOKUP($F117,PROFA,2,0)=4,1,0)</formula>
    </cfRule>
    <cfRule type="expression" dxfId="1333" priority="1544">
      <formula>IF(VLOOKUP($F117,PROFA,2,0)=5,1,0)</formula>
    </cfRule>
    <cfRule type="expression" dxfId="1332" priority="1545">
      <formula>IF(VLOOKUP($F117,PROFA,2,0)=6,1,0)</formula>
    </cfRule>
    <cfRule type="expression" dxfId="1331" priority="1546">
      <formula>IF(VLOOKUP($F117,PROFA,2,0)=7,1,0)</formula>
    </cfRule>
    <cfRule type="expression" dxfId="1330" priority="1547">
      <formula>IF(VLOOKUP($F117,PROFA,2,0)=8,1,0)</formula>
    </cfRule>
    <cfRule type="expression" dxfId="1329" priority="1548">
      <formula>IF(VLOOKUP($F117,PROFA,2,0)=9,1,0)</formula>
    </cfRule>
  </conditionalFormatting>
  <conditionalFormatting sqref="F37">
    <cfRule type="expression" dxfId="1328" priority="1531">
      <formula>IF(VLOOKUP($F37,PROFA,2,0)=1,1,0)</formula>
    </cfRule>
    <cfRule type="expression" dxfId="1327" priority="1532">
      <formula>IF(VLOOKUP($F37,PROFA,2,0)=2,1,0)</formula>
    </cfRule>
    <cfRule type="expression" dxfId="1326" priority="1533">
      <formula>IF(VLOOKUP($F37,PROFA,2,0)=3,1,0)</formula>
    </cfRule>
    <cfRule type="expression" dxfId="1325" priority="1534">
      <formula>IF(VLOOKUP($F37,PROFA,2,0)=4,1,0)</formula>
    </cfRule>
    <cfRule type="expression" dxfId="1324" priority="1535">
      <formula>IF(VLOOKUP($F37,PROFA,2,0)=5,1,0)</formula>
    </cfRule>
    <cfRule type="expression" dxfId="1323" priority="1536">
      <formula>IF(VLOOKUP($F37,PROFA,2,0)=6,1,0)</formula>
    </cfRule>
    <cfRule type="expression" dxfId="1322" priority="1537">
      <formula>IF(VLOOKUP($F37,PROFA,2,0)=7,1,0)</formula>
    </cfRule>
    <cfRule type="expression" dxfId="1321" priority="1538">
      <formula>IF(VLOOKUP($F37,PROFA,2,0)=8,1,0)</formula>
    </cfRule>
    <cfRule type="expression" dxfId="1320" priority="1539">
      <formula>IF(VLOOKUP($F37,PROFA,2,0)=9,1,0)</formula>
    </cfRule>
  </conditionalFormatting>
  <conditionalFormatting sqref="F31">
    <cfRule type="expression" dxfId="1319" priority="1522">
      <formula>IF(VLOOKUP($F31,PROFA,2,0)=1,1,0)</formula>
    </cfRule>
    <cfRule type="expression" dxfId="1318" priority="1523">
      <formula>IF(VLOOKUP($F31,PROFA,2,0)=2,1,0)</formula>
    </cfRule>
    <cfRule type="expression" dxfId="1317" priority="1524">
      <formula>IF(VLOOKUP($F31,PROFA,2,0)=3,1,0)</formula>
    </cfRule>
    <cfRule type="expression" dxfId="1316" priority="1525">
      <formula>IF(VLOOKUP($F31,PROFA,2,0)=4,1,0)</formula>
    </cfRule>
    <cfRule type="expression" dxfId="1315" priority="1526">
      <formula>IF(VLOOKUP($F31,PROFA,2,0)=5,1,0)</formula>
    </cfRule>
    <cfRule type="expression" dxfId="1314" priority="1527">
      <formula>IF(VLOOKUP($F31,PROFA,2,0)=6,1,0)</formula>
    </cfRule>
    <cfRule type="expression" dxfId="1313" priority="1528">
      <formula>IF(VLOOKUP($F31,PROFA,2,0)=7,1,0)</formula>
    </cfRule>
    <cfRule type="expression" dxfId="1312" priority="1529">
      <formula>IF(VLOOKUP($F31,PROFA,2,0)=8,1,0)</formula>
    </cfRule>
    <cfRule type="expression" dxfId="1311" priority="1530">
      <formula>IF(VLOOKUP($F31,PROFA,2,0)=9,1,0)</formula>
    </cfRule>
  </conditionalFormatting>
  <conditionalFormatting sqref="F33">
    <cfRule type="expression" dxfId="1310" priority="1513">
      <formula>IF(VLOOKUP($F33,PROFA,2,0)=1,1,0)</formula>
    </cfRule>
    <cfRule type="expression" dxfId="1309" priority="1514">
      <formula>IF(VLOOKUP($F33,PROFA,2,0)=2,1,0)</formula>
    </cfRule>
    <cfRule type="expression" dxfId="1308" priority="1515">
      <formula>IF(VLOOKUP($F33,PROFA,2,0)=3,1,0)</formula>
    </cfRule>
    <cfRule type="expression" dxfId="1307" priority="1516">
      <formula>IF(VLOOKUP($F33,PROFA,2,0)=4,1,0)</formula>
    </cfRule>
    <cfRule type="expression" dxfId="1306" priority="1517">
      <formula>IF(VLOOKUP($F33,PROFA,2,0)=5,1,0)</formula>
    </cfRule>
    <cfRule type="expression" dxfId="1305" priority="1518">
      <formula>IF(VLOOKUP($F33,PROFA,2,0)=6,1,0)</formula>
    </cfRule>
    <cfRule type="expression" dxfId="1304" priority="1519">
      <formula>IF(VLOOKUP($F33,PROFA,2,0)=7,1,0)</formula>
    </cfRule>
    <cfRule type="expression" dxfId="1303" priority="1520">
      <formula>IF(VLOOKUP($F33,PROFA,2,0)=8,1,0)</formula>
    </cfRule>
    <cfRule type="expression" dxfId="1302" priority="1521">
      <formula>IF(VLOOKUP($F33,PROFA,2,0)=9,1,0)</formula>
    </cfRule>
  </conditionalFormatting>
  <conditionalFormatting sqref="F40">
    <cfRule type="expression" dxfId="1301" priority="1504">
      <formula>IF(VLOOKUP($F40,PROFA,2,0)=1,1,0)</formula>
    </cfRule>
    <cfRule type="expression" dxfId="1300" priority="1505">
      <formula>IF(VLOOKUP($F40,PROFA,2,0)=2,1,0)</formula>
    </cfRule>
    <cfRule type="expression" dxfId="1299" priority="1506">
      <formula>IF(VLOOKUP($F40,PROFA,2,0)=3,1,0)</formula>
    </cfRule>
    <cfRule type="expression" dxfId="1298" priority="1507">
      <formula>IF(VLOOKUP($F40,PROFA,2,0)=4,1,0)</formula>
    </cfRule>
    <cfRule type="expression" dxfId="1297" priority="1508">
      <formula>IF(VLOOKUP($F40,PROFA,2,0)=5,1,0)</formula>
    </cfRule>
    <cfRule type="expression" dxfId="1296" priority="1509">
      <formula>IF(VLOOKUP($F40,PROFA,2,0)=6,1,0)</formula>
    </cfRule>
    <cfRule type="expression" dxfId="1295" priority="1510">
      <formula>IF(VLOOKUP($F40,PROFA,2,0)=7,1,0)</formula>
    </cfRule>
    <cfRule type="expression" dxfId="1294" priority="1511">
      <formula>IF(VLOOKUP($F40,PROFA,2,0)=8,1,0)</formula>
    </cfRule>
    <cfRule type="expression" dxfId="1293" priority="1512">
      <formula>IF(VLOOKUP($F40,PROFA,2,0)=9,1,0)</formula>
    </cfRule>
  </conditionalFormatting>
  <conditionalFormatting sqref="F44">
    <cfRule type="expression" dxfId="1292" priority="1495">
      <formula>IF(VLOOKUP($F44,PROFA,2,0)=1,1,0)</formula>
    </cfRule>
    <cfRule type="expression" dxfId="1291" priority="1496">
      <formula>IF(VLOOKUP($F44,PROFA,2,0)=2,1,0)</formula>
    </cfRule>
    <cfRule type="expression" dxfId="1290" priority="1497">
      <formula>IF(VLOOKUP($F44,PROFA,2,0)=3,1,0)</formula>
    </cfRule>
    <cfRule type="expression" dxfId="1289" priority="1498">
      <formula>IF(VLOOKUP($F44,PROFA,2,0)=4,1,0)</formula>
    </cfRule>
    <cfRule type="expression" dxfId="1288" priority="1499">
      <formula>IF(VLOOKUP($F44,PROFA,2,0)=5,1,0)</formula>
    </cfRule>
    <cfRule type="expression" dxfId="1287" priority="1500">
      <formula>IF(VLOOKUP($F44,PROFA,2,0)=6,1,0)</formula>
    </cfRule>
    <cfRule type="expression" dxfId="1286" priority="1501">
      <formula>IF(VLOOKUP($F44,PROFA,2,0)=7,1,0)</formula>
    </cfRule>
    <cfRule type="expression" dxfId="1285" priority="1502">
      <formula>IF(VLOOKUP($F44,PROFA,2,0)=8,1,0)</formula>
    </cfRule>
    <cfRule type="expression" dxfId="1284" priority="1503">
      <formula>IF(VLOOKUP($F44,PROFA,2,0)=9,1,0)</formula>
    </cfRule>
  </conditionalFormatting>
  <conditionalFormatting sqref="F45">
    <cfRule type="expression" dxfId="1283" priority="1486">
      <formula>IF(VLOOKUP($F45,PROFA,2,0)=1,1,0)</formula>
    </cfRule>
    <cfRule type="expression" dxfId="1282" priority="1487">
      <formula>IF(VLOOKUP($F45,PROFA,2,0)=2,1,0)</formula>
    </cfRule>
    <cfRule type="expression" dxfId="1281" priority="1488">
      <formula>IF(VLOOKUP($F45,PROFA,2,0)=3,1,0)</formula>
    </cfRule>
    <cfRule type="expression" dxfId="1280" priority="1489">
      <formula>IF(VLOOKUP($F45,PROFA,2,0)=4,1,0)</formula>
    </cfRule>
    <cfRule type="expression" dxfId="1279" priority="1490">
      <formula>IF(VLOOKUP($F45,PROFA,2,0)=5,1,0)</formula>
    </cfRule>
    <cfRule type="expression" dxfId="1278" priority="1491">
      <formula>IF(VLOOKUP($F45,PROFA,2,0)=6,1,0)</formula>
    </cfRule>
    <cfRule type="expression" dxfId="1277" priority="1492">
      <formula>IF(VLOOKUP($F45,PROFA,2,0)=7,1,0)</formula>
    </cfRule>
    <cfRule type="expression" dxfId="1276" priority="1493">
      <formula>IF(VLOOKUP($F45,PROFA,2,0)=8,1,0)</formula>
    </cfRule>
    <cfRule type="expression" dxfId="1275" priority="1494">
      <formula>IF(VLOOKUP($F45,PROFA,2,0)=9,1,0)</formula>
    </cfRule>
  </conditionalFormatting>
  <conditionalFormatting sqref="F54">
    <cfRule type="expression" dxfId="1274" priority="1477">
      <formula>IF(VLOOKUP($F54,PROFA,2,0)=1,1,0)</formula>
    </cfRule>
    <cfRule type="expression" dxfId="1273" priority="1478">
      <formula>IF(VLOOKUP($F54,PROFA,2,0)=2,1,0)</formula>
    </cfRule>
    <cfRule type="expression" dxfId="1272" priority="1479">
      <formula>IF(VLOOKUP($F54,PROFA,2,0)=3,1,0)</formula>
    </cfRule>
    <cfRule type="expression" dxfId="1271" priority="1480">
      <formula>IF(VLOOKUP($F54,PROFA,2,0)=4,1,0)</formula>
    </cfRule>
    <cfRule type="expression" dxfId="1270" priority="1481">
      <formula>IF(VLOOKUP($F54,PROFA,2,0)=5,1,0)</formula>
    </cfRule>
    <cfRule type="expression" dxfId="1269" priority="1482">
      <formula>IF(VLOOKUP($F54,PROFA,2,0)=6,1,0)</formula>
    </cfRule>
    <cfRule type="expression" dxfId="1268" priority="1483">
      <formula>IF(VLOOKUP($F54,PROFA,2,0)=7,1,0)</formula>
    </cfRule>
    <cfRule type="expression" dxfId="1267" priority="1484">
      <formula>IF(VLOOKUP($F54,PROFA,2,0)=8,1,0)</formula>
    </cfRule>
    <cfRule type="expression" dxfId="1266" priority="1485">
      <formula>IF(VLOOKUP($F54,PROFA,2,0)=9,1,0)</formula>
    </cfRule>
  </conditionalFormatting>
  <conditionalFormatting sqref="F56">
    <cfRule type="expression" dxfId="1265" priority="1468">
      <formula>IF(VLOOKUP($F56,PROFA,2,0)=1,1,0)</formula>
    </cfRule>
    <cfRule type="expression" dxfId="1264" priority="1469">
      <formula>IF(VLOOKUP($F56,PROFA,2,0)=2,1,0)</formula>
    </cfRule>
    <cfRule type="expression" dxfId="1263" priority="1470">
      <formula>IF(VLOOKUP($F56,PROFA,2,0)=3,1,0)</formula>
    </cfRule>
    <cfRule type="expression" dxfId="1262" priority="1471">
      <formula>IF(VLOOKUP($F56,PROFA,2,0)=4,1,0)</formula>
    </cfRule>
    <cfRule type="expression" dxfId="1261" priority="1472">
      <formula>IF(VLOOKUP($F56,PROFA,2,0)=5,1,0)</formula>
    </cfRule>
    <cfRule type="expression" dxfId="1260" priority="1473">
      <formula>IF(VLOOKUP($F56,PROFA,2,0)=6,1,0)</formula>
    </cfRule>
    <cfRule type="expression" dxfId="1259" priority="1474">
      <formula>IF(VLOOKUP($F56,PROFA,2,0)=7,1,0)</formula>
    </cfRule>
    <cfRule type="expression" dxfId="1258" priority="1475">
      <formula>IF(VLOOKUP($F56,PROFA,2,0)=8,1,0)</formula>
    </cfRule>
    <cfRule type="expression" dxfId="1257" priority="1476">
      <formula>IF(VLOOKUP($F56,PROFA,2,0)=9,1,0)</formula>
    </cfRule>
  </conditionalFormatting>
  <conditionalFormatting sqref="F57">
    <cfRule type="expression" dxfId="1256" priority="1459">
      <formula>IF(VLOOKUP($F57,PROFA,2,0)=1,1,0)</formula>
    </cfRule>
    <cfRule type="expression" dxfId="1255" priority="1460">
      <formula>IF(VLOOKUP($F57,PROFA,2,0)=2,1,0)</formula>
    </cfRule>
    <cfRule type="expression" dxfId="1254" priority="1461">
      <formula>IF(VLOOKUP($F57,PROFA,2,0)=3,1,0)</formula>
    </cfRule>
    <cfRule type="expression" dxfId="1253" priority="1462">
      <formula>IF(VLOOKUP($F57,PROFA,2,0)=4,1,0)</formula>
    </cfRule>
    <cfRule type="expression" dxfId="1252" priority="1463">
      <formula>IF(VLOOKUP($F57,PROFA,2,0)=5,1,0)</formula>
    </cfRule>
    <cfRule type="expression" dxfId="1251" priority="1464">
      <formula>IF(VLOOKUP($F57,PROFA,2,0)=6,1,0)</formula>
    </cfRule>
    <cfRule type="expression" dxfId="1250" priority="1465">
      <formula>IF(VLOOKUP($F57,PROFA,2,0)=7,1,0)</formula>
    </cfRule>
    <cfRule type="expression" dxfId="1249" priority="1466">
      <formula>IF(VLOOKUP($F57,PROFA,2,0)=8,1,0)</formula>
    </cfRule>
    <cfRule type="expression" dxfId="1248" priority="1467">
      <formula>IF(VLOOKUP($F57,PROFA,2,0)=9,1,0)</formula>
    </cfRule>
  </conditionalFormatting>
  <conditionalFormatting sqref="F59">
    <cfRule type="expression" dxfId="1247" priority="1450">
      <formula>IF(VLOOKUP($F59,PROFA,2,0)=1,1,0)</formula>
    </cfRule>
    <cfRule type="expression" dxfId="1246" priority="1451">
      <formula>IF(VLOOKUP($F59,PROFA,2,0)=2,1,0)</formula>
    </cfRule>
    <cfRule type="expression" dxfId="1245" priority="1452">
      <formula>IF(VLOOKUP($F59,PROFA,2,0)=3,1,0)</formula>
    </cfRule>
    <cfRule type="expression" dxfId="1244" priority="1453">
      <formula>IF(VLOOKUP($F59,PROFA,2,0)=4,1,0)</formula>
    </cfRule>
    <cfRule type="expression" dxfId="1243" priority="1454">
      <formula>IF(VLOOKUP($F59,PROFA,2,0)=5,1,0)</formula>
    </cfRule>
    <cfRule type="expression" dxfId="1242" priority="1455">
      <formula>IF(VLOOKUP($F59,PROFA,2,0)=6,1,0)</formula>
    </cfRule>
    <cfRule type="expression" dxfId="1241" priority="1456">
      <formula>IF(VLOOKUP($F59,PROFA,2,0)=7,1,0)</formula>
    </cfRule>
    <cfRule type="expression" dxfId="1240" priority="1457">
      <formula>IF(VLOOKUP($F59,PROFA,2,0)=8,1,0)</formula>
    </cfRule>
    <cfRule type="expression" dxfId="1239" priority="1458">
      <formula>IF(VLOOKUP($F59,PROFA,2,0)=9,1,0)</formula>
    </cfRule>
  </conditionalFormatting>
  <conditionalFormatting sqref="F60">
    <cfRule type="expression" dxfId="1238" priority="1441">
      <formula>IF(VLOOKUP($F60,PROFA,2,0)=1,1,0)</formula>
    </cfRule>
    <cfRule type="expression" dxfId="1237" priority="1442">
      <formula>IF(VLOOKUP($F60,PROFA,2,0)=2,1,0)</formula>
    </cfRule>
    <cfRule type="expression" dxfId="1236" priority="1443">
      <formula>IF(VLOOKUP($F60,PROFA,2,0)=3,1,0)</formula>
    </cfRule>
    <cfRule type="expression" dxfId="1235" priority="1444">
      <formula>IF(VLOOKUP($F60,PROFA,2,0)=4,1,0)</formula>
    </cfRule>
    <cfRule type="expression" dxfId="1234" priority="1445">
      <formula>IF(VLOOKUP($F60,PROFA,2,0)=5,1,0)</formula>
    </cfRule>
    <cfRule type="expression" dxfId="1233" priority="1446">
      <formula>IF(VLOOKUP($F60,PROFA,2,0)=6,1,0)</formula>
    </cfRule>
    <cfRule type="expression" dxfId="1232" priority="1447">
      <formula>IF(VLOOKUP($F60,PROFA,2,0)=7,1,0)</formula>
    </cfRule>
    <cfRule type="expression" dxfId="1231" priority="1448">
      <formula>IF(VLOOKUP($F60,PROFA,2,0)=8,1,0)</formula>
    </cfRule>
    <cfRule type="expression" dxfId="1230" priority="1449">
      <formula>IF(VLOOKUP($F60,PROFA,2,0)=9,1,0)</formula>
    </cfRule>
  </conditionalFormatting>
  <conditionalFormatting sqref="F61">
    <cfRule type="expression" dxfId="1229" priority="1432">
      <formula>IF(VLOOKUP($F61,PROFA,2,0)=1,1,0)</formula>
    </cfRule>
    <cfRule type="expression" dxfId="1228" priority="1433">
      <formula>IF(VLOOKUP($F61,PROFA,2,0)=2,1,0)</formula>
    </cfRule>
    <cfRule type="expression" dxfId="1227" priority="1434">
      <formula>IF(VLOOKUP($F61,PROFA,2,0)=3,1,0)</formula>
    </cfRule>
    <cfRule type="expression" dxfId="1226" priority="1435">
      <formula>IF(VLOOKUP($F61,PROFA,2,0)=4,1,0)</formula>
    </cfRule>
    <cfRule type="expression" dxfId="1225" priority="1436">
      <formula>IF(VLOOKUP($F61,PROFA,2,0)=5,1,0)</formula>
    </cfRule>
    <cfRule type="expression" dxfId="1224" priority="1437">
      <formula>IF(VLOOKUP($F61,PROFA,2,0)=6,1,0)</formula>
    </cfRule>
    <cfRule type="expression" dxfId="1223" priority="1438">
      <formula>IF(VLOOKUP($F61,PROFA,2,0)=7,1,0)</formula>
    </cfRule>
    <cfRule type="expression" dxfId="1222" priority="1439">
      <formula>IF(VLOOKUP($F61,PROFA,2,0)=8,1,0)</formula>
    </cfRule>
    <cfRule type="expression" dxfId="1221" priority="1440">
      <formula>IF(VLOOKUP($F61,PROFA,2,0)=9,1,0)</formula>
    </cfRule>
  </conditionalFormatting>
  <conditionalFormatting sqref="F67">
    <cfRule type="expression" dxfId="1220" priority="1423">
      <formula>IF(VLOOKUP($F67,PROFA,2,0)=1,1,0)</formula>
    </cfRule>
    <cfRule type="expression" dxfId="1219" priority="1424">
      <formula>IF(VLOOKUP($F67,PROFA,2,0)=2,1,0)</formula>
    </cfRule>
    <cfRule type="expression" dxfId="1218" priority="1425">
      <formula>IF(VLOOKUP($F67,PROFA,2,0)=3,1,0)</formula>
    </cfRule>
    <cfRule type="expression" dxfId="1217" priority="1426">
      <formula>IF(VLOOKUP($F67,PROFA,2,0)=4,1,0)</formula>
    </cfRule>
    <cfRule type="expression" dxfId="1216" priority="1427">
      <formula>IF(VLOOKUP($F67,PROFA,2,0)=5,1,0)</formula>
    </cfRule>
    <cfRule type="expression" dxfId="1215" priority="1428">
      <formula>IF(VLOOKUP($F67,PROFA,2,0)=6,1,0)</formula>
    </cfRule>
    <cfRule type="expression" dxfId="1214" priority="1429">
      <formula>IF(VLOOKUP($F67,PROFA,2,0)=7,1,0)</formula>
    </cfRule>
    <cfRule type="expression" dxfId="1213" priority="1430">
      <formula>IF(VLOOKUP($F67,PROFA,2,0)=8,1,0)</formula>
    </cfRule>
    <cfRule type="expression" dxfId="1212" priority="1431">
      <formula>IF(VLOOKUP($F67,PROFA,2,0)=9,1,0)</formula>
    </cfRule>
  </conditionalFormatting>
  <conditionalFormatting sqref="F68">
    <cfRule type="expression" dxfId="1211" priority="1414">
      <formula>IF(VLOOKUP($F68,PROFA,2,0)=1,1,0)</formula>
    </cfRule>
    <cfRule type="expression" dxfId="1210" priority="1415">
      <formula>IF(VLOOKUP($F68,PROFA,2,0)=2,1,0)</formula>
    </cfRule>
    <cfRule type="expression" dxfId="1209" priority="1416">
      <formula>IF(VLOOKUP($F68,PROFA,2,0)=3,1,0)</formula>
    </cfRule>
    <cfRule type="expression" dxfId="1208" priority="1417">
      <formula>IF(VLOOKUP($F68,PROFA,2,0)=4,1,0)</formula>
    </cfRule>
    <cfRule type="expression" dxfId="1207" priority="1418">
      <formula>IF(VLOOKUP($F68,PROFA,2,0)=5,1,0)</formula>
    </cfRule>
    <cfRule type="expression" dxfId="1206" priority="1419">
      <formula>IF(VLOOKUP($F68,PROFA,2,0)=6,1,0)</formula>
    </cfRule>
    <cfRule type="expression" dxfId="1205" priority="1420">
      <formula>IF(VLOOKUP($F68,PROFA,2,0)=7,1,0)</formula>
    </cfRule>
    <cfRule type="expression" dxfId="1204" priority="1421">
      <formula>IF(VLOOKUP($F68,PROFA,2,0)=8,1,0)</formula>
    </cfRule>
    <cfRule type="expression" dxfId="1203" priority="1422">
      <formula>IF(VLOOKUP($F68,PROFA,2,0)=9,1,0)</formula>
    </cfRule>
  </conditionalFormatting>
  <conditionalFormatting sqref="F77">
    <cfRule type="expression" dxfId="1202" priority="1405">
      <formula>IF(VLOOKUP($F77,PROFA,2,0)=1,1,0)</formula>
    </cfRule>
    <cfRule type="expression" dxfId="1201" priority="1406">
      <formula>IF(VLOOKUP($F77,PROFA,2,0)=2,1,0)</formula>
    </cfRule>
    <cfRule type="expression" dxfId="1200" priority="1407">
      <formula>IF(VLOOKUP($F77,PROFA,2,0)=3,1,0)</formula>
    </cfRule>
    <cfRule type="expression" dxfId="1199" priority="1408">
      <formula>IF(VLOOKUP($F77,PROFA,2,0)=4,1,0)</formula>
    </cfRule>
    <cfRule type="expression" dxfId="1198" priority="1409">
      <formula>IF(VLOOKUP($F77,PROFA,2,0)=5,1,0)</formula>
    </cfRule>
    <cfRule type="expression" dxfId="1197" priority="1410">
      <formula>IF(VLOOKUP($F77,PROFA,2,0)=6,1,0)</formula>
    </cfRule>
    <cfRule type="expression" dxfId="1196" priority="1411">
      <formula>IF(VLOOKUP($F77,PROFA,2,0)=7,1,0)</formula>
    </cfRule>
    <cfRule type="expression" dxfId="1195" priority="1412">
      <formula>IF(VLOOKUP($F77,PROFA,2,0)=8,1,0)</formula>
    </cfRule>
    <cfRule type="expression" dxfId="1194" priority="1413">
      <formula>IF(VLOOKUP($F77,PROFA,2,0)=9,1,0)</formula>
    </cfRule>
  </conditionalFormatting>
  <conditionalFormatting sqref="F80">
    <cfRule type="expression" dxfId="1193" priority="1396">
      <formula>IF(VLOOKUP($F80,PROFA,2,0)=1,1,0)</formula>
    </cfRule>
    <cfRule type="expression" dxfId="1192" priority="1397">
      <formula>IF(VLOOKUP($F80,PROFA,2,0)=2,1,0)</formula>
    </cfRule>
    <cfRule type="expression" dxfId="1191" priority="1398">
      <formula>IF(VLOOKUP($F80,PROFA,2,0)=3,1,0)</formula>
    </cfRule>
    <cfRule type="expression" dxfId="1190" priority="1399">
      <formula>IF(VLOOKUP($F80,PROFA,2,0)=4,1,0)</formula>
    </cfRule>
    <cfRule type="expression" dxfId="1189" priority="1400">
      <formula>IF(VLOOKUP($F80,PROFA,2,0)=5,1,0)</formula>
    </cfRule>
    <cfRule type="expression" dxfId="1188" priority="1401">
      <formula>IF(VLOOKUP($F80,PROFA,2,0)=6,1,0)</formula>
    </cfRule>
    <cfRule type="expression" dxfId="1187" priority="1402">
      <formula>IF(VLOOKUP($F80,PROFA,2,0)=7,1,0)</formula>
    </cfRule>
    <cfRule type="expression" dxfId="1186" priority="1403">
      <formula>IF(VLOOKUP($F80,PROFA,2,0)=8,1,0)</formula>
    </cfRule>
    <cfRule type="expression" dxfId="1185" priority="1404">
      <formula>IF(VLOOKUP($F80,PROFA,2,0)=9,1,0)</formula>
    </cfRule>
  </conditionalFormatting>
  <conditionalFormatting sqref="F81">
    <cfRule type="expression" dxfId="1184" priority="1387">
      <formula>IF(VLOOKUP($F81,PROFA,2,0)=1,1,0)</formula>
    </cfRule>
    <cfRule type="expression" dxfId="1183" priority="1388">
      <formula>IF(VLOOKUP($F81,PROFA,2,0)=2,1,0)</formula>
    </cfRule>
    <cfRule type="expression" dxfId="1182" priority="1389">
      <formula>IF(VLOOKUP($F81,PROFA,2,0)=3,1,0)</formula>
    </cfRule>
    <cfRule type="expression" dxfId="1181" priority="1390">
      <formula>IF(VLOOKUP($F81,PROFA,2,0)=4,1,0)</formula>
    </cfRule>
    <cfRule type="expression" dxfId="1180" priority="1391">
      <formula>IF(VLOOKUP($F81,PROFA,2,0)=5,1,0)</formula>
    </cfRule>
    <cfRule type="expression" dxfId="1179" priority="1392">
      <formula>IF(VLOOKUP($F81,PROFA,2,0)=6,1,0)</formula>
    </cfRule>
    <cfRule type="expression" dxfId="1178" priority="1393">
      <formula>IF(VLOOKUP($F81,PROFA,2,0)=7,1,0)</formula>
    </cfRule>
    <cfRule type="expression" dxfId="1177" priority="1394">
      <formula>IF(VLOOKUP($F81,PROFA,2,0)=8,1,0)</formula>
    </cfRule>
    <cfRule type="expression" dxfId="1176" priority="1395">
      <formula>IF(VLOOKUP($F81,PROFA,2,0)=9,1,0)</formula>
    </cfRule>
  </conditionalFormatting>
  <conditionalFormatting sqref="F85">
    <cfRule type="expression" dxfId="1175" priority="1378">
      <formula>IF(VLOOKUP($F85,PROFA,2,0)=1,1,0)</formula>
    </cfRule>
    <cfRule type="expression" dxfId="1174" priority="1379">
      <formula>IF(VLOOKUP($F85,PROFA,2,0)=2,1,0)</formula>
    </cfRule>
    <cfRule type="expression" dxfId="1173" priority="1380">
      <formula>IF(VLOOKUP($F85,PROFA,2,0)=3,1,0)</formula>
    </cfRule>
    <cfRule type="expression" dxfId="1172" priority="1381">
      <formula>IF(VLOOKUP($F85,PROFA,2,0)=4,1,0)</formula>
    </cfRule>
    <cfRule type="expression" dxfId="1171" priority="1382">
      <formula>IF(VLOOKUP($F85,PROFA,2,0)=5,1,0)</formula>
    </cfRule>
    <cfRule type="expression" dxfId="1170" priority="1383">
      <formula>IF(VLOOKUP($F85,PROFA,2,0)=6,1,0)</formula>
    </cfRule>
    <cfRule type="expression" dxfId="1169" priority="1384">
      <formula>IF(VLOOKUP($F85,PROFA,2,0)=7,1,0)</formula>
    </cfRule>
    <cfRule type="expression" dxfId="1168" priority="1385">
      <formula>IF(VLOOKUP($F85,PROFA,2,0)=8,1,0)</formula>
    </cfRule>
    <cfRule type="expression" dxfId="1167" priority="1386">
      <formula>IF(VLOOKUP($F85,PROFA,2,0)=9,1,0)</formula>
    </cfRule>
  </conditionalFormatting>
  <conditionalFormatting sqref="F88">
    <cfRule type="expression" dxfId="1166" priority="1369">
      <formula>IF(VLOOKUP($F88,PROFA,2,0)=1,1,0)</formula>
    </cfRule>
    <cfRule type="expression" dxfId="1165" priority="1370">
      <formula>IF(VLOOKUP($F88,PROFA,2,0)=2,1,0)</formula>
    </cfRule>
    <cfRule type="expression" dxfId="1164" priority="1371">
      <formula>IF(VLOOKUP($F88,PROFA,2,0)=3,1,0)</formula>
    </cfRule>
    <cfRule type="expression" dxfId="1163" priority="1372">
      <formula>IF(VLOOKUP($F88,PROFA,2,0)=4,1,0)</formula>
    </cfRule>
    <cfRule type="expression" dxfId="1162" priority="1373">
      <formula>IF(VLOOKUP($F88,PROFA,2,0)=5,1,0)</formula>
    </cfRule>
    <cfRule type="expression" dxfId="1161" priority="1374">
      <formula>IF(VLOOKUP($F88,PROFA,2,0)=6,1,0)</formula>
    </cfRule>
    <cfRule type="expression" dxfId="1160" priority="1375">
      <formula>IF(VLOOKUP($F88,PROFA,2,0)=7,1,0)</formula>
    </cfRule>
    <cfRule type="expression" dxfId="1159" priority="1376">
      <formula>IF(VLOOKUP($F88,PROFA,2,0)=8,1,0)</formula>
    </cfRule>
    <cfRule type="expression" dxfId="1158" priority="1377">
      <formula>IF(VLOOKUP($F88,PROFA,2,0)=9,1,0)</formula>
    </cfRule>
  </conditionalFormatting>
  <conditionalFormatting sqref="F89">
    <cfRule type="expression" dxfId="1157" priority="1360">
      <formula>IF(VLOOKUP($F89,PROFA,2,0)=1,1,0)</formula>
    </cfRule>
    <cfRule type="expression" dxfId="1156" priority="1361">
      <formula>IF(VLOOKUP($F89,PROFA,2,0)=2,1,0)</formula>
    </cfRule>
    <cfRule type="expression" dxfId="1155" priority="1362">
      <formula>IF(VLOOKUP($F89,PROFA,2,0)=3,1,0)</formula>
    </cfRule>
    <cfRule type="expression" dxfId="1154" priority="1363">
      <formula>IF(VLOOKUP($F89,PROFA,2,0)=4,1,0)</formula>
    </cfRule>
    <cfRule type="expression" dxfId="1153" priority="1364">
      <formula>IF(VLOOKUP($F89,PROFA,2,0)=5,1,0)</formula>
    </cfRule>
    <cfRule type="expression" dxfId="1152" priority="1365">
      <formula>IF(VLOOKUP($F89,PROFA,2,0)=6,1,0)</formula>
    </cfRule>
    <cfRule type="expression" dxfId="1151" priority="1366">
      <formula>IF(VLOOKUP($F89,PROFA,2,0)=7,1,0)</formula>
    </cfRule>
    <cfRule type="expression" dxfId="1150" priority="1367">
      <formula>IF(VLOOKUP($F89,PROFA,2,0)=8,1,0)</formula>
    </cfRule>
    <cfRule type="expression" dxfId="1149" priority="1368">
      <formula>IF(VLOOKUP($F89,PROFA,2,0)=9,1,0)</formula>
    </cfRule>
  </conditionalFormatting>
  <conditionalFormatting sqref="F95">
    <cfRule type="expression" dxfId="1148" priority="1351">
      <formula>IF(VLOOKUP($F95,PROFA,2,0)=1,1,0)</formula>
    </cfRule>
    <cfRule type="expression" dxfId="1147" priority="1352">
      <formula>IF(VLOOKUP($F95,PROFA,2,0)=2,1,0)</formula>
    </cfRule>
    <cfRule type="expression" dxfId="1146" priority="1353">
      <formula>IF(VLOOKUP($F95,PROFA,2,0)=3,1,0)</formula>
    </cfRule>
    <cfRule type="expression" dxfId="1145" priority="1354">
      <formula>IF(VLOOKUP($F95,PROFA,2,0)=4,1,0)</formula>
    </cfRule>
    <cfRule type="expression" dxfId="1144" priority="1355">
      <formula>IF(VLOOKUP($F95,PROFA,2,0)=5,1,0)</formula>
    </cfRule>
    <cfRule type="expression" dxfId="1143" priority="1356">
      <formula>IF(VLOOKUP($F95,PROFA,2,0)=6,1,0)</formula>
    </cfRule>
    <cfRule type="expression" dxfId="1142" priority="1357">
      <formula>IF(VLOOKUP($F95,PROFA,2,0)=7,1,0)</formula>
    </cfRule>
    <cfRule type="expression" dxfId="1141" priority="1358">
      <formula>IF(VLOOKUP($F95,PROFA,2,0)=8,1,0)</formula>
    </cfRule>
    <cfRule type="expression" dxfId="1140" priority="1359">
      <formula>IF(VLOOKUP($F95,PROFA,2,0)=9,1,0)</formula>
    </cfRule>
  </conditionalFormatting>
  <conditionalFormatting sqref="F100">
    <cfRule type="expression" dxfId="1139" priority="1342">
      <formula>IF(VLOOKUP($F100,PROFA,2,0)=1,1,0)</formula>
    </cfRule>
    <cfRule type="expression" dxfId="1138" priority="1343">
      <formula>IF(VLOOKUP($F100,PROFA,2,0)=2,1,0)</formula>
    </cfRule>
    <cfRule type="expression" dxfId="1137" priority="1344">
      <formula>IF(VLOOKUP($F100,PROFA,2,0)=3,1,0)</formula>
    </cfRule>
    <cfRule type="expression" dxfId="1136" priority="1345">
      <formula>IF(VLOOKUP($F100,PROFA,2,0)=4,1,0)</formula>
    </cfRule>
    <cfRule type="expression" dxfId="1135" priority="1346">
      <formula>IF(VLOOKUP($F100,PROFA,2,0)=5,1,0)</formula>
    </cfRule>
    <cfRule type="expression" dxfId="1134" priority="1347">
      <formula>IF(VLOOKUP($F100,PROFA,2,0)=6,1,0)</formula>
    </cfRule>
    <cfRule type="expression" dxfId="1133" priority="1348">
      <formula>IF(VLOOKUP($F100,PROFA,2,0)=7,1,0)</formula>
    </cfRule>
    <cfRule type="expression" dxfId="1132" priority="1349">
      <formula>IF(VLOOKUP($F100,PROFA,2,0)=8,1,0)</formula>
    </cfRule>
    <cfRule type="expression" dxfId="1131" priority="1350">
      <formula>IF(VLOOKUP($F100,PROFA,2,0)=9,1,0)</formula>
    </cfRule>
  </conditionalFormatting>
  <conditionalFormatting sqref="F101">
    <cfRule type="expression" dxfId="1130" priority="1333">
      <formula>IF(VLOOKUP($F101,PROFA,2,0)=1,1,0)</formula>
    </cfRule>
    <cfRule type="expression" dxfId="1129" priority="1334">
      <formula>IF(VLOOKUP($F101,PROFA,2,0)=2,1,0)</formula>
    </cfRule>
    <cfRule type="expression" dxfId="1128" priority="1335">
      <formula>IF(VLOOKUP($F101,PROFA,2,0)=3,1,0)</formula>
    </cfRule>
    <cfRule type="expression" dxfId="1127" priority="1336">
      <formula>IF(VLOOKUP($F101,PROFA,2,0)=4,1,0)</formula>
    </cfRule>
    <cfRule type="expression" dxfId="1126" priority="1337">
      <formula>IF(VLOOKUP($F101,PROFA,2,0)=5,1,0)</formula>
    </cfRule>
    <cfRule type="expression" dxfId="1125" priority="1338">
      <formula>IF(VLOOKUP($F101,PROFA,2,0)=6,1,0)</formula>
    </cfRule>
    <cfRule type="expression" dxfId="1124" priority="1339">
      <formula>IF(VLOOKUP($F101,PROFA,2,0)=7,1,0)</formula>
    </cfRule>
    <cfRule type="expression" dxfId="1123" priority="1340">
      <formula>IF(VLOOKUP($F101,PROFA,2,0)=8,1,0)</formula>
    </cfRule>
    <cfRule type="expression" dxfId="1122" priority="1341">
      <formula>IF(VLOOKUP($F101,PROFA,2,0)=9,1,0)</formula>
    </cfRule>
  </conditionalFormatting>
  <conditionalFormatting sqref="F108">
    <cfRule type="expression" dxfId="1121" priority="1324">
      <formula>IF(VLOOKUP($F108,PROFA,2,0)=1,1,0)</formula>
    </cfRule>
    <cfRule type="expression" dxfId="1120" priority="1325">
      <formula>IF(VLOOKUP($F108,PROFA,2,0)=2,1,0)</formula>
    </cfRule>
    <cfRule type="expression" dxfId="1119" priority="1326">
      <formula>IF(VLOOKUP($F108,PROFA,2,0)=3,1,0)</formula>
    </cfRule>
    <cfRule type="expression" dxfId="1118" priority="1327">
      <formula>IF(VLOOKUP($F108,PROFA,2,0)=4,1,0)</formula>
    </cfRule>
    <cfRule type="expression" dxfId="1117" priority="1328">
      <formula>IF(VLOOKUP($F108,PROFA,2,0)=5,1,0)</formula>
    </cfRule>
    <cfRule type="expression" dxfId="1116" priority="1329">
      <formula>IF(VLOOKUP($F108,PROFA,2,0)=6,1,0)</formula>
    </cfRule>
    <cfRule type="expression" dxfId="1115" priority="1330">
      <formula>IF(VLOOKUP($F108,PROFA,2,0)=7,1,0)</formula>
    </cfRule>
    <cfRule type="expression" dxfId="1114" priority="1331">
      <formula>IF(VLOOKUP($F108,PROFA,2,0)=8,1,0)</formula>
    </cfRule>
    <cfRule type="expression" dxfId="1113" priority="1332">
      <formula>IF(VLOOKUP($F108,PROFA,2,0)=9,1,0)</formula>
    </cfRule>
  </conditionalFormatting>
  <conditionalFormatting sqref="F116">
    <cfRule type="expression" dxfId="1112" priority="1315">
      <formula>IF(VLOOKUP($F116,PROFA,2,0)=1,1,0)</formula>
    </cfRule>
    <cfRule type="expression" dxfId="1111" priority="1316">
      <formula>IF(VLOOKUP($F116,PROFA,2,0)=2,1,0)</formula>
    </cfRule>
    <cfRule type="expression" dxfId="1110" priority="1317">
      <formula>IF(VLOOKUP($F116,PROFA,2,0)=3,1,0)</formula>
    </cfRule>
    <cfRule type="expression" dxfId="1109" priority="1318">
      <formula>IF(VLOOKUP($F116,PROFA,2,0)=4,1,0)</formula>
    </cfRule>
    <cfRule type="expression" dxfId="1108" priority="1319">
      <formula>IF(VLOOKUP($F116,PROFA,2,0)=5,1,0)</formula>
    </cfRule>
    <cfRule type="expression" dxfId="1107" priority="1320">
      <formula>IF(VLOOKUP($F116,PROFA,2,0)=6,1,0)</formula>
    </cfRule>
    <cfRule type="expression" dxfId="1106" priority="1321">
      <formula>IF(VLOOKUP($F116,PROFA,2,0)=7,1,0)</formula>
    </cfRule>
    <cfRule type="expression" dxfId="1105" priority="1322">
      <formula>IF(VLOOKUP($F116,PROFA,2,0)=8,1,0)</formula>
    </cfRule>
    <cfRule type="expression" dxfId="1104" priority="1323">
      <formula>IF(VLOOKUP($F116,PROFA,2,0)=9,1,0)</formula>
    </cfRule>
  </conditionalFormatting>
  <conditionalFormatting sqref="F132">
    <cfRule type="expression" dxfId="1103" priority="1306">
      <formula>IF(VLOOKUP($F132,PROFA,2,0)=1,1,0)</formula>
    </cfRule>
    <cfRule type="expression" dxfId="1102" priority="1307">
      <formula>IF(VLOOKUP($F132,PROFA,2,0)=2,1,0)</formula>
    </cfRule>
    <cfRule type="expression" dxfId="1101" priority="1308">
      <formula>IF(VLOOKUP($F132,PROFA,2,0)=3,1,0)</formula>
    </cfRule>
    <cfRule type="expression" dxfId="1100" priority="1309">
      <formula>IF(VLOOKUP($F132,PROFA,2,0)=4,1,0)</formula>
    </cfRule>
    <cfRule type="expression" dxfId="1099" priority="1310">
      <formula>IF(VLOOKUP($F132,PROFA,2,0)=5,1,0)</formula>
    </cfRule>
    <cfRule type="expression" dxfId="1098" priority="1311">
      <formula>IF(VLOOKUP($F132,PROFA,2,0)=6,1,0)</formula>
    </cfRule>
    <cfRule type="expression" dxfId="1097" priority="1312">
      <formula>IF(VLOOKUP($F132,PROFA,2,0)=7,1,0)</formula>
    </cfRule>
    <cfRule type="expression" dxfId="1096" priority="1313">
      <formula>IF(VLOOKUP($F132,PROFA,2,0)=8,1,0)</formula>
    </cfRule>
    <cfRule type="expression" dxfId="1095" priority="1314">
      <formula>IF(VLOOKUP($F132,PROFA,2,0)=9,1,0)</formula>
    </cfRule>
  </conditionalFormatting>
  <conditionalFormatting sqref="F133">
    <cfRule type="expression" dxfId="1094" priority="1297">
      <formula>IF(VLOOKUP($F133,PROFA,2,0)=1,1,0)</formula>
    </cfRule>
    <cfRule type="expression" dxfId="1093" priority="1298">
      <formula>IF(VLOOKUP($F133,PROFA,2,0)=2,1,0)</formula>
    </cfRule>
    <cfRule type="expression" dxfId="1092" priority="1299">
      <formula>IF(VLOOKUP($F133,PROFA,2,0)=3,1,0)</formula>
    </cfRule>
    <cfRule type="expression" dxfId="1091" priority="1300">
      <formula>IF(VLOOKUP($F133,PROFA,2,0)=4,1,0)</formula>
    </cfRule>
    <cfRule type="expression" dxfId="1090" priority="1301">
      <formula>IF(VLOOKUP($F133,PROFA,2,0)=5,1,0)</formula>
    </cfRule>
    <cfRule type="expression" dxfId="1089" priority="1302">
      <formula>IF(VLOOKUP($F133,PROFA,2,0)=6,1,0)</formula>
    </cfRule>
    <cfRule type="expression" dxfId="1088" priority="1303">
      <formula>IF(VLOOKUP($F133,PROFA,2,0)=7,1,0)</formula>
    </cfRule>
    <cfRule type="expression" dxfId="1087" priority="1304">
      <formula>IF(VLOOKUP($F133,PROFA,2,0)=8,1,0)</formula>
    </cfRule>
    <cfRule type="expression" dxfId="1086" priority="1305">
      <formula>IF(VLOOKUP($F133,PROFA,2,0)=9,1,0)</formula>
    </cfRule>
  </conditionalFormatting>
  <conditionalFormatting sqref="F135">
    <cfRule type="expression" dxfId="1085" priority="1288">
      <formula>IF(VLOOKUP($F135,PROFA,2,0)=1,1,0)</formula>
    </cfRule>
    <cfRule type="expression" dxfId="1084" priority="1289">
      <formula>IF(VLOOKUP($F135,PROFA,2,0)=2,1,0)</formula>
    </cfRule>
    <cfRule type="expression" dxfId="1083" priority="1290">
      <formula>IF(VLOOKUP($F135,PROFA,2,0)=3,1,0)</formula>
    </cfRule>
    <cfRule type="expression" dxfId="1082" priority="1291">
      <formula>IF(VLOOKUP($F135,PROFA,2,0)=4,1,0)</formula>
    </cfRule>
    <cfRule type="expression" dxfId="1081" priority="1292">
      <formula>IF(VLOOKUP($F135,PROFA,2,0)=5,1,0)</formula>
    </cfRule>
    <cfRule type="expression" dxfId="1080" priority="1293">
      <formula>IF(VLOOKUP($F135,PROFA,2,0)=6,1,0)</formula>
    </cfRule>
    <cfRule type="expression" dxfId="1079" priority="1294">
      <formula>IF(VLOOKUP($F135,PROFA,2,0)=7,1,0)</formula>
    </cfRule>
    <cfRule type="expression" dxfId="1078" priority="1295">
      <formula>IF(VLOOKUP($F135,PROFA,2,0)=8,1,0)</formula>
    </cfRule>
    <cfRule type="expression" dxfId="1077" priority="1296">
      <formula>IF(VLOOKUP($F135,PROFA,2,0)=9,1,0)</formula>
    </cfRule>
  </conditionalFormatting>
  <conditionalFormatting sqref="F139">
    <cfRule type="expression" dxfId="1076" priority="1279">
      <formula>IF(VLOOKUP($F139,PROFA,2,0)=1,1,0)</formula>
    </cfRule>
    <cfRule type="expression" dxfId="1075" priority="1280">
      <formula>IF(VLOOKUP($F139,PROFA,2,0)=2,1,0)</formula>
    </cfRule>
    <cfRule type="expression" dxfId="1074" priority="1281">
      <formula>IF(VLOOKUP($F139,PROFA,2,0)=3,1,0)</formula>
    </cfRule>
    <cfRule type="expression" dxfId="1073" priority="1282">
      <formula>IF(VLOOKUP($F139,PROFA,2,0)=4,1,0)</formula>
    </cfRule>
    <cfRule type="expression" dxfId="1072" priority="1283">
      <formula>IF(VLOOKUP($F139,PROFA,2,0)=5,1,0)</formula>
    </cfRule>
    <cfRule type="expression" dxfId="1071" priority="1284">
      <formula>IF(VLOOKUP($F139,PROFA,2,0)=6,1,0)</formula>
    </cfRule>
    <cfRule type="expression" dxfId="1070" priority="1285">
      <formula>IF(VLOOKUP($F139,PROFA,2,0)=7,1,0)</formula>
    </cfRule>
    <cfRule type="expression" dxfId="1069" priority="1286">
      <formula>IF(VLOOKUP($F139,PROFA,2,0)=8,1,0)</formula>
    </cfRule>
    <cfRule type="expression" dxfId="1068" priority="1287">
      <formula>IF(VLOOKUP($F139,PROFA,2,0)=9,1,0)</formula>
    </cfRule>
  </conditionalFormatting>
  <conditionalFormatting sqref="F142">
    <cfRule type="expression" dxfId="1067" priority="1270">
      <formula>IF(VLOOKUP($F142,PROFA,2,0)=1,1,0)</formula>
    </cfRule>
    <cfRule type="expression" dxfId="1066" priority="1271">
      <formula>IF(VLOOKUP($F142,PROFA,2,0)=2,1,0)</formula>
    </cfRule>
    <cfRule type="expression" dxfId="1065" priority="1272">
      <formula>IF(VLOOKUP($F142,PROFA,2,0)=3,1,0)</formula>
    </cfRule>
    <cfRule type="expression" dxfId="1064" priority="1273">
      <formula>IF(VLOOKUP($F142,PROFA,2,0)=4,1,0)</formula>
    </cfRule>
    <cfRule type="expression" dxfId="1063" priority="1274">
      <formula>IF(VLOOKUP($F142,PROFA,2,0)=5,1,0)</formula>
    </cfRule>
    <cfRule type="expression" dxfId="1062" priority="1275">
      <formula>IF(VLOOKUP($F142,PROFA,2,0)=6,1,0)</formula>
    </cfRule>
    <cfRule type="expression" dxfId="1061" priority="1276">
      <formula>IF(VLOOKUP($F142,PROFA,2,0)=7,1,0)</formula>
    </cfRule>
    <cfRule type="expression" dxfId="1060" priority="1277">
      <formula>IF(VLOOKUP($F142,PROFA,2,0)=8,1,0)</formula>
    </cfRule>
    <cfRule type="expression" dxfId="1059" priority="1278">
      <formula>IF(VLOOKUP($F142,PROFA,2,0)=9,1,0)</formula>
    </cfRule>
  </conditionalFormatting>
  <conditionalFormatting sqref="F150">
    <cfRule type="expression" dxfId="1058" priority="1252">
      <formula>IF(VLOOKUP($F150,PROFA,2,0)=1,1,0)</formula>
    </cfRule>
    <cfRule type="expression" dxfId="1057" priority="1253">
      <formula>IF(VLOOKUP($F150,PROFA,2,0)=2,1,0)</formula>
    </cfRule>
    <cfRule type="expression" dxfId="1056" priority="1254">
      <formula>IF(VLOOKUP($F150,PROFA,2,0)=3,1,0)</formula>
    </cfRule>
    <cfRule type="expression" dxfId="1055" priority="1255">
      <formula>IF(VLOOKUP($F150,PROFA,2,0)=4,1,0)</formula>
    </cfRule>
    <cfRule type="expression" dxfId="1054" priority="1256">
      <formula>IF(VLOOKUP($F150,PROFA,2,0)=5,1,0)</formula>
    </cfRule>
    <cfRule type="expression" dxfId="1053" priority="1257">
      <formula>IF(VLOOKUP($F150,PROFA,2,0)=6,1,0)</formula>
    </cfRule>
    <cfRule type="expression" dxfId="1052" priority="1258">
      <formula>IF(VLOOKUP($F150,PROFA,2,0)=7,1,0)</formula>
    </cfRule>
    <cfRule type="expression" dxfId="1051" priority="1259">
      <formula>IF(VLOOKUP($F150,PROFA,2,0)=8,1,0)</formula>
    </cfRule>
    <cfRule type="expression" dxfId="1050" priority="1260">
      <formula>IF(VLOOKUP($F150,PROFA,2,0)=9,1,0)</formula>
    </cfRule>
  </conditionalFormatting>
  <conditionalFormatting sqref="F158">
    <cfRule type="expression" dxfId="1049" priority="1243">
      <formula>IF(VLOOKUP($F158,PROFA,2,0)=1,1,0)</formula>
    </cfRule>
    <cfRule type="expression" dxfId="1048" priority="1244">
      <formula>IF(VLOOKUP($F158,PROFA,2,0)=2,1,0)</formula>
    </cfRule>
    <cfRule type="expression" dxfId="1047" priority="1245">
      <formula>IF(VLOOKUP($F158,PROFA,2,0)=3,1,0)</formula>
    </cfRule>
    <cfRule type="expression" dxfId="1046" priority="1246">
      <formula>IF(VLOOKUP($F158,PROFA,2,0)=4,1,0)</formula>
    </cfRule>
    <cfRule type="expression" dxfId="1045" priority="1247">
      <formula>IF(VLOOKUP($F158,PROFA,2,0)=5,1,0)</formula>
    </cfRule>
    <cfRule type="expression" dxfId="1044" priority="1248">
      <formula>IF(VLOOKUP($F158,PROFA,2,0)=6,1,0)</formula>
    </cfRule>
    <cfRule type="expression" dxfId="1043" priority="1249">
      <formula>IF(VLOOKUP($F158,PROFA,2,0)=7,1,0)</formula>
    </cfRule>
    <cfRule type="expression" dxfId="1042" priority="1250">
      <formula>IF(VLOOKUP($F158,PROFA,2,0)=8,1,0)</formula>
    </cfRule>
    <cfRule type="expression" dxfId="1041" priority="1251">
      <formula>IF(VLOOKUP($F158,PROFA,2,0)=9,1,0)</formula>
    </cfRule>
  </conditionalFormatting>
  <conditionalFormatting sqref="F159">
    <cfRule type="expression" dxfId="1040" priority="1234">
      <formula>IF(VLOOKUP($F159,PROFA,2,0)=1,1,0)</formula>
    </cfRule>
    <cfRule type="expression" dxfId="1039" priority="1235">
      <formula>IF(VLOOKUP($F159,PROFA,2,0)=2,1,0)</formula>
    </cfRule>
    <cfRule type="expression" dxfId="1038" priority="1236">
      <formula>IF(VLOOKUP($F159,PROFA,2,0)=3,1,0)</formula>
    </cfRule>
    <cfRule type="expression" dxfId="1037" priority="1237">
      <formula>IF(VLOOKUP($F159,PROFA,2,0)=4,1,0)</formula>
    </cfRule>
    <cfRule type="expression" dxfId="1036" priority="1238">
      <formula>IF(VLOOKUP($F159,PROFA,2,0)=5,1,0)</formula>
    </cfRule>
    <cfRule type="expression" dxfId="1035" priority="1239">
      <formula>IF(VLOOKUP($F159,PROFA,2,0)=6,1,0)</formula>
    </cfRule>
    <cfRule type="expression" dxfId="1034" priority="1240">
      <formula>IF(VLOOKUP($F159,PROFA,2,0)=7,1,0)</formula>
    </cfRule>
    <cfRule type="expression" dxfId="1033" priority="1241">
      <formula>IF(VLOOKUP($F159,PROFA,2,0)=8,1,0)</formula>
    </cfRule>
    <cfRule type="expression" dxfId="1032" priority="1242">
      <formula>IF(VLOOKUP($F159,PROFA,2,0)=9,1,0)</formula>
    </cfRule>
  </conditionalFormatting>
  <conditionalFormatting sqref="F161">
    <cfRule type="expression" dxfId="1031" priority="1225">
      <formula>IF(VLOOKUP($F161,PROFA,2,0)=1,1,0)</formula>
    </cfRule>
    <cfRule type="expression" dxfId="1030" priority="1226">
      <formula>IF(VLOOKUP($F161,PROFA,2,0)=2,1,0)</formula>
    </cfRule>
    <cfRule type="expression" dxfId="1029" priority="1227">
      <formula>IF(VLOOKUP($F161,PROFA,2,0)=3,1,0)</formula>
    </cfRule>
    <cfRule type="expression" dxfId="1028" priority="1228">
      <formula>IF(VLOOKUP($F161,PROFA,2,0)=4,1,0)</formula>
    </cfRule>
    <cfRule type="expression" dxfId="1027" priority="1229">
      <formula>IF(VLOOKUP($F161,PROFA,2,0)=5,1,0)</formula>
    </cfRule>
    <cfRule type="expression" dxfId="1026" priority="1230">
      <formula>IF(VLOOKUP($F161,PROFA,2,0)=6,1,0)</formula>
    </cfRule>
    <cfRule type="expression" dxfId="1025" priority="1231">
      <formula>IF(VLOOKUP($F161,PROFA,2,0)=7,1,0)</formula>
    </cfRule>
    <cfRule type="expression" dxfId="1024" priority="1232">
      <formula>IF(VLOOKUP($F161,PROFA,2,0)=8,1,0)</formula>
    </cfRule>
    <cfRule type="expression" dxfId="1023" priority="1233">
      <formula>IF(VLOOKUP($F161,PROFA,2,0)=9,1,0)</formula>
    </cfRule>
  </conditionalFormatting>
  <conditionalFormatting sqref="F163">
    <cfRule type="expression" dxfId="1022" priority="1216">
      <formula>IF(VLOOKUP($F163,PROFA,2,0)=1,1,0)</formula>
    </cfRule>
    <cfRule type="expression" dxfId="1021" priority="1217">
      <formula>IF(VLOOKUP($F163,PROFA,2,0)=2,1,0)</formula>
    </cfRule>
    <cfRule type="expression" dxfId="1020" priority="1218">
      <formula>IF(VLOOKUP($F163,PROFA,2,0)=3,1,0)</formula>
    </cfRule>
    <cfRule type="expression" dxfId="1019" priority="1219">
      <formula>IF(VLOOKUP($F163,PROFA,2,0)=4,1,0)</formula>
    </cfRule>
    <cfRule type="expression" dxfId="1018" priority="1220">
      <formula>IF(VLOOKUP($F163,PROFA,2,0)=5,1,0)</formula>
    </cfRule>
    <cfRule type="expression" dxfId="1017" priority="1221">
      <formula>IF(VLOOKUP($F163,PROFA,2,0)=6,1,0)</formula>
    </cfRule>
    <cfRule type="expression" dxfId="1016" priority="1222">
      <formula>IF(VLOOKUP($F163,PROFA,2,0)=7,1,0)</formula>
    </cfRule>
    <cfRule type="expression" dxfId="1015" priority="1223">
      <formula>IF(VLOOKUP($F163,PROFA,2,0)=8,1,0)</formula>
    </cfRule>
    <cfRule type="expression" dxfId="1014" priority="1224">
      <formula>IF(VLOOKUP($F163,PROFA,2,0)=9,1,0)</formula>
    </cfRule>
  </conditionalFormatting>
  <conditionalFormatting sqref="F165">
    <cfRule type="expression" dxfId="1013" priority="1207">
      <formula>IF(VLOOKUP($F165,PROFA,2,0)=1,1,0)</formula>
    </cfRule>
    <cfRule type="expression" dxfId="1012" priority="1208">
      <formula>IF(VLOOKUP($F165,PROFA,2,0)=2,1,0)</formula>
    </cfRule>
    <cfRule type="expression" dxfId="1011" priority="1209">
      <formula>IF(VLOOKUP($F165,PROFA,2,0)=3,1,0)</formula>
    </cfRule>
    <cfRule type="expression" dxfId="1010" priority="1210">
      <formula>IF(VLOOKUP($F165,PROFA,2,0)=4,1,0)</formula>
    </cfRule>
    <cfRule type="expression" dxfId="1009" priority="1211">
      <formula>IF(VLOOKUP($F165,PROFA,2,0)=5,1,0)</formula>
    </cfRule>
    <cfRule type="expression" dxfId="1008" priority="1212">
      <formula>IF(VLOOKUP($F165,PROFA,2,0)=6,1,0)</formula>
    </cfRule>
    <cfRule type="expression" dxfId="1007" priority="1213">
      <formula>IF(VLOOKUP($F165,PROFA,2,0)=7,1,0)</formula>
    </cfRule>
    <cfRule type="expression" dxfId="1006" priority="1214">
      <formula>IF(VLOOKUP($F165,PROFA,2,0)=8,1,0)</formula>
    </cfRule>
    <cfRule type="expression" dxfId="1005" priority="1215">
      <formula>IF(VLOOKUP($F165,PROFA,2,0)=9,1,0)</formula>
    </cfRule>
  </conditionalFormatting>
  <conditionalFormatting sqref="F169">
    <cfRule type="expression" dxfId="1004" priority="1198">
      <formula>IF(VLOOKUP($F169,PROFA,2,0)=1,1,0)</formula>
    </cfRule>
    <cfRule type="expression" dxfId="1003" priority="1199">
      <formula>IF(VLOOKUP($F169,PROFA,2,0)=2,1,0)</formula>
    </cfRule>
    <cfRule type="expression" dxfId="1002" priority="1200">
      <formula>IF(VLOOKUP($F169,PROFA,2,0)=3,1,0)</formula>
    </cfRule>
    <cfRule type="expression" dxfId="1001" priority="1201">
      <formula>IF(VLOOKUP($F169,PROFA,2,0)=4,1,0)</formula>
    </cfRule>
    <cfRule type="expression" dxfId="1000" priority="1202">
      <formula>IF(VLOOKUP($F169,PROFA,2,0)=5,1,0)</formula>
    </cfRule>
    <cfRule type="expression" dxfId="999" priority="1203">
      <formula>IF(VLOOKUP($F169,PROFA,2,0)=6,1,0)</formula>
    </cfRule>
    <cfRule type="expression" dxfId="998" priority="1204">
      <formula>IF(VLOOKUP($F169,PROFA,2,0)=7,1,0)</formula>
    </cfRule>
    <cfRule type="expression" dxfId="997" priority="1205">
      <formula>IF(VLOOKUP($F169,PROFA,2,0)=8,1,0)</formula>
    </cfRule>
    <cfRule type="expression" dxfId="996" priority="1206">
      <formula>IF(VLOOKUP($F169,PROFA,2,0)=9,1,0)</formula>
    </cfRule>
  </conditionalFormatting>
  <conditionalFormatting sqref="F177">
    <cfRule type="expression" dxfId="995" priority="1189">
      <formula>IF(VLOOKUP($F177,PROFA,2,0)=1,1,0)</formula>
    </cfRule>
    <cfRule type="expression" dxfId="994" priority="1190">
      <formula>IF(VLOOKUP($F177,PROFA,2,0)=2,1,0)</formula>
    </cfRule>
    <cfRule type="expression" dxfId="993" priority="1191">
      <formula>IF(VLOOKUP($F177,PROFA,2,0)=3,1,0)</formula>
    </cfRule>
    <cfRule type="expression" dxfId="992" priority="1192">
      <formula>IF(VLOOKUP($F177,PROFA,2,0)=4,1,0)</formula>
    </cfRule>
    <cfRule type="expression" dxfId="991" priority="1193">
      <formula>IF(VLOOKUP($F177,PROFA,2,0)=5,1,0)</formula>
    </cfRule>
    <cfRule type="expression" dxfId="990" priority="1194">
      <formula>IF(VLOOKUP($F177,PROFA,2,0)=6,1,0)</formula>
    </cfRule>
    <cfRule type="expression" dxfId="989" priority="1195">
      <formula>IF(VLOOKUP($F177,PROFA,2,0)=7,1,0)</formula>
    </cfRule>
    <cfRule type="expression" dxfId="988" priority="1196">
      <formula>IF(VLOOKUP($F177,PROFA,2,0)=8,1,0)</formula>
    </cfRule>
    <cfRule type="expression" dxfId="987" priority="1197">
      <formula>IF(VLOOKUP($F177,PROFA,2,0)=9,1,0)</formula>
    </cfRule>
  </conditionalFormatting>
  <conditionalFormatting sqref="F180">
    <cfRule type="expression" dxfId="986" priority="1180">
      <formula>IF(VLOOKUP($F180,PROFA,2,0)=1,1,0)</formula>
    </cfRule>
    <cfRule type="expression" dxfId="985" priority="1181">
      <formula>IF(VLOOKUP($F180,PROFA,2,0)=2,1,0)</formula>
    </cfRule>
    <cfRule type="expression" dxfId="984" priority="1182">
      <formula>IF(VLOOKUP($F180,PROFA,2,0)=3,1,0)</formula>
    </cfRule>
    <cfRule type="expression" dxfId="983" priority="1183">
      <formula>IF(VLOOKUP($F180,PROFA,2,0)=4,1,0)</formula>
    </cfRule>
    <cfRule type="expression" dxfId="982" priority="1184">
      <formula>IF(VLOOKUP($F180,PROFA,2,0)=5,1,0)</formula>
    </cfRule>
    <cfRule type="expression" dxfId="981" priority="1185">
      <formula>IF(VLOOKUP($F180,PROFA,2,0)=6,1,0)</formula>
    </cfRule>
    <cfRule type="expression" dxfId="980" priority="1186">
      <formula>IF(VLOOKUP($F180,PROFA,2,0)=7,1,0)</formula>
    </cfRule>
    <cfRule type="expression" dxfId="979" priority="1187">
      <formula>IF(VLOOKUP($F180,PROFA,2,0)=8,1,0)</formula>
    </cfRule>
    <cfRule type="expression" dxfId="978" priority="1188">
      <formula>IF(VLOOKUP($F180,PROFA,2,0)=9,1,0)</formula>
    </cfRule>
  </conditionalFormatting>
  <conditionalFormatting sqref="F39">
    <cfRule type="expression" dxfId="977" priority="1171">
      <formula>IF(VLOOKUP($F39,PROFA,2,0)=1,1,0)</formula>
    </cfRule>
    <cfRule type="expression" dxfId="976" priority="1172">
      <formula>IF(VLOOKUP($F39,PROFA,2,0)=2,1,0)</formula>
    </cfRule>
    <cfRule type="expression" dxfId="975" priority="1173">
      <formula>IF(VLOOKUP($F39,PROFA,2,0)=3,1,0)</formula>
    </cfRule>
    <cfRule type="expression" dxfId="974" priority="1174">
      <formula>IF(VLOOKUP($F39,PROFA,2,0)=4,1,0)</formula>
    </cfRule>
    <cfRule type="expression" dxfId="973" priority="1175">
      <formula>IF(VLOOKUP($F39,PROFA,2,0)=5,1,0)</formula>
    </cfRule>
    <cfRule type="expression" dxfId="972" priority="1176">
      <formula>IF(VLOOKUP($F39,PROFA,2,0)=6,1,0)</formula>
    </cfRule>
    <cfRule type="expression" dxfId="971" priority="1177">
      <formula>IF(VLOOKUP($F39,PROFA,2,0)=7,1,0)</formula>
    </cfRule>
    <cfRule type="expression" dxfId="970" priority="1178">
      <formula>IF(VLOOKUP($F39,PROFA,2,0)=8,1,0)</formula>
    </cfRule>
    <cfRule type="expression" dxfId="969" priority="1179">
      <formula>IF(VLOOKUP($F39,PROFA,2,0)=9,1,0)</formula>
    </cfRule>
  </conditionalFormatting>
  <conditionalFormatting sqref="F66">
    <cfRule type="expression" dxfId="968" priority="1162">
      <formula>IF(VLOOKUP($F66,PROFA,2,0)=1,1,0)</formula>
    </cfRule>
    <cfRule type="expression" dxfId="967" priority="1163">
      <formula>IF(VLOOKUP($F66,PROFA,2,0)=2,1,0)</formula>
    </cfRule>
    <cfRule type="expression" dxfId="966" priority="1164">
      <formula>IF(VLOOKUP($F66,PROFA,2,0)=3,1,0)</formula>
    </cfRule>
    <cfRule type="expression" dxfId="965" priority="1165">
      <formula>IF(VLOOKUP($F66,PROFA,2,0)=4,1,0)</formula>
    </cfRule>
    <cfRule type="expression" dxfId="964" priority="1166">
      <formula>IF(VLOOKUP($F66,PROFA,2,0)=5,1,0)</formula>
    </cfRule>
    <cfRule type="expression" dxfId="963" priority="1167">
      <formula>IF(VLOOKUP($F66,PROFA,2,0)=6,1,0)</formula>
    </cfRule>
    <cfRule type="expression" dxfId="962" priority="1168">
      <formula>IF(VLOOKUP($F66,PROFA,2,0)=7,1,0)</formula>
    </cfRule>
    <cfRule type="expression" dxfId="961" priority="1169">
      <formula>IF(VLOOKUP($F66,PROFA,2,0)=8,1,0)</formula>
    </cfRule>
    <cfRule type="expression" dxfId="960" priority="1170">
      <formula>IF(VLOOKUP($F66,PROFA,2,0)=9,1,0)</formula>
    </cfRule>
  </conditionalFormatting>
  <conditionalFormatting sqref="F70">
    <cfRule type="expression" dxfId="959" priority="1153">
      <formula>IF(VLOOKUP($F70,PROFA,2,0)=1,1,0)</formula>
    </cfRule>
    <cfRule type="expression" dxfId="958" priority="1154">
      <formula>IF(VLOOKUP($F70,PROFA,2,0)=2,1,0)</formula>
    </cfRule>
    <cfRule type="expression" dxfId="957" priority="1155">
      <formula>IF(VLOOKUP($F70,PROFA,2,0)=3,1,0)</formula>
    </cfRule>
    <cfRule type="expression" dxfId="956" priority="1156">
      <formula>IF(VLOOKUP($F70,PROFA,2,0)=4,1,0)</formula>
    </cfRule>
    <cfRule type="expression" dxfId="955" priority="1157">
      <formula>IF(VLOOKUP($F70,PROFA,2,0)=5,1,0)</formula>
    </cfRule>
    <cfRule type="expression" dxfId="954" priority="1158">
      <formula>IF(VLOOKUP($F70,PROFA,2,0)=6,1,0)</formula>
    </cfRule>
    <cfRule type="expression" dxfId="953" priority="1159">
      <formula>IF(VLOOKUP($F70,PROFA,2,0)=7,1,0)</formula>
    </cfRule>
    <cfRule type="expression" dxfId="952" priority="1160">
      <formula>IF(VLOOKUP($F70,PROFA,2,0)=8,1,0)</formula>
    </cfRule>
    <cfRule type="expression" dxfId="951" priority="1161">
      <formula>IF(VLOOKUP($F70,PROFA,2,0)=9,1,0)</formula>
    </cfRule>
  </conditionalFormatting>
  <conditionalFormatting sqref="F87">
    <cfRule type="expression" dxfId="950" priority="1144">
      <formula>IF(VLOOKUP($F87,PROFA,2,0)=1,1,0)</formula>
    </cfRule>
    <cfRule type="expression" dxfId="949" priority="1145">
      <formula>IF(VLOOKUP($F87,PROFA,2,0)=2,1,0)</formula>
    </cfRule>
    <cfRule type="expression" dxfId="948" priority="1146">
      <formula>IF(VLOOKUP($F87,PROFA,2,0)=3,1,0)</formula>
    </cfRule>
    <cfRule type="expression" dxfId="947" priority="1147">
      <formula>IF(VLOOKUP($F87,PROFA,2,0)=4,1,0)</formula>
    </cfRule>
    <cfRule type="expression" dxfId="946" priority="1148">
      <formula>IF(VLOOKUP($F87,PROFA,2,0)=5,1,0)</formula>
    </cfRule>
    <cfRule type="expression" dxfId="945" priority="1149">
      <formula>IF(VLOOKUP($F87,PROFA,2,0)=6,1,0)</formula>
    </cfRule>
    <cfRule type="expression" dxfId="944" priority="1150">
      <formula>IF(VLOOKUP($F87,PROFA,2,0)=7,1,0)</formula>
    </cfRule>
    <cfRule type="expression" dxfId="943" priority="1151">
      <formula>IF(VLOOKUP($F87,PROFA,2,0)=8,1,0)</formula>
    </cfRule>
    <cfRule type="expression" dxfId="942" priority="1152">
      <formula>IF(VLOOKUP($F87,PROFA,2,0)=9,1,0)</formula>
    </cfRule>
  </conditionalFormatting>
  <conditionalFormatting sqref="F99">
    <cfRule type="expression" dxfId="941" priority="1135">
      <formula>IF(VLOOKUP($F99,PROFA,2,0)=1,1,0)</formula>
    </cfRule>
    <cfRule type="expression" dxfId="940" priority="1136">
      <formula>IF(VLOOKUP($F99,PROFA,2,0)=2,1,0)</formula>
    </cfRule>
    <cfRule type="expression" dxfId="939" priority="1137">
      <formula>IF(VLOOKUP($F99,PROFA,2,0)=3,1,0)</formula>
    </cfRule>
    <cfRule type="expression" dxfId="938" priority="1138">
      <formula>IF(VLOOKUP($F99,PROFA,2,0)=4,1,0)</formula>
    </cfRule>
    <cfRule type="expression" dxfId="937" priority="1139">
      <formula>IF(VLOOKUP($F99,PROFA,2,0)=5,1,0)</formula>
    </cfRule>
    <cfRule type="expression" dxfId="936" priority="1140">
      <formula>IF(VLOOKUP($F99,PROFA,2,0)=6,1,0)</formula>
    </cfRule>
    <cfRule type="expression" dxfId="935" priority="1141">
      <formula>IF(VLOOKUP($F99,PROFA,2,0)=7,1,0)</formula>
    </cfRule>
    <cfRule type="expression" dxfId="934" priority="1142">
      <formula>IF(VLOOKUP($F99,PROFA,2,0)=8,1,0)</formula>
    </cfRule>
    <cfRule type="expression" dxfId="933" priority="1143">
      <formula>IF(VLOOKUP($F99,PROFA,2,0)=9,1,0)</formula>
    </cfRule>
  </conditionalFormatting>
  <conditionalFormatting sqref="F107">
    <cfRule type="expression" dxfId="932" priority="1126">
      <formula>IF(VLOOKUP($F107,PROFA,2,0)=1,1,0)</formula>
    </cfRule>
    <cfRule type="expression" dxfId="931" priority="1127">
      <formula>IF(VLOOKUP($F107,PROFA,2,0)=2,1,0)</formula>
    </cfRule>
    <cfRule type="expression" dxfId="930" priority="1128">
      <formula>IF(VLOOKUP($F107,PROFA,2,0)=3,1,0)</formula>
    </cfRule>
    <cfRule type="expression" dxfId="929" priority="1129">
      <formula>IF(VLOOKUP($F107,PROFA,2,0)=4,1,0)</formula>
    </cfRule>
    <cfRule type="expression" dxfId="928" priority="1130">
      <formula>IF(VLOOKUP($F107,PROFA,2,0)=5,1,0)</formula>
    </cfRule>
    <cfRule type="expression" dxfId="927" priority="1131">
      <formula>IF(VLOOKUP($F107,PROFA,2,0)=6,1,0)</formula>
    </cfRule>
    <cfRule type="expression" dxfId="926" priority="1132">
      <formula>IF(VLOOKUP($F107,PROFA,2,0)=7,1,0)</formula>
    </cfRule>
    <cfRule type="expression" dxfId="925" priority="1133">
      <formula>IF(VLOOKUP($F107,PROFA,2,0)=8,1,0)</formula>
    </cfRule>
    <cfRule type="expression" dxfId="924" priority="1134">
      <formula>IF(VLOOKUP($F107,PROFA,2,0)=9,1,0)</formula>
    </cfRule>
  </conditionalFormatting>
  <conditionalFormatting sqref="F115">
    <cfRule type="expression" dxfId="923" priority="1117">
      <formula>IF(VLOOKUP($F115,PROFA,2,0)=1,1,0)</formula>
    </cfRule>
    <cfRule type="expression" dxfId="922" priority="1118">
      <formula>IF(VLOOKUP($F115,PROFA,2,0)=2,1,0)</formula>
    </cfRule>
    <cfRule type="expression" dxfId="921" priority="1119">
      <formula>IF(VLOOKUP($F115,PROFA,2,0)=3,1,0)</formula>
    </cfRule>
    <cfRule type="expression" dxfId="920" priority="1120">
      <formula>IF(VLOOKUP($F115,PROFA,2,0)=4,1,0)</formula>
    </cfRule>
    <cfRule type="expression" dxfId="919" priority="1121">
      <formula>IF(VLOOKUP($F115,PROFA,2,0)=5,1,0)</formula>
    </cfRule>
    <cfRule type="expression" dxfId="918" priority="1122">
      <formula>IF(VLOOKUP($F115,PROFA,2,0)=6,1,0)</formula>
    </cfRule>
    <cfRule type="expression" dxfId="917" priority="1123">
      <formula>IF(VLOOKUP($F115,PROFA,2,0)=7,1,0)</formula>
    </cfRule>
    <cfRule type="expression" dxfId="916" priority="1124">
      <formula>IF(VLOOKUP($F115,PROFA,2,0)=8,1,0)</formula>
    </cfRule>
    <cfRule type="expression" dxfId="915" priority="1125">
      <formula>IF(VLOOKUP($F115,PROFA,2,0)=9,1,0)</formula>
    </cfRule>
  </conditionalFormatting>
  <conditionalFormatting sqref="F131">
    <cfRule type="expression" dxfId="914" priority="1108">
      <formula>IF(VLOOKUP($F131,PROFA,2,0)=1,1,0)</formula>
    </cfRule>
    <cfRule type="expression" dxfId="913" priority="1109">
      <formula>IF(VLOOKUP($F131,PROFA,2,0)=2,1,0)</formula>
    </cfRule>
    <cfRule type="expression" dxfId="912" priority="1110">
      <formula>IF(VLOOKUP($F131,PROFA,2,0)=3,1,0)</formula>
    </cfRule>
    <cfRule type="expression" dxfId="911" priority="1111">
      <formula>IF(VLOOKUP($F131,PROFA,2,0)=4,1,0)</formula>
    </cfRule>
    <cfRule type="expression" dxfId="910" priority="1112">
      <formula>IF(VLOOKUP($F131,PROFA,2,0)=5,1,0)</formula>
    </cfRule>
    <cfRule type="expression" dxfId="909" priority="1113">
      <formula>IF(VLOOKUP($F131,PROFA,2,0)=6,1,0)</formula>
    </cfRule>
    <cfRule type="expression" dxfId="908" priority="1114">
      <formula>IF(VLOOKUP($F131,PROFA,2,0)=7,1,0)</formula>
    </cfRule>
    <cfRule type="expression" dxfId="907" priority="1115">
      <formula>IF(VLOOKUP($F131,PROFA,2,0)=8,1,0)</formula>
    </cfRule>
    <cfRule type="expression" dxfId="906" priority="1116">
      <formula>IF(VLOOKUP($F131,PROFA,2,0)=9,1,0)</formula>
    </cfRule>
  </conditionalFormatting>
  <conditionalFormatting sqref="F141">
    <cfRule type="expression" dxfId="905" priority="1099">
      <formula>IF(VLOOKUP($F141,PROFA,2,0)=1,1,0)</formula>
    </cfRule>
    <cfRule type="expression" dxfId="904" priority="1100">
      <formula>IF(VLOOKUP($F141,PROFA,2,0)=2,1,0)</formula>
    </cfRule>
    <cfRule type="expression" dxfId="903" priority="1101">
      <formula>IF(VLOOKUP($F141,PROFA,2,0)=3,1,0)</formula>
    </cfRule>
    <cfRule type="expression" dxfId="902" priority="1102">
      <formula>IF(VLOOKUP($F141,PROFA,2,0)=4,1,0)</formula>
    </cfRule>
    <cfRule type="expression" dxfId="901" priority="1103">
      <formula>IF(VLOOKUP($F141,PROFA,2,0)=5,1,0)</formula>
    </cfRule>
    <cfRule type="expression" dxfId="900" priority="1104">
      <formula>IF(VLOOKUP($F141,PROFA,2,0)=6,1,0)</formula>
    </cfRule>
    <cfRule type="expression" dxfId="899" priority="1105">
      <formula>IF(VLOOKUP($F141,PROFA,2,0)=7,1,0)</formula>
    </cfRule>
    <cfRule type="expression" dxfId="898" priority="1106">
      <formula>IF(VLOOKUP($F141,PROFA,2,0)=8,1,0)</formula>
    </cfRule>
    <cfRule type="expression" dxfId="897" priority="1107">
      <formula>IF(VLOOKUP($F141,PROFA,2,0)=9,1,0)</formula>
    </cfRule>
  </conditionalFormatting>
  <conditionalFormatting sqref="F149">
    <cfRule type="expression" dxfId="896" priority="1090">
      <formula>IF(VLOOKUP($F149,PROFA,2,0)=1,1,0)</formula>
    </cfRule>
    <cfRule type="expression" dxfId="895" priority="1091">
      <formula>IF(VLOOKUP($F149,PROFA,2,0)=2,1,0)</formula>
    </cfRule>
    <cfRule type="expression" dxfId="894" priority="1092">
      <formula>IF(VLOOKUP($F149,PROFA,2,0)=3,1,0)</formula>
    </cfRule>
    <cfRule type="expression" dxfId="893" priority="1093">
      <formula>IF(VLOOKUP($F149,PROFA,2,0)=4,1,0)</formula>
    </cfRule>
    <cfRule type="expression" dxfId="892" priority="1094">
      <formula>IF(VLOOKUP($F149,PROFA,2,0)=5,1,0)</formula>
    </cfRule>
    <cfRule type="expression" dxfId="891" priority="1095">
      <formula>IF(VLOOKUP($F149,PROFA,2,0)=6,1,0)</formula>
    </cfRule>
    <cfRule type="expression" dxfId="890" priority="1096">
      <formula>IF(VLOOKUP($F149,PROFA,2,0)=7,1,0)</formula>
    </cfRule>
    <cfRule type="expression" dxfId="889" priority="1097">
      <formula>IF(VLOOKUP($F149,PROFA,2,0)=8,1,0)</formula>
    </cfRule>
    <cfRule type="expression" dxfId="888" priority="1098">
      <formula>IF(VLOOKUP($F149,PROFA,2,0)=9,1,0)</formula>
    </cfRule>
  </conditionalFormatting>
  <conditionalFormatting sqref="F157">
    <cfRule type="expression" dxfId="887" priority="1081">
      <formula>IF(VLOOKUP($F157,PROFA,2,0)=1,1,0)</formula>
    </cfRule>
    <cfRule type="expression" dxfId="886" priority="1082">
      <formula>IF(VLOOKUP($F157,PROFA,2,0)=2,1,0)</formula>
    </cfRule>
    <cfRule type="expression" dxfId="885" priority="1083">
      <formula>IF(VLOOKUP($F157,PROFA,2,0)=3,1,0)</formula>
    </cfRule>
    <cfRule type="expression" dxfId="884" priority="1084">
      <formula>IF(VLOOKUP($F157,PROFA,2,0)=4,1,0)</formula>
    </cfRule>
    <cfRule type="expression" dxfId="883" priority="1085">
      <formula>IF(VLOOKUP($F157,PROFA,2,0)=5,1,0)</formula>
    </cfRule>
    <cfRule type="expression" dxfId="882" priority="1086">
      <formula>IF(VLOOKUP($F157,PROFA,2,0)=6,1,0)</formula>
    </cfRule>
    <cfRule type="expression" dxfId="881" priority="1087">
      <formula>IF(VLOOKUP($F157,PROFA,2,0)=7,1,0)</formula>
    </cfRule>
    <cfRule type="expression" dxfId="880" priority="1088">
      <formula>IF(VLOOKUP($F157,PROFA,2,0)=8,1,0)</formula>
    </cfRule>
    <cfRule type="expression" dxfId="879" priority="1089">
      <formula>IF(VLOOKUP($F157,PROFA,2,0)=9,1,0)</formula>
    </cfRule>
  </conditionalFormatting>
  <conditionalFormatting sqref="F168">
    <cfRule type="expression" dxfId="878" priority="1072">
      <formula>IF(VLOOKUP($F168,PROFA,2,0)=1,1,0)</formula>
    </cfRule>
    <cfRule type="expression" dxfId="877" priority="1073">
      <formula>IF(VLOOKUP($F168,PROFA,2,0)=2,1,0)</formula>
    </cfRule>
    <cfRule type="expression" dxfId="876" priority="1074">
      <formula>IF(VLOOKUP($F168,PROFA,2,0)=3,1,0)</formula>
    </cfRule>
    <cfRule type="expression" dxfId="875" priority="1075">
      <formula>IF(VLOOKUP($F168,PROFA,2,0)=4,1,0)</formula>
    </cfRule>
    <cfRule type="expression" dxfId="874" priority="1076">
      <formula>IF(VLOOKUP($F168,PROFA,2,0)=5,1,0)</formula>
    </cfRule>
    <cfRule type="expression" dxfId="873" priority="1077">
      <formula>IF(VLOOKUP($F168,PROFA,2,0)=6,1,0)</formula>
    </cfRule>
    <cfRule type="expression" dxfId="872" priority="1078">
      <formula>IF(VLOOKUP($F168,PROFA,2,0)=7,1,0)</formula>
    </cfRule>
    <cfRule type="expression" dxfId="871" priority="1079">
      <formula>IF(VLOOKUP($F168,PROFA,2,0)=8,1,0)</formula>
    </cfRule>
    <cfRule type="expression" dxfId="870" priority="1080">
      <formula>IF(VLOOKUP($F168,PROFA,2,0)=9,1,0)</formula>
    </cfRule>
  </conditionalFormatting>
  <conditionalFormatting sqref="F176">
    <cfRule type="expression" dxfId="869" priority="1063">
      <formula>IF(VLOOKUP($F176,PROFA,2,0)=1,1,0)</formula>
    </cfRule>
    <cfRule type="expression" dxfId="868" priority="1064">
      <formula>IF(VLOOKUP($F176,PROFA,2,0)=2,1,0)</formula>
    </cfRule>
    <cfRule type="expression" dxfId="867" priority="1065">
      <formula>IF(VLOOKUP($F176,PROFA,2,0)=3,1,0)</formula>
    </cfRule>
    <cfRule type="expression" dxfId="866" priority="1066">
      <formula>IF(VLOOKUP($F176,PROFA,2,0)=4,1,0)</formula>
    </cfRule>
    <cfRule type="expression" dxfId="865" priority="1067">
      <formula>IF(VLOOKUP($F176,PROFA,2,0)=5,1,0)</formula>
    </cfRule>
    <cfRule type="expression" dxfId="864" priority="1068">
      <formula>IF(VLOOKUP($F176,PROFA,2,0)=6,1,0)</formula>
    </cfRule>
    <cfRule type="expression" dxfId="863" priority="1069">
      <formula>IF(VLOOKUP($F176,PROFA,2,0)=7,1,0)</formula>
    </cfRule>
    <cfRule type="expression" dxfId="862" priority="1070">
      <formula>IF(VLOOKUP($F176,PROFA,2,0)=8,1,0)</formula>
    </cfRule>
    <cfRule type="expression" dxfId="861" priority="1071">
      <formula>IF(VLOOKUP($F176,PROFA,2,0)=9,1,0)</formula>
    </cfRule>
  </conditionalFormatting>
  <conditionalFormatting sqref="F113">
    <cfRule type="expression" dxfId="860" priority="1036">
      <formula>IF(VLOOKUP($F113,PROFA,2,0)=1,1,0)</formula>
    </cfRule>
    <cfRule type="expression" dxfId="859" priority="1037">
      <formula>IF(VLOOKUP($F113,PROFA,2,0)=2,1,0)</formula>
    </cfRule>
    <cfRule type="expression" dxfId="858" priority="1038">
      <formula>IF(VLOOKUP($F113,PROFA,2,0)=3,1,0)</formula>
    </cfRule>
    <cfRule type="expression" dxfId="857" priority="1039">
      <formula>IF(VLOOKUP($F113,PROFA,2,0)=4,1,0)</formula>
    </cfRule>
    <cfRule type="expression" dxfId="856" priority="1040">
      <formula>IF(VLOOKUP($F113,PROFA,2,0)=5,1,0)</formula>
    </cfRule>
    <cfRule type="expression" dxfId="855" priority="1041">
      <formula>IF(VLOOKUP($F113,PROFA,2,0)=6,1,0)</formula>
    </cfRule>
    <cfRule type="expression" dxfId="854" priority="1042">
      <formula>IF(VLOOKUP($F113,PROFA,2,0)=7,1,0)</formula>
    </cfRule>
    <cfRule type="expression" dxfId="853" priority="1043">
      <formula>IF(VLOOKUP($F113,PROFA,2,0)=8,1,0)</formula>
    </cfRule>
    <cfRule type="expression" dxfId="852" priority="1044">
      <formula>IF(VLOOKUP($F113,PROFA,2,0)=9,1,0)</formula>
    </cfRule>
  </conditionalFormatting>
  <conditionalFormatting sqref="F30">
    <cfRule type="expression" dxfId="851" priority="1018">
      <formula>IF(VLOOKUP($F30,PROFA,2,0)=1,1,0)</formula>
    </cfRule>
    <cfRule type="expression" dxfId="850" priority="1019">
      <formula>IF(VLOOKUP($F30,PROFA,2,0)=2,1,0)</formula>
    </cfRule>
    <cfRule type="expression" dxfId="849" priority="1020">
      <formula>IF(VLOOKUP($F30,PROFA,2,0)=3,1,0)</formula>
    </cfRule>
    <cfRule type="expression" dxfId="848" priority="1021">
      <formula>IF(VLOOKUP($F30,PROFA,2,0)=4,1,0)</formula>
    </cfRule>
    <cfRule type="expression" dxfId="847" priority="1022">
      <formula>IF(VLOOKUP($F30,PROFA,2,0)=5,1,0)</formula>
    </cfRule>
    <cfRule type="expression" dxfId="846" priority="1023">
      <formula>IF(VLOOKUP($F30,PROFA,2,0)=6,1,0)</formula>
    </cfRule>
    <cfRule type="expression" dxfId="845" priority="1024">
      <formula>IF(VLOOKUP($F30,PROFA,2,0)=7,1,0)</formula>
    </cfRule>
    <cfRule type="expression" dxfId="844" priority="1025">
      <formula>IF(VLOOKUP($F30,PROFA,2,0)=8,1,0)</formula>
    </cfRule>
    <cfRule type="expression" dxfId="843" priority="1026">
      <formula>IF(VLOOKUP($F30,PROFA,2,0)=9,1,0)</formula>
    </cfRule>
  </conditionalFormatting>
  <conditionalFormatting sqref="F41">
    <cfRule type="expression" dxfId="842" priority="1009">
      <formula>IF(VLOOKUP($F41,PROFA,2,0)=1,1,0)</formula>
    </cfRule>
    <cfRule type="expression" dxfId="841" priority="1010">
      <formula>IF(VLOOKUP($F41,PROFA,2,0)=2,1,0)</formula>
    </cfRule>
    <cfRule type="expression" dxfId="840" priority="1011">
      <formula>IF(VLOOKUP($F41,PROFA,2,0)=3,1,0)</formula>
    </cfRule>
    <cfRule type="expression" dxfId="839" priority="1012">
      <formula>IF(VLOOKUP($F41,PROFA,2,0)=4,1,0)</formula>
    </cfRule>
    <cfRule type="expression" dxfId="838" priority="1013">
      <formula>IF(VLOOKUP($F41,PROFA,2,0)=5,1,0)</formula>
    </cfRule>
    <cfRule type="expression" dxfId="837" priority="1014">
      <formula>IF(VLOOKUP($F41,PROFA,2,0)=6,1,0)</formula>
    </cfRule>
    <cfRule type="expression" dxfId="836" priority="1015">
      <formula>IF(VLOOKUP($F41,PROFA,2,0)=7,1,0)</formula>
    </cfRule>
    <cfRule type="expression" dxfId="835" priority="1016">
      <formula>IF(VLOOKUP($F41,PROFA,2,0)=8,1,0)</formula>
    </cfRule>
    <cfRule type="expression" dxfId="834" priority="1017">
      <formula>IF(VLOOKUP($F41,PROFA,2,0)=9,1,0)</formula>
    </cfRule>
  </conditionalFormatting>
  <conditionalFormatting sqref="F43">
    <cfRule type="expression" dxfId="833" priority="1000">
      <formula>IF(VLOOKUP($F43,PROFA,2,0)=1,1,0)</formula>
    </cfRule>
    <cfRule type="expression" dxfId="832" priority="1001">
      <formula>IF(VLOOKUP($F43,PROFA,2,0)=2,1,0)</formula>
    </cfRule>
    <cfRule type="expression" dxfId="831" priority="1002">
      <formula>IF(VLOOKUP($F43,PROFA,2,0)=3,1,0)</formula>
    </cfRule>
    <cfRule type="expression" dxfId="830" priority="1003">
      <formula>IF(VLOOKUP($F43,PROFA,2,0)=4,1,0)</formula>
    </cfRule>
    <cfRule type="expression" dxfId="829" priority="1004">
      <formula>IF(VLOOKUP($F43,PROFA,2,0)=5,1,0)</formula>
    </cfRule>
    <cfRule type="expression" dxfId="828" priority="1005">
      <formula>IF(VLOOKUP($F43,PROFA,2,0)=6,1,0)</formula>
    </cfRule>
    <cfRule type="expression" dxfId="827" priority="1006">
      <formula>IF(VLOOKUP($F43,PROFA,2,0)=7,1,0)</formula>
    </cfRule>
    <cfRule type="expression" dxfId="826" priority="1007">
      <formula>IF(VLOOKUP($F43,PROFA,2,0)=8,1,0)</formula>
    </cfRule>
    <cfRule type="expression" dxfId="825" priority="1008">
      <formula>IF(VLOOKUP($F43,PROFA,2,0)=9,1,0)</formula>
    </cfRule>
  </conditionalFormatting>
  <conditionalFormatting sqref="F47">
    <cfRule type="expression" dxfId="824" priority="991">
      <formula>IF(VLOOKUP($F47,PROFA,2,0)=1,1,0)</formula>
    </cfRule>
    <cfRule type="expression" dxfId="823" priority="992">
      <formula>IF(VLOOKUP($F47,PROFA,2,0)=2,1,0)</formula>
    </cfRule>
    <cfRule type="expression" dxfId="822" priority="993">
      <formula>IF(VLOOKUP($F47,PROFA,2,0)=3,1,0)</formula>
    </cfRule>
    <cfRule type="expression" dxfId="821" priority="994">
      <formula>IF(VLOOKUP($F47,PROFA,2,0)=4,1,0)</formula>
    </cfRule>
    <cfRule type="expression" dxfId="820" priority="995">
      <formula>IF(VLOOKUP($F47,PROFA,2,0)=5,1,0)</formula>
    </cfRule>
    <cfRule type="expression" dxfId="819" priority="996">
      <formula>IF(VLOOKUP($F47,PROFA,2,0)=6,1,0)</formula>
    </cfRule>
    <cfRule type="expression" dxfId="818" priority="997">
      <formula>IF(VLOOKUP($F47,PROFA,2,0)=7,1,0)</formula>
    </cfRule>
    <cfRule type="expression" dxfId="817" priority="998">
      <formula>IF(VLOOKUP($F47,PROFA,2,0)=8,1,0)</formula>
    </cfRule>
    <cfRule type="expression" dxfId="816" priority="999">
      <formula>IF(VLOOKUP($F47,PROFA,2,0)=9,1,0)</formula>
    </cfRule>
  </conditionalFormatting>
  <conditionalFormatting sqref="F50">
    <cfRule type="expression" dxfId="815" priority="982">
      <formula>IF(VLOOKUP($F50,PROFA,2,0)=1,1,0)</formula>
    </cfRule>
    <cfRule type="expression" dxfId="814" priority="983">
      <formula>IF(VLOOKUP($F50,PROFA,2,0)=2,1,0)</formula>
    </cfRule>
    <cfRule type="expression" dxfId="813" priority="984">
      <formula>IF(VLOOKUP($F50,PROFA,2,0)=3,1,0)</formula>
    </cfRule>
    <cfRule type="expression" dxfId="812" priority="985">
      <formula>IF(VLOOKUP($F50,PROFA,2,0)=4,1,0)</formula>
    </cfRule>
    <cfRule type="expression" dxfId="811" priority="986">
      <formula>IF(VLOOKUP($F50,PROFA,2,0)=5,1,0)</formula>
    </cfRule>
    <cfRule type="expression" dxfId="810" priority="987">
      <formula>IF(VLOOKUP($F50,PROFA,2,0)=6,1,0)</formula>
    </cfRule>
    <cfRule type="expression" dxfId="809" priority="988">
      <formula>IF(VLOOKUP($F50,PROFA,2,0)=7,1,0)</formula>
    </cfRule>
    <cfRule type="expression" dxfId="808" priority="989">
      <formula>IF(VLOOKUP($F50,PROFA,2,0)=8,1,0)</formula>
    </cfRule>
    <cfRule type="expression" dxfId="807" priority="990">
      <formula>IF(VLOOKUP($F50,PROFA,2,0)=9,1,0)</formula>
    </cfRule>
  </conditionalFormatting>
  <conditionalFormatting sqref="F51">
    <cfRule type="expression" dxfId="806" priority="973">
      <formula>IF(VLOOKUP($F51,PROFA,2,0)=1,1,0)</formula>
    </cfRule>
    <cfRule type="expression" dxfId="805" priority="974">
      <formula>IF(VLOOKUP($F51,PROFA,2,0)=2,1,0)</formula>
    </cfRule>
    <cfRule type="expression" dxfId="804" priority="975">
      <formula>IF(VLOOKUP($F51,PROFA,2,0)=3,1,0)</formula>
    </cfRule>
    <cfRule type="expression" dxfId="803" priority="976">
      <formula>IF(VLOOKUP($F51,PROFA,2,0)=4,1,0)</formula>
    </cfRule>
    <cfRule type="expression" dxfId="802" priority="977">
      <formula>IF(VLOOKUP($F51,PROFA,2,0)=5,1,0)</formula>
    </cfRule>
    <cfRule type="expression" dxfId="801" priority="978">
      <formula>IF(VLOOKUP($F51,PROFA,2,0)=6,1,0)</formula>
    </cfRule>
    <cfRule type="expression" dxfId="800" priority="979">
      <formula>IF(VLOOKUP($F51,PROFA,2,0)=7,1,0)</formula>
    </cfRule>
    <cfRule type="expression" dxfId="799" priority="980">
      <formula>IF(VLOOKUP($F51,PROFA,2,0)=8,1,0)</formula>
    </cfRule>
    <cfRule type="expression" dxfId="798" priority="981">
      <formula>IF(VLOOKUP($F51,PROFA,2,0)=9,1,0)</formula>
    </cfRule>
  </conditionalFormatting>
  <conditionalFormatting sqref="F52">
    <cfRule type="expression" dxfId="797" priority="964">
      <formula>IF(VLOOKUP($F52,PROFA,2,0)=1,1,0)</formula>
    </cfRule>
    <cfRule type="expression" dxfId="796" priority="965">
      <formula>IF(VLOOKUP($F52,PROFA,2,0)=2,1,0)</formula>
    </cfRule>
    <cfRule type="expression" dxfId="795" priority="966">
      <formula>IF(VLOOKUP($F52,PROFA,2,0)=3,1,0)</formula>
    </cfRule>
    <cfRule type="expression" dxfId="794" priority="967">
      <formula>IF(VLOOKUP($F52,PROFA,2,0)=4,1,0)</formula>
    </cfRule>
    <cfRule type="expression" dxfId="793" priority="968">
      <formula>IF(VLOOKUP($F52,PROFA,2,0)=5,1,0)</formula>
    </cfRule>
    <cfRule type="expression" dxfId="792" priority="969">
      <formula>IF(VLOOKUP($F52,PROFA,2,0)=6,1,0)</formula>
    </cfRule>
    <cfRule type="expression" dxfId="791" priority="970">
      <formula>IF(VLOOKUP($F52,PROFA,2,0)=7,1,0)</formula>
    </cfRule>
    <cfRule type="expression" dxfId="790" priority="971">
      <formula>IF(VLOOKUP($F52,PROFA,2,0)=8,1,0)</formula>
    </cfRule>
    <cfRule type="expression" dxfId="789" priority="972">
      <formula>IF(VLOOKUP($F52,PROFA,2,0)=9,1,0)</formula>
    </cfRule>
  </conditionalFormatting>
  <conditionalFormatting sqref="F55">
    <cfRule type="expression" dxfId="788" priority="955">
      <formula>IF(VLOOKUP($F55,PROFA,2,0)=1,1,0)</formula>
    </cfRule>
    <cfRule type="expression" dxfId="787" priority="956">
      <formula>IF(VLOOKUP($F55,PROFA,2,0)=2,1,0)</formula>
    </cfRule>
    <cfRule type="expression" dxfId="786" priority="957">
      <formula>IF(VLOOKUP($F55,PROFA,2,0)=3,1,0)</formula>
    </cfRule>
    <cfRule type="expression" dxfId="785" priority="958">
      <formula>IF(VLOOKUP($F55,PROFA,2,0)=4,1,0)</formula>
    </cfRule>
    <cfRule type="expression" dxfId="784" priority="959">
      <formula>IF(VLOOKUP($F55,PROFA,2,0)=5,1,0)</formula>
    </cfRule>
    <cfRule type="expression" dxfId="783" priority="960">
      <formula>IF(VLOOKUP($F55,PROFA,2,0)=6,1,0)</formula>
    </cfRule>
    <cfRule type="expression" dxfId="782" priority="961">
      <formula>IF(VLOOKUP($F55,PROFA,2,0)=7,1,0)</formula>
    </cfRule>
    <cfRule type="expression" dxfId="781" priority="962">
      <formula>IF(VLOOKUP($F55,PROFA,2,0)=8,1,0)</formula>
    </cfRule>
    <cfRule type="expression" dxfId="780" priority="963">
      <formula>IF(VLOOKUP($F55,PROFA,2,0)=9,1,0)</formula>
    </cfRule>
  </conditionalFormatting>
  <conditionalFormatting sqref="F58">
    <cfRule type="expression" dxfId="779" priority="946">
      <formula>IF(VLOOKUP($F58,PROFA,2,0)=1,1,0)</formula>
    </cfRule>
    <cfRule type="expression" dxfId="778" priority="947">
      <formula>IF(VLOOKUP($F58,PROFA,2,0)=2,1,0)</formula>
    </cfRule>
    <cfRule type="expression" dxfId="777" priority="948">
      <formula>IF(VLOOKUP($F58,PROFA,2,0)=3,1,0)</formula>
    </cfRule>
    <cfRule type="expression" dxfId="776" priority="949">
      <formula>IF(VLOOKUP($F58,PROFA,2,0)=4,1,0)</formula>
    </cfRule>
    <cfRule type="expression" dxfId="775" priority="950">
      <formula>IF(VLOOKUP($F58,PROFA,2,0)=5,1,0)</formula>
    </cfRule>
    <cfRule type="expression" dxfId="774" priority="951">
      <formula>IF(VLOOKUP($F58,PROFA,2,0)=6,1,0)</formula>
    </cfRule>
    <cfRule type="expression" dxfId="773" priority="952">
      <formula>IF(VLOOKUP($F58,PROFA,2,0)=7,1,0)</formula>
    </cfRule>
    <cfRule type="expression" dxfId="772" priority="953">
      <formula>IF(VLOOKUP($F58,PROFA,2,0)=8,1,0)</formula>
    </cfRule>
    <cfRule type="expression" dxfId="771" priority="954">
      <formula>IF(VLOOKUP($F58,PROFA,2,0)=9,1,0)</formula>
    </cfRule>
  </conditionalFormatting>
  <conditionalFormatting sqref="F62">
    <cfRule type="expression" dxfId="770" priority="937">
      <formula>IF(VLOOKUP($F62,PROFA,2,0)=1,1,0)</formula>
    </cfRule>
    <cfRule type="expression" dxfId="769" priority="938">
      <formula>IF(VLOOKUP($F62,PROFA,2,0)=2,1,0)</formula>
    </cfRule>
    <cfRule type="expression" dxfId="768" priority="939">
      <formula>IF(VLOOKUP($F62,PROFA,2,0)=3,1,0)</formula>
    </cfRule>
    <cfRule type="expression" dxfId="767" priority="940">
      <formula>IF(VLOOKUP($F62,PROFA,2,0)=4,1,0)</formula>
    </cfRule>
    <cfRule type="expression" dxfId="766" priority="941">
      <formula>IF(VLOOKUP($F62,PROFA,2,0)=5,1,0)</formula>
    </cfRule>
    <cfRule type="expression" dxfId="765" priority="942">
      <formula>IF(VLOOKUP($F62,PROFA,2,0)=6,1,0)</formula>
    </cfRule>
    <cfRule type="expression" dxfId="764" priority="943">
      <formula>IF(VLOOKUP($F62,PROFA,2,0)=7,1,0)</formula>
    </cfRule>
    <cfRule type="expression" dxfId="763" priority="944">
      <formula>IF(VLOOKUP($F62,PROFA,2,0)=8,1,0)</formula>
    </cfRule>
    <cfRule type="expression" dxfId="762" priority="945">
      <formula>IF(VLOOKUP($F62,PROFA,2,0)=9,1,0)</formula>
    </cfRule>
  </conditionalFormatting>
  <conditionalFormatting sqref="F63">
    <cfRule type="expression" dxfId="761" priority="928">
      <formula>IF(VLOOKUP($F63,PROFA,2,0)=1,1,0)</formula>
    </cfRule>
    <cfRule type="expression" dxfId="760" priority="929">
      <formula>IF(VLOOKUP($F63,PROFA,2,0)=2,1,0)</formula>
    </cfRule>
    <cfRule type="expression" dxfId="759" priority="930">
      <formula>IF(VLOOKUP($F63,PROFA,2,0)=3,1,0)</formula>
    </cfRule>
    <cfRule type="expression" dxfId="758" priority="931">
      <formula>IF(VLOOKUP($F63,PROFA,2,0)=4,1,0)</formula>
    </cfRule>
    <cfRule type="expression" dxfId="757" priority="932">
      <formula>IF(VLOOKUP($F63,PROFA,2,0)=5,1,0)</formula>
    </cfRule>
    <cfRule type="expression" dxfId="756" priority="933">
      <formula>IF(VLOOKUP($F63,PROFA,2,0)=6,1,0)</formula>
    </cfRule>
    <cfRule type="expression" dxfId="755" priority="934">
      <formula>IF(VLOOKUP($F63,PROFA,2,0)=7,1,0)</formula>
    </cfRule>
    <cfRule type="expression" dxfId="754" priority="935">
      <formula>IF(VLOOKUP($F63,PROFA,2,0)=8,1,0)</formula>
    </cfRule>
    <cfRule type="expression" dxfId="753" priority="936">
      <formula>IF(VLOOKUP($F63,PROFA,2,0)=9,1,0)</formula>
    </cfRule>
  </conditionalFormatting>
  <conditionalFormatting sqref="F76">
    <cfRule type="expression" dxfId="752" priority="919">
      <formula>IF(VLOOKUP($F76,PROFA,2,0)=1,1,0)</formula>
    </cfRule>
    <cfRule type="expression" dxfId="751" priority="920">
      <formula>IF(VLOOKUP($F76,PROFA,2,0)=2,1,0)</formula>
    </cfRule>
    <cfRule type="expression" dxfId="750" priority="921">
      <formula>IF(VLOOKUP($F76,PROFA,2,0)=3,1,0)</formula>
    </cfRule>
    <cfRule type="expression" dxfId="749" priority="922">
      <formula>IF(VLOOKUP($F76,PROFA,2,0)=4,1,0)</formula>
    </cfRule>
    <cfRule type="expression" dxfId="748" priority="923">
      <formula>IF(VLOOKUP($F76,PROFA,2,0)=5,1,0)</formula>
    </cfRule>
    <cfRule type="expression" dxfId="747" priority="924">
      <formula>IF(VLOOKUP($F76,PROFA,2,0)=6,1,0)</formula>
    </cfRule>
    <cfRule type="expression" dxfId="746" priority="925">
      <formula>IF(VLOOKUP($F76,PROFA,2,0)=7,1,0)</formula>
    </cfRule>
    <cfRule type="expression" dxfId="745" priority="926">
      <formula>IF(VLOOKUP($F76,PROFA,2,0)=8,1,0)</formula>
    </cfRule>
    <cfRule type="expression" dxfId="744" priority="927">
      <formula>IF(VLOOKUP($F76,PROFA,2,0)=9,1,0)</formula>
    </cfRule>
  </conditionalFormatting>
  <conditionalFormatting sqref="F79">
    <cfRule type="expression" dxfId="743" priority="910">
      <formula>IF(VLOOKUP($F79,PROFA,2,0)=1,1,0)</formula>
    </cfRule>
    <cfRule type="expression" dxfId="742" priority="911">
      <formula>IF(VLOOKUP($F79,PROFA,2,0)=2,1,0)</formula>
    </cfRule>
    <cfRule type="expression" dxfId="741" priority="912">
      <formula>IF(VLOOKUP($F79,PROFA,2,0)=3,1,0)</formula>
    </cfRule>
    <cfRule type="expression" dxfId="740" priority="913">
      <formula>IF(VLOOKUP($F79,PROFA,2,0)=4,1,0)</formula>
    </cfRule>
    <cfRule type="expression" dxfId="739" priority="914">
      <formula>IF(VLOOKUP($F79,PROFA,2,0)=5,1,0)</formula>
    </cfRule>
    <cfRule type="expression" dxfId="738" priority="915">
      <formula>IF(VLOOKUP($F79,PROFA,2,0)=6,1,0)</formula>
    </cfRule>
    <cfRule type="expression" dxfId="737" priority="916">
      <formula>IF(VLOOKUP($F79,PROFA,2,0)=7,1,0)</formula>
    </cfRule>
    <cfRule type="expression" dxfId="736" priority="917">
      <formula>IF(VLOOKUP($F79,PROFA,2,0)=8,1,0)</formula>
    </cfRule>
    <cfRule type="expression" dxfId="735" priority="918">
      <formula>IF(VLOOKUP($F79,PROFA,2,0)=9,1,0)</formula>
    </cfRule>
  </conditionalFormatting>
  <conditionalFormatting sqref="F82">
    <cfRule type="expression" dxfId="734" priority="901">
      <formula>IF(VLOOKUP($F82,PROFA,2,0)=1,1,0)</formula>
    </cfRule>
    <cfRule type="expression" dxfId="733" priority="902">
      <formula>IF(VLOOKUP($F82,PROFA,2,0)=2,1,0)</formula>
    </cfRule>
    <cfRule type="expression" dxfId="732" priority="903">
      <formula>IF(VLOOKUP($F82,PROFA,2,0)=3,1,0)</formula>
    </cfRule>
    <cfRule type="expression" dxfId="731" priority="904">
      <formula>IF(VLOOKUP($F82,PROFA,2,0)=4,1,0)</formula>
    </cfRule>
    <cfRule type="expression" dxfId="730" priority="905">
      <formula>IF(VLOOKUP($F82,PROFA,2,0)=5,1,0)</formula>
    </cfRule>
    <cfRule type="expression" dxfId="729" priority="906">
      <formula>IF(VLOOKUP($F82,PROFA,2,0)=6,1,0)</formula>
    </cfRule>
    <cfRule type="expression" dxfId="728" priority="907">
      <formula>IF(VLOOKUP($F82,PROFA,2,0)=7,1,0)</formula>
    </cfRule>
    <cfRule type="expression" dxfId="727" priority="908">
      <formula>IF(VLOOKUP($F82,PROFA,2,0)=8,1,0)</formula>
    </cfRule>
    <cfRule type="expression" dxfId="726" priority="909">
      <formula>IF(VLOOKUP($F82,PROFA,2,0)=9,1,0)</formula>
    </cfRule>
  </conditionalFormatting>
  <conditionalFormatting sqref="F83">
    <cfRule type="expression" dxfId="725" priority="892">
      <formula>IF(VLOOKUP($F83,PROFA,2,0)=1,1,0)</formula>
    </cfRule>
    <cfRule type="expression" dxfId="724" priority="893">
      <formula>IF(VLOOKUP($F83,PROFA,2,0)=2,1,0)</formula>
    </cfRule>
    <cfRule type="expression" dxfId="723" priority="894">
      <formula>IF(VLOOKUP($F83,PROFA,2,0)=3,1,0)</formula>
    </cfRule>
    <cfRule type="expression" dxfId="722" priority="895">
      <formula>IF(VLOOKUP($F83,PROFA,2,0)=4,1,0)</formula>
    </cfRule>
    <cfRule type="expression" dxfId="721" priority="896">
      <formula>IF(VLOOKUP($F83,PROFA,2,0)=5,1,0)</formula>
    </cfRule>
    <cfRule type="expression" dxfId="720" priority="897">
      <formula>IF(VLOOKUP($F83,PROFA,2,0)=6,1,0)</formula>
    </cfRule>
    <cfRule type="expression" dxfId="719" priority="898">
      <formula>IF(VLOOKUP($F83,PROFA,2,0)=7,1,0)</formula>
    </cfRule>
    <cfRule type="expression" dxfId="718" priority="899">
      <formula>IF(VLOOKUP($F83,PROFA,2,0)=8,1,0)</formula>
    </cfRule>
    <cfRule type="expression" dxfId="717" priority="900">
      <formula>IF(VLOOKUP($F83,PROFA,2,0)=9,1,0)</formula>
    </cfRule>
  </conditionalFormatting>
  <conditionalFormatting sqref="F86">
    <cfRule type="expression" dxfId="716" priority="883">
      <formula>IF(VLOOKUP($F86,PROFA,2,0)=1,1,0)</formula>
    </cfRule>
    <cfRule type="expression" dxfId="715" priority="884">
      <formula>IF(VLOOKUP($F86,PROFA,2,0)=2,1,0)</formula>
    </cfRule>
    <cfRule type="expression" dxfId="714" priority="885">
      <formula>IF(VLOOKUP($F86,PROFA,2,0)=3,1,0)</formula>
    </cfRule>
    <cfRule type="expression" dxfId="713" priority="886">
      <formula>IF(VLOOKUP($F86,PROFA,2,0)=4,1,0)</formula>
    </cfRule>
    <cfRule type="expression" dxfId="712" priority="887">
      <formula>IF(VLOOKUP($F86,PROFA,2,0)=5,1,0)</formula>
    </cfRule>
    <cfRule type="expression" dxfId="711" priority="888">
      <formula>IF(VLOOKUP($F86,PROFA,2,0)=6,1,0)</formula>
    </cfRule>
    <cfRule type="expression" dxfId="710" priority="889">
      <formula>IF(VLOOKUP($F86,PROFA,2,0)=7,1,0)</formula>
    </cfRule>
    <cfRule type="expression" dxfId="709" priority="890">
      <formula>IF(VLOOKUP($F86,PROFA,2,0)=8,1,0)</formula>
    </cfRule>
    <cfRule type="expression" dxfId="708" priority="891">
      <formula>IF(VLOOKUP($F86,PROFA,2,0)=9,1,0)</formula>
    </cfRule>
  </conditionalFormatting>
  <conditionalFormatting sqref="F91">
    <cfRule type="expression" dxfId="707" priority="875">
      <formula>IF(VLOOKUP($F91,PROFA,2,0)=1,1,0)</formula>
    </cfRule>
    <cfRule type="expression" dxfId="706" priority="876">
      <formula>IF(VLOOKUP($F91,PROFA,2,0)=2,1,0)</formula>
    </cfRule>
    <cfRule type="expression" dxfId="705" priority="877">
      <formula>IF(VLOOKUP($F91,PROFA,2,0)=3,1,0)</formula>
    </cfRule>
    <cfRule type="expression" dxfId="704" priority="878">
      <formula>IF(VLOOKUP($F91,PROFA,2,0)=4,1,0)</formula>
    </cfRule>
    <cfRule type="expression" dxfId="703" priority="879">
      <formula>IF(VLOOKUP($F91,PROFA,2,0)=5,1,0)</formula>
    </cfRule>
    <cfRule type="expression" dxfId="702" priority="880">
      <formula>IF(VLOOKUP($F91,PROFA,2,0)=6,1,0)</formula>
    </cfRule>
    <cfRule type="expression" dxfId="701" priority="881">
      <formula>IF(VLOOKUP($F91,PROFA,2,0)=7,1,0)</formula>
    </cfRule>
    <cfRule type="expression" dxfId="700" priority="882">
      <formula>IF(VLOOKUP($F91,PROFA,2,0)=8,1,0)</formula>
    </cfRule>
  </conditionalFormatting>
  <conditionalFormatting sqref="F96">
    <cfRule type="expression" dxfId="699" priority="859">
      <formula>IF(VLOOKUP($F96,PROFA,2,0)=1,1,0)</formula>
    </cfRule>
    <cfRule type="expression" dxfId="698" priority="860">
      <formula>IF(VLOOKUP($F96,PROFA,2,0)=2,1,0)</formula>
    </cfRule>
    <cfRule type="expression" dxfId="697" priority="861">
      <formula>IF(VLOOKUP($F96,PROFA,2,0)=3,1,0)</formula>
    </cfRule>
    <cfRule type="expression" dxfId="696" priority="862">
      <formula>IF(VLOOKUP($F96,PROFA,2,0)=4,1,0)</formula>
    </cfRule>
    <cfRule type="expression" dxfId="695" priority="863">
      <formula>IF(VLOOKUP($F96,PROFA,2,0)=5,1,0)</formula>
    </cfRule>
    <cfRule type="expression" dxfId="694" priority="864">
      <formula>IF(VLOOKUP($F96,PROFA,2,0)=6,1,0)</formula>
    </cfRule>
    <cfRule type="expression" dxfId="693" priority="865">
      <formula>IF(VLOOKUP($F96,PROFA,2,0)=7,1,0)</formula>
    </cfRule>
    <cfRule type="expression" dxfId="692" priority="866">
      <formula>IF(VLOOKUP($F96,PROFA,2,0)=8,1,0)</formula>
    </cfRule>
  </conditionalFormatting>
  <conditionalFormatting sqref="F98">
    <cfRule type="expression" dxfId="691" priority="851">
      <formula>IF(VLOOKUP($F98,PROFA,2,0)=1,1,0)</formula>
    </cfRule>
    <cfRule type="expression" dxfId="690" priority="852">
      <formula>IF(VLOOKUP($F98,PROFA,2,0)=2,1,0)</formula>
    </cfRule>
    <cfRule type="expression" dxfId="689" priority="853">
      <formula>IF(VLOOKUP($F98,PROFA,2,0)=3,1,0)</formula>
    </cfRule>
    <cfRule type="expression" dxfId="688" priority="854">
      <formula>IF(VLOOKUP($F98,PROFA,2,0)=4,1,0)</formula>
    </cfRule>
    <cfRule type="expression" dxfId="687" priority="855">
      <formula>IF(VLOOKUP($F98,PROFA,2,0)=5,1,0)</formula>
    </cfRule>
    <cfRule type="expression" dxfId="686" priority="856">
      <formula>IF(VLOOKUP($F98,PROFA,2,0)=6,1,0)</formula>
    </cfRule>
    <cfRule type="expression" dxfId="685" priority="857">
      <formula>IF(VLOOKUP($F98,PROFA,2,0)=7,1,0)</formula>
    </cfRule>
    <cfRule type="expression" dxfId="684" priority="858">
      <formula>IF(VLOOKUP($F98,PROFA,2,0)=8,1,0)</formula>
    </cfRule>
  </conditionalFormatting>
  <conditionalFormatting sqref="F104">
    <cfRule type="expression" dxfId="683" priority="843">
      <formula>IF(VLOOKUP($F104,PROFA,2,0)=1,1,0)</formula>
    </cfRule>
    <cfRule type="expression" dxfId="682" priority="844">
      <formula>IF(VLOOKUP($F104,PROFA,2,0)=2,1,0)</formula>
    </cfRule>
    <cfRule type="expression" dxfId="681" priority="845">
      <formula>IF(VLOOKUP($F104,PROFA,2,0)=3,1,0)</formula>
    </cfRule>
    <cfRule type="expression" dxfId="680" priority="846">
      <formula>IF(VLOOKUP($F104,PROFA,2,0)=4,1,0)</formula>
    </cfRule>
    <cfRule type="expression" dxfId="679" priority="847">
      <formula>IF(VLOOKUP($F104,PROFA,2,0)=5,1,0)</formula>
    </cfRule>
    <cfRule type="expression" dxfId="678" priority="848">
      <formula>IF(VLOOKUP($F104,PROFA,2,0)=6,1,0)</formula>
    </cfRule>
    <cfRule type="expression" dxfId="677" priority="849">
      <formula>IF(VLOOKUP($F104,PROFA,2,0)=7,1,0)</formula>
    </cfRule>
    <cfRule type="expression" dxfId="676" priority="850">
      <formula>IF(VLOOKUP($F104,PROFA,2,0)=8,1,0)</formula>
    </cfRule>
  </conditionalFormatting>
  <conditionalFormatting sqref="F105">
    <cfRule type="expression" dxfId="675" priority="835">
      <formula>IF(VLOOKUP($F105,PROFA,2,0)=1,1,0)</formula>
    </cfRule>
    <cfRule type="expression" dxfId="674" priority="836">
      <formula>IF(VLOOKUP($F105,PROFA,2,0)=2,1,0)</formula>
    </cfRule>
    <cfRule type="expression" dxfId="673" priority="837">
      <formula>IF(VLOOKUP($F105,PROFA,2,0)=3,1,0)</formula>
    </cfRule>
    <cfRule type="expression" dxfId="672" priority="838">
      <formula>IF(VLOOKUP($F105,PROFA,2,0)=4,1,0)</formula>
    </cfRule>
    <cfRule type="expression" dxfId="671" priority="839">
      <formula>IF(VLOOKUP($F105,PROFA,2,0)=5,1,0)</formula>
    </cfRule>
    <cfRule type="expression" dxfId="670" priority="840">
      <formula>IF(VLOOKUP($F105,PROFA,2,0)=6,1,0)</formula>
    </cfRule>
    <cfRule type="expression" dxfId="669" priority="841">
      <formula>IF(VLOOKUP($F105,PROFA,2,0)=7,1,0)</formula>
    </cfRule>
    <cfRule type="expression" dxfId="668" priority="842">
      <formula>IF(VLOOKUP($F105,PROFA,2,0)=8,1,0)</formula>
    </cfRule>
  </conditionalFormatting>
  <conditionalFormatting sqref="F106">
    <cfRule type="expression" dxfId="667" priority="827">
      <formula>IF(VLOOKUP($F106,PROFA,2,0)=1,1,0)</formula>
    </cfRule>
    <cfRule type="expression" dxfId="666" priority="828">
      <formula>IF(VLOOKUP($F106,PROFA,2,0)=2,1,0)</formula>
    </cfRule>
    <cfRule type="expression" dxfId="665" priority="829">
      <formula>IF(VLOOKUP($F106,PROFA,2,0)=3,1,0)</formula>
    </cfRule>
    <cfRule type="expression" dxfId="664" priority="830">
      <formula>IF(VLOOKUP($F106,PROFA,2,0)=4,1,0)</formula>
    </cfRule>
    <cfRule type="expression" dxfId="663" priority="831">
      <formula>IF(VLOOKUP($F106,PROFA,2,0)=5,1,0)</formula>
    </cfRule>
    <cfRule type="expression" dxfId="662" priority="832">
      <formula>IF(VLOOKUP($F106,PROFA,2,0)=6,1,0)</formula>
    </cfRule>
    <cfRule type="expression" dxfId="661" priority="833">
      <formula>IF(VLOOKUP($F106,PROFA,2,0)=7,1,0)</formula>
    </cfRule>
    <cfRule type="expression" dxfId="660" priority="834">
      <formula>IF(VLOOKUP($F106,PROFA,2,0)=8,1,0)</formula>
    </cfRule>
  </conditionalFormatting>
  <conditionalFormatting sqref="F109">
    <cfRule type="expression" dxfId="659" priority="811">
      <formula>IF(VLOOKUP($F109,PROFA,2,0)=1,1,0)</formula>
    </cfRule>
    <cfRule type="expression" dxfId="658" priority="812">
      <formula>IF(VLOOKUP($F109,PROFA,2,0)=2,1,0)</formula>
    </cfRule>
    <cfRule type="expression" dxfId="657" priority="813">
      <formula>IF(VLOOKUP($F109,PROFA,2,0)=3,1,0)</formula>
    </cfRule>
    <cfRule type="expression" dxfId="656" priority="814">
      <formula>IF(VLOOKUP($F109,PROFA,2,0)=4,1,0)</formula>
    </cfRule>
    <cfRule type="expression" dxfId="655" priority="815">
      <formula>IF(VLOOKUP($F109,PROFA,2,0)=5,1,0)</formula>
    </cfRule>
    <cfRule type="expression" dxfId="654" priority="816">
      <formula>IF(VLOOKUP($F109,PROFA,2,0)=6,1,0)</formula>
    </cfRule>
    <cfRule type="expression" dxfId="653" priority="817">
      <formula>IF(VLOOKUP($F109,PROFA,2,0)=7,1,0)</formula>
    </cfRule>
    <cfRule type="expression" dxfId="652" priority="818">
      <formula>IF(VLOOKUP($F109,PROFA,2,0)=8,1,0)</formula>
    </cfRule>
  </conditionalFormatting>
  <conditionalFormatting sqref="F110">
    <cfRule type="expression" dxfId="651" priority="803">
      <formula>IF(VLOOKUP($F110,PROFA,2,0)=1,1,0)</formula>
    </cfRule>
    <cfRule type="expression" dxfId="650" priority="804">
      <formula>IF(VLOOKUP($F110,PROFA,2,0)=2,1,0)</formula>
    </cfRule>
    <cfRule type="expression" dxfId="649" priority="805">
      <formula>IF(VLOOKUP($F110,PROFA,2,0)=3,1,0)</formula>
    </cfRule>
    <cfRule type="expression" dxfId="648" priority="806">
      <formula>IF(VLOOKUP($F110,PROFA,2,0)=4,1,0)</formula>
    </cfRule>
    <cfRule type="expression" dxfId="647" priority="807">
      <formula>IF(VLOOKUP($F110,PROFA,2,0)=5,1,0)</formula>
    </cfRule>
    <cfRule type="expression" dxfId="646" priority="808">
      <formula>IF(VLOOKUP($F110,PROFA,2,0)=6,1,0)</formula>
    </cfRule>
    <cfRule type="expression" dxfId="645" priority="809">
      <formula>IF(VLOOKUP($F110,PROFA,2,0)=7,1,0)</formula>
    </cfRule>
    <cfRule type="expression" dxfId="644" priority="810">
      <formula>IF(VLOOKUP($F110,PROFA,2,0)=8,1,0)</formula>
    </cfRule>
  </conditionalFormatting>
  <conditionalFormatting sqref="F111">
    <cfRule type="expression" dxfId="643" priority="795">
      <formula>IF(VLOOKUP($F111,PROFA,2,0)=1,1,0)</formula>
    </cfRule>
    <cfRule type="expression" dxfId="642" priority="796">
      <formula>IF(VLOOKUP($F111,PROFA,2,0)=2,1,0)</formula>
    </cfRule>
    <cfRule type="expression" dxfId="641" priority="797">
      <formula>IF(VLOOKUP($F111,PROFA,2,0)=3,1,0)</formula>
    </cfRule>
    <cfRule type="expression" dxfId="640" priority="798">
      <formula>IF(VLOOKUP($F111,PROFA,2,0)=4,1,0)</formula>
    </cfRule>
    <cfRule type="expression" dxfId="639" priority="799">
      <formula>IF(VLOOKUP($F111,PROFA,2,0)=5,1,0)</formula>
    </cfRule>
    <cfRule type="expression" dxfId="638" priority="800">
      <formula>IF(VLOOKUP($F111,PROFA,2,0)=6,1,0)</formula>
    </cfRule>
    <cfRule type="expression" dxfId="637" priority="801">
      <formula>IF(VLOOKUP($F111,PROFA,2,0)=7,1,0)</formula>
    </cfRule>
    <cfRule type="expression" dxfId="636" priority="802">
      <formula>IF(VLOOKUP($F111,PROFA,2,0)=8,1,0)</formula>
    </cfRule>
  </conditionalFormatting>
  <conditionalFormatting sqref="F112">
    <cfRule type="expression" dxfId="635" priority="787">
      <formula>IF(VLOOKUP($F112,PROFA,2,0)=1,1,0)</formula>
    </cfRule>
    <cfRule type="expression" dxfId="634" priority="788">
      <formula>IF(VLOOKUP($F112,PROFA,2,0)=2,1,0)</formula>
    </cfRule>
    <cfRule type="expression" dxfId="633" priority="789">
      <formula>IF(VLOOKUP($F112,PROFA,2,0)=3,1,0)</formula>
    </cfRule>
    <cfRule type="expression" dxfId="632" priority="790">
      <formula>IF(VLOOKUP($F112,PROFA,2,0)=4,1,0)</formula>
    </cfRule>
    <cfRule type="expression" dxfId="631" priority="791">
      <formula>IF(VLOOKUP($F112,PROFA,2,0)=5,1,0)</formula>
    </cfRule>
    <cfRule type="expression" dxfId="630" priority="792">
      <formula>IF(VLOOKUP($F112,PROFA,2,0)=6,1,0)</formula>
    </cfRule>
    <cfRule type="expression" dxfId="629" priority="793">
      <formula>IF(VLOOKUP($F112,PROFA,2,0)=7,1,0)</formula>
    </cfRule>
    <cfRule type="expression" dxfId="628" priority="794">
      <formula>IF(VLOOKUP($F112,PROFA,2,0)=8,1,0)</formula>
    </cfRule>
  </conditionalFormatting>
  <conditionalFormatting sqref="F114">
    <cfRule type="expression" dxfId="627" priority="779">
      <formula>IF(VLOOKUP($F114,PROFA,2,0)=1,1,0)</formula>
    </cfRule>
    <cfRule type="expression" dxfId="626" priority="780">
      <formula>IF(VLOOKUP($F114,PROFA,2,0)=2,1,0)</formula>
    </cfRule>
    <cfRule type="expression" dxfId="625" priority="781">
      <formula>IF(VLOOKUP($F114,PROFA,2,0)=3,1,0)</formula>
    </cfRule>
    <cfRule type="expression" dxfId="624" priority="782">
      <formula>IF(VLOOKUP($F114,PROFA,2,0)=4,1,0)</formula>
    </cfRule>
    <cfRule type="expression" dxfId="623" priority="783">
      <formula>IF(VLOOKUP($F114,PROFA,2,0)=5,1,0)</formula>
    </cfRule>
    <cfRule type="expression" dxfId="622" priority="784">
      <formula>IF(VLOOKUP($F114,PROFA,2,0)=6,1,0)</formula>
    </cfRule>
    <cfRule type="expression" dxfId="621" priority="785">
      <formula>IF(VLOOKUP($F114,PROFA,2,0)=7,1,0)</formula>
    </cfRule>
    <cfRule type="expression" dxfId="620" priority="786">
      <formula>IF(VLOOKUP($F114,PROFA,2,0)=8,1,0)</formula>
    </cfRule>
  </conditionalFormatting>
  <conditionalFormatting sqref="F126">
    <cfRule type="expression" dxfId="619" priority="755">
      <formula>IF(VLOOKUP($F126,PROFA,2,0)=1,1,0)</formula>
    </cfRule>
    <cfRule type="expression" dxfId="618" priority="756">
      <formula>IF(VLOOKUP($F126,PROFA,2,0)=2,1,0)</formula>
    </cfRule>
    <cfRule type="expression" dxfId="617" priority="757">
      <formula>IF(VLOOKUP($F126,PROFA,2,0)=3,1,0)</formula>
    </cfRule>
    <cfRule type="expression" dxfId="616" priority="758">
      <formula>IF(VLOOKUP($F126,PROFA,2,0)=4,1,0)</formula>
    </cfRule>
    <cfRule type="expression" dxfId="615" priority="759">
      <formula>IF(VLOOKUP($F126,PROFA,2,0)=5,1,0)</formula>
    </cfRule>
    <cfRule type="expression" dxfId="614" priority="760">
      <formula>IF(VLOOKUP($F126,PROFA,2,0)=6,1,0)</formula>
    </cfRule>
    <cfRule type="expression" dxfId="613" priority="761">
      <formula>IF(VLOOKUP($F126,PROFA,2,0)=7,1,0)</formula>
    </cfRule>
    <cfRule type="expression" dxfId="612" priority="762">
      <formula>IF(VLOOKUP($F126,PROFA,2,0)=8,1,0)</formula>
    </cfRule>
  </conditionalFormatting>
  <conditionalFormatting sqref="F127">
    <cfRule type="expression" dxfId="611" priority="747">
      <formula>IF(VLOOKUP($F127,PROFA,2,0)=1,1,0)</formula>
    </cfRule>
    <cfRule type="expression" dxfId="610" priority="748">
      <formula>IF(VLOOKUP($F127,PROFA,2,0)=2,1,0)</formula>
    </cfRule>
    <cfRule type="expression" dxfId="609" priority="749">
      <formula>IF(VLOOKUP($F127,PROFA,2,0)=3,1,0)</formula>
    </cfRule>
    <cfRule type="expression" dxfId="608" priority="750">
      <formula>IF(VLOOKUP($F127,PROFA,2,0)=4,1,0)</formula>
    </cfRule>
    <cfRule type="expression" dxfId="607" priority="751">
      <formula>IF(VLOOKUP($F127,PROFA,2,0)=5,1,0)</formula>
    </cfRule>
    <cfRule type="expression" dxfId="606" priority="752">
      <formula>IF(VLOOKUP($F127,PROFA,2,0)=6,1,0)</formula>
    </cfRule>
    <cfRule type="expression" dxfId="605" priority="753">
      <formula>IF(VLOOKUP($F127,PROFA,2,0)=7,1,0)</formula>
    </cfRule>
    <cfRule type="expression" dxfId="604" priority="754">
      <formula>IF(VLOOKUP($F127,PROFA,2,0)=8,1,0)</formula>
    </cfRule>
  </conditionalFormatting>
  <conditionalFormatting sqref="F128">
    <cfRule type="expression" dxfId="603" priority="739">
      <formula>IF(VLOOKUP($F128,PROFA,2,0)=1,1,0)</formula>
    </cfRule>
    <cfRule type="expression" dxfId="602" priority="740">
      <formula>IF(VLOOKUP($F128,PROFA,2,0)=2,1,0)</formula>
    </cfRule>
    <cfRule type="expression" dxfId="601" priority="741">
      <formula>IF(VLOOKUP($F128,PROFA,2,0)=3,1,0)</formula>
    </cfRule>
    <cfRule type="expression" dxfId="600" priority="742">
      <formula>IF(VLOOKUP($F128,PROFA,2,0)=4,1,0)</formula>
    </cfRule>
    <cfRule type="expression" dxfId="599" priority="743">
      <formula>IF(VLOOKUP($F128,PROFA,2,0)=5,1,0)</formula>
    </cfRule>
    <cfRule type="expression" dxfId="598" priority="744">
      <formula>IF(VLOOKUP($F128,PROFA,2,0)=6,1,0)</formula>
    </cfRule>
    <cfRule type="expression" dxfId="597" priority="745">
      <formula>IF(VLOOKUP($F128,PROFA,2,0)=7,1,0)</formula>
    </cfRule>
    <cfRule type="expression" dxfId="596" priority="746">
      <formula>IF(VLOOKUP($F128,PROFA,2,0)=8,1,0)</formula>
    </cfRule>
  </conditionalFormatting>
  <conditionalFormatting sqref="F130">
    <cfRule type="expression" dxfId="595" priority="731">
      <formula>IF(VLOOKUP($F130,PROFA,2,0)=1,1,0)</formula>
    </cfRule>
    <cfRule type="expression" dxfId="594" priority="732">
      <formula>IF(VLOOKUP($F130,PROFA,2,0)=2,1,0)</formula>
    </cfRule>
    <cfRule type="expression" dxfId="593" priority="733">
      <formula>IF(VLOOKUP($F130,PROFA,2,0)=3,1,0)</formula>
    </cfRule>
    <cfRule type="expression" dxfId="592" priority="734">
      <formula>IF(VLOOKUP($F130,PROFA,2,0)=4,1,0)</formula>
    </cfRule>
    <cfRule type="expression" dxfId="591" priority="735">
      <formula>IF(VLOOKUP($F130,PROFA,2,0)=5,1,0)</formula>
    </cfRule>
    <cfRule type="expression" dxfId="590" priority="736">
      <formula>IF(VLOOKUP($F130,PROFA,2,0)=6,1,0)</formula>
    </cfRule>
    <cfRule type="expression" dxfId="589" priority="737">
      <formula>IF(VLOOKUP($F130,PROFA,2,0)=7,1,0)</formula>
    </cfRule>
    <cfRule type="expression" dxfId="588" priority="738">
      <formula>IF(VLOOKUP($F130,PROFA,2,0)=8,1,0)</formula>
    </cfRule>
  </conditionalFormatting>
  <conditionalFormatting sqref="F137">
    <cfRule type="expression" dxfId="587" priority="723">
      <formula>IF(VLOOKUP($F137,PROFA,2,0)=1,1,0)</formula>
    </cfRule>
    <cfRule type="expression" dxfId="586" priority="724">
      <formula>IF(VLOOKUP($F137,PROFA,2,0)=2,1,0)</formula>
    </cfRule>
    <cfRule type="expression" dxfId="585" priority="725">
      <formula>IF(VLOOKUP($F137,PROFA,2,0)=3,1,0)</formula>
    </cfRule>
    <cfRule type="expression" dxfId="584" priority="726">
      <formula>IF(VLOOKUP($F137,PROFA,2,0)=4,1,0)</formula>
    </cfRule>
    <cfRule type="expression" dxfId="583" priority="727">
      <formula>IF(VLOOKUP($F137,PROFA,2,0)=5,1,0)</formula>
    </cfRule>
    <cfRule type="expression" dxfId="582" priority="728">
      <formula>IF(VLOOKUP($F137,PROFA,2,0)=6,1,0)</formula>
    </cfRule>
    <cfRule type="expression" dxfId="581" priority="729">
      <formula>IF(VLOOKUP($F137,PROFA,2,0)=7,1,0)</formula>
    </cfRule>
    <cfRule type="expression" dxfId="580" priority="730">
      <formula>IF(VLOOKUP($F137,PROFA,2,0)=8,1,0)</formula>
    </cfRule>
  </conditionalFormatting>
  <conditionalFormatting sqref="F138">
    <cfRule type="expression" dxfId="579" priority="715">
      <formula>IF(VLOOKUP($F138,PROFA,2,0)=1,1,0)</formula>
    </cfRule>
    <cfRule type="expression" dxfId="578" priority="716">
      <formula>IF(VLOOKUP($F138,PROFA,2,0)=2,1,0)</formula>
    </cfRule>
    <cfRule type="expression" dxfId="577" priority="717">
      <formula>IF(VLOOKUP($F138,PROFA,2,0)=3,1,0)</formula>
    </cfRule>
    <cfRule type="expression" dxfId="576" priority="718">
      <formula>IF(VLOOKUP($F138,PROFA,2,0)=4,1,0)</formula>
    </cfRule>
    <cfRule type="expression" dxfId="575" priority="719">
      <formula>IF(VLOOKUP($F138,PROFA,2,0)=5,1,0)</formula>
    </cfRule>
    <cfRule type="expression" dxfId="574" priority="720">
      <formula>IF(VLOOKUP($F138,PROFA,2,0)=6,1,0)</formula>
    </cfRule>
    <cfRule type="expression" dxfId="573" priority="721">
      <formula>IF(VLOOKUP($F138,PROFA,2,0)=7,1,0)</formula>
    </cfRule>
    <cfRule type="expression" dxfId="572" priority="722">
      <formula>IF(VLOOKUP($F138,PROFA,2,0)=8,1,0)</formula>
    </cfRule>
  </conditionalFormatting>
  <conditionalFormatting sqref="F140">
    <cfRule type="expression" dxfId="571" priority="707">
      <formula>IF(VLOOKUP($F140,PROFA,2,0)=1,1,0)</formula>
    </cfRule>
    <cfRule type="expression" dxfId="570" priority="708">
      <formula>IF(VLOOKUP($F140,PROFA,2,0)=2,1,0)</formula>
    </cfRule>
    <cfRule type="expression" dxfId="569" priority="709">
      <formula>IF(VLOOKUP($F140,PROFA,2,0)=3,1,0)</formula>
    </cfRule>
    <cfRule type="expression" dxfId="568" priority="710">
      <formula>IF(VLOOKUP($F140,PROFA,2,0)=4,1,0)</formula>
    </cfRule>
    <cfRule type="expression" dxfId="567" priority="711">
      <formula>IF(VLOOKUP($F140,PROFA,2,0)=5,1,0)</formula>
    </cfRule>
    <cfRule type="expression" dxfId="566" priority="712">
      <formula>IF(VLOOKUP($F140,PROFA,2,0)=6,1,0)</formula>
    </cfRule>
    <cfRule type="expression" dxfId="565" priority="713">
      <formula>IF(VLOOKUP($F140,PROFA,2,0)=7,1,0)</formula>
    </cfRule>
    <cfRule type="expression" dxfId="564" priority="714">
      <formula>IF(VLOOKUP($F140,PROFA,2,0)=8,1,0)</formula>
    </cfRule>
  </conditionalFormatting>
  <conditionalFormatting sqref="F143">
    <cfRule type="expression" dxfId="563" priority="691">
      <formula>IF(VLOOKUP($F143,PROFA,2,0)=1,1,0)</formula>
    </cfRule>
    <cfRule type="expression" dxfId="562" priority="692">
      <formula>IF(VLOOKUP($F143,PROFA,2,0)=2,1,0)</formula>
    </cfRule>
    <cfRule type="expression" dxfId="561" priority="693">
      <formula>IF(VLOOKUP($F143,PROFA,2,0)=3,1,0)</formula>
    </cfRule>
    <cfRule type="expression" dxfId="560" priority="694">
      <formula>IF(VLOOKUP($F143,PROFA,2,0)=4,1,0)</formula>
    </cfRule>
    <cfRule type="expression" dxfId="559" priority="695">
      <formula>IF(VLOOKUP($F143,PROFA,2,0)=5,1,0)</formula>
    </cfRule>
    <cfRule type="expression" dxfId="558" priority="696">
      <formula>IF(VLOOKUP($F143,PROFA,2,0)=6,1,0)</formula>
    </cfRule>
    <cfRule type="expression" dxfId="557" priority="697">
      <formula>IF(VLOOKUP($F143,PROFA,2,0)=7,1,0)</formula>
    </cfRule>
    <cfRule type="expression" dxfId="556" priority="698">
      <formula>IF(VLOOKUP($F143,PROFA,2,0)=8,1,0)</formula>
    </cfRule>
  </conditionalFormatting>
  <conditionalFormatting sqref="F146">
    <cfRule type="expression" dxfId="555" priority="683">
      <formula>IF(VLOOKUP($F146,PROFA,2,0)=1,1,0)</formula>
    </cfRule>
    <cfRule type="expression" dxfId="554" priority="684">
      <formula>IF(VLOOKUP($F146,PROFA,2,0)=2,1,0)</formula>
    </cfRule>
    <cfRule type="expression" dxfId="553" priority="685">
      <formula>IF(VLOOKUP($F146,PROFA,2,0)=3,1,0)</formula>
    </cfRule>
    <cfRule type="expression" dxfId="552" priority="686">
      <formula>IF(VLOOKUP($F146,PROFA,2,0)=4,1,0)</formula>
    </cfRule>
    <cfRule type="expression" dxfId="551" priority="687">
      <formula>IF(VLOOKUP($F146,PROFA,2,0)=5,1,0)</formula>
    </cfRule>
    <cfRule type="expression" dxfId="550" priority="688">
      <formula>IF(VLOOKUP($F146,PROFA,2,0)=6,1,0)</formula>
    </cfRule>
    <cfRule type="expression" dxfId="549" priority="689">
      <formula>IF(VLOOKUP($F146,PROFA,2,0)=7,1,0)</formula>
    </cfRule>
    <cfRule type="expression" dxfId="548" priority="690">
      <formula>IF(VLOOKUP($F146,PROFA,2,0)=8,1,0)</formula>
    </cfRule>
  </conditionalFormatting>
  <conditionalFormatting sqref="F147">
    <cfRule type="expression" dxfId="547" priority="675">
      <formula>IF(VLOOKUP($F147,PROFA,2,0)=1,1,0)</formula>
    </cfRule>
    <cfRule type="expression" dxfId="546" priority="676">
      <formula>IF(VLOOKUP($F147,PROFA,2,0)=2,1,0)</formula>
    </cfRule>
    <cfRule type="expression" dxfId="545" priority="677">
      <formula>IF(VLOOKUP($F147,PROFA,2,0)=3,1,0)</formula>
    </cfRule>
    <cfRule type="expression" dxfId="544" priority="678">
      <formula>IF(VLOOKUP($F147,PROFA,2,0)=4,1,0)</formula>
    </cfRule>
    <cfRule type="expression" dxfId="543" priority="679">
      <formula>IF(VLOOKUP($F147,PROFA,2,0)=5,1,0)</formula>
    </cfRule>
    <cfRule type="expression" dxfId="542" priority="680">
      <formula>IF(VLOOKUP($F147,PROFA,2,0)=6,1,0)</formula>
    </cfRule>
    <cfRule type="expression" dxfId="541" priority="681">
      <formula>IF(VLOOKUP($F147,PROFA,2,0)=7,1,0)</formula>
    </cfRule>
    <cfRule type="expression" dxfId="540" priority="682">
      <formula>IF(VLOOKUP($F147,PROFA,2,0)=8,1,0)</formula>
    </cfRule>
  </conditionalFormatting>
  <conditionalFormatting sqref="F148">
    <cfRule type="expression" dxfId="539" priority="667">
      <formula>IF(VLOOKUP($F148,PROFA,2,0)=1,1,0)</formula>
    </cfRule>
    <cfRule type="expression" dxfId="538" priority="668">
      <formula>IF(VLOOKUP($F148,PROFA,2,0)=2,1,0)</formula>
    </cfRule>
    <cfRule type="expression" dxfId="537" priority="669">
      <formula>IF(VLOOKUP($F148,PROFA,2,0)=3,1,0)</formula>
    </cfRule>
    <cfRule type="expression" dxfId="536" priority="670">
      <formula>IF(VLOOKUP($F148,PROFA,2,0)=4,1,0)</formula>
    </cfRule>
    <cfRule type="expression" dxfId="535" priority="671">
      <formula>IF(VLOOKUP($F148,PROFA,2,0)=5,1,0)</formula>
    </cfRule>
    <cfRule type="expression" dxfId="534" priority="672">
      <formula>IF(VLOOKUP($F148,PROFA,2,0)=6,1,0)</formula>
    </cfRule>
    <cfRule type="expression" dxfId="533" priority="673">
      <formula>IF(VLOOKUP($F148,PROFA,2,0)=7,1,0)</formula>
    </cfRule>
    <cfRule type="expression" dxfId="532" priority="674">
      <formula>IF(VLOOKUP($F148,PROFA,2,0)=8,1,0)</formula>
    </cfRule>
  </conditionalFormatting>
  <conditionalFormatting sqref="F151">
    <cfRule type="expression" dxfId="531" priority="659">
      <formula>IF(VLOOKUP($F151,PROFA,2,0)=1,1,0)</formula>
    </cfRule>
    <cfRule type="expression" dxfId="530" priority="660">
      <formula>IF(VLOOKUP($F151,PROFA,2,0)=2,1,0)</formula>
    </cfRule>
    <cfRule type="expression" dxfId="529" priority="661">
      <formula>IF(VLOOKUP($F151,PROFA,2,0)=3,1,0)</formula>
    </cfRule>
    <cfRule type="expression" dxfId="528" priority="662">
      <formula>IF(VLOOKUP($F151,PROFA,2,0)=4,1,0)</formula>
    </cfRule>
    <cfRule type="expression" dxfId="527" priority="663">
      <formula>IF(VLOOKUP($F151,PROFA,2,0)=5,1,0)</formula>
    </cfRule>
    <cfRule type="expression" dxfId="526" priority="664">
      <formula>IF(VLOOKUP($F151,PROFA,2,0)=6,1,0)</formula>
    </cfRule>
    <cfRule type="expression" dxfId="525" priority="665">
      <formula>IF(VLOOKUP($F151,PROFA,2,0)=7,1,0)</formula>
    </cfRule>
    <cfRule type="expression" dxfId="524" priority="666">
      <formula>IF(VLOOKUP($F151,PROFA,2,0)=8,1,0)</formula>
    </cfRule>
  </conditionalFormatting>
  <conditionalFormatting sqref="F153">
    <cfRule type="expression" dxfId="523" priority="651">
      <formula>IF(VLOOKUP($F153,PROFA,2,0)=1,1,0)</formula>
    </cfRule>
    <cfRule type="expression" dxfId="522" priority="652">
      <formula>IF(VLOOKUP($F153,PROFA,2,0)=2,1,0)</formula>
    </cfRule>
    <cfRule type="expression" dxfId="521" priority="653">
      <formula>IF(VLOOKUP($F153,PROFA,2,0)=3,1,0)</formula>
    </cfRule>
    <cfRule type="expression" dxfId="520" priority="654">
      <formula>IF(VLOOKUP($F153,PROFA,2,0)=4,1,0)</formula>
    </cfRule>
    <cfRule type="expression" dxfId="519" priority="655">
      <formula>IF(VLOOKUP($F153,PROFA,2,0)=5,1,0)</formula>
    </cfRule>
    <cfRule type="expression" dxfId="518" priority="656">
      <formula>IF(VLOOKUP($F153,PROFA,2,0)=6,1,0)</formula>
    </cfRule>
    <cfRule type="expression" dxfId="517" priority="657">
      <formula>IF(VLOOKUP($F153,PROFA,2,0)=7,1,0)</formula>
    </cfRule>
    <cfRule type="expression" dxfId="516" priority="658">
      <formula>IF(VLOOKUP($F153,PROFA,2,0)=8,1,0)</formula>
    </cfRule>
  </conditionalFormatting>
  <conditionalFormatting sqref="F154">
    <cfRule type="expression" dxfId="515" priority="643">
      <formula>IF(VLOOKUP($F154,PROFA,2,0)=1,1,0)</formula>
    </cfRule>
    <cfRule type="expression" dxfId="514" priority="644">
      <formula>IF(VLOOKUP($F154,PROFA,2,0)=2,1,0)</formula>
    </cfRule>
    <cfRule type="expression" dxfId="513" priority="645">
      <formula>IF(VLOOKUP($F154,PROFA,2,0)=3,1,0)</formula>
    </cfRule>
    <cfRule type="expression" dxfId="512" priority="646">
      <formula>IF(VLOOKUP($F154,PROFA,2,0)=4,1,0)</formula>
    </cfRule>
    <cfRule type="expression" dxfId="511" priority="647">
      <formula>IF(VLOOKUP($F154,PROFA,2,0)=5,1,0)</formula>
    </cfRule>
    <cfRule type="expression" dxfId="510" priority="648">
      <formula>IF(VLOOKUP($F154,PROFA,2,0)=6,1,0)</formula>
    </cfRule>
    <cfRule type="expression" dxfId="509" priority="649">
      <formula>IF(VLOOKUP($F154,PROFA,2,0)=7,1,0)</formula>
    </cfRule>
    <cfRule type="expression" dxfId="508" priority="650">
      <formula>IF(VLOOKUP($F154,PROFA,2,0)=8,1,0)</formula>
    </cfRule>
  </conditionalFormatting>
  <conditionalFormatting sqref="F156">
    <cfRule type="expression" dxfId="507" priority="635">
      <formula>IF(VLOOKUP($F156,PROFA,2,0)=1,1,0)</formula>
    </cfRule>
    <cfRule type="expression" dxfId="506" priority="636">
      <formula>IF(VLOOKUP($F156,PROFA,2,0)=2,1,0)</formula>
    </cfRule>
    <cfRule type="expression" dxfId="505" priority="637">
      <formula>IF(VLOOKUP($F156,PROFA,2,0)=3,1,0)</formula>
    </cfRule>
    <cfRule type="expression" dxfId="504" priority="638">
      <formula>IF(VLOOKUP($F156,PROFA,2,0)=4,1,0)</formula>
    </cfRule>
    <cfRule type="expression" dxfId="503" priority="639">
      <formula>IF(VLOOKUP($F156,PROFA,2,0)=5,1,0)</formula>
    </cfRule>
    <cfRule type="expression" dxfId="502" priority="640">
      <formula>IF(VLOOKUP($F156,PROFA,2,0)=6,1,0)</formula>
    </cfRule>
    <cfRule type="expression" dxfId="501" priority="641">
      <formula>IF(VLOOKUP($F156,PROFA,2,0)=7,1,0)</formula>
    </cfRule>
    <cfRule type="expression" dxfId="500" priority="642">
      <formula>IF(VLOOKUP($F156,PROFA,2,0)=8,1,0)</formula>
    </cfRule>
  </conditionalFormatting>
  <conditionalFormatting sqref="F162">
    <cfRule type="expression" dxfId="499" priority="611">
      <formula>IF(VLOOKUP($F162,PROFA,2,0)=1,1,0)</formula>
    </cfRule>
    <cfRule type="expression" dxfId="498" priority="612">
      <formula>IF(VLOOKUP($F162,PROFA,2,0)=2,1,0)</formula>
    </cfRule>
    <cfRule type="expression" dxfId="497" priority="613">
      <formula>IF(VLOOKUP($F162,PROFA,2,0)=3,1,0)</formula>
    </cfRule>
    <cfRule type="expression" dxfId="496" priority="614">
      <formula>IF(VLOOKUP($F162,PROFA,2,0)=4,1,0)</formula>
    </cfRule>
    <cfRule type="expression" dxfId="495" priority="615">
      <formula>IF(VLOOKUP($F162,PROFA,2,0)=5,1,0)</formula>
    </cfRule>
    <cfRule type="expression" dxfId="494" priority="616">
      <formula>IF(VLOOKUP($F162,PROFA,2,0)=6,1,0)</formula>
    </cfRule>
    <cfRule type="expression" dxfId="493" priority="617">
      <formula>IF(VLOOKUP($F162,PROFA,2,0)=7,1,0)</formula>
    </cfRule>
    <cfRule type="expression" dxfId="492" priority="618">
      <formula>IF(VLOOKUP($F162,PROFA,2,0)=8,1,0)</formula>
    </cfRule>
  </conditionalFormatting>
  <conditionalFormatting sqref="F164">
    <cfRule type="expression" dxfId="491" priority="603">
      <formula>IF(VLOOKUP($F164,PROFA,2,0)=1,1,0)</formula>
    </cfRule>
    <cfRule type="expression" dxfId="490" priority="604">
      <formula>IF(VLOOKUP($F164,PROFA,2,0)=2,1,0)</formula>
    </cfRule>
    <cfRule type="expression" dxfId="489" priority="605">
      <formula>IF(VLOOKUP($F164,PROFA,2,0)=3,1,0)</formula>
    </cfRule>
    <cfRule type="expression" dxfId="488" priority="606">
      <formula>IF(VLOOKUP($F164,PROFA,2,0)=4,1,0)</formula>
    </cfRule>
    <cfRule type="expression" dxfId="487" priority="607">
      <formula>IF(VLOOKUP($F164,PROFA,2,0)=5,1,0)</formula>
    </cfRule>
    <cfRule type="expression" dxfId="486" priority="608">
      <formula>IF(VLOOKUP($F164,PROFA,2,0)=6,1,0)</formula>
    </cfRule>
    <cfRule type="expression" dxfId="485" priority="609">
      <formula>IF(VLOOKUP($F164,PROFA,2,0)=7,1,0)</formula>
    </cfRule>
    <cfRule type="expression" dxfId="484" priority="610">
      <formula>IF(VLOOKUP($F164,PROFA,2,0)=8,1,0)</formula>
    </cfRule>
  </conditionalFormatting>
  <conditionalFormatting sqref="F166">
    <cfRule type="expression" dxfId="483" priority="595">
      <formula>IF(VLOOKUP($F166,PROFA,2,0)=1,1,0)</formula>
    </cfRule>
    <cfRule type="expression" dxfId="482" priority="596">
      <formula>IF(VLOOKUP($F166,PROFA,2,0)=2,1,0)</formula>
    </cfRule>
    <cfRule type="expression" dxfId="481" priority="597">
      <formula>IF(VLOOKUP($F166,PROFA,2,0)=3,1,0)</formula>
    </cfRule>
    <cfRule type="expression" dxfId="480" priority="598">
      <formula>IF(VLOOKUP($F166,PROFA,2,0)=4,1,0)</formula>
    </cfRule>
    <cfRule type="expression" dxfId="479" priority="599">
      <formula>IF(VLOOKUP($F166,PROFA,2,0)=5,1,0)</formula>
    </cfRule>
    <cfRule type="expression" dxfId="478" priority="600">
      <formula>IF(VLOOKUP($F166,PROFA,2,0)=6,1,0)</formula>
    </cfRule>
    <cfRule type="expression" dxfId="477" priority="601">
      <formula>IF(VLOOKUP($F166,PROFA,2,0)=7,1,0)</formula>
    </cfRule>
    <cfRule type="expression" dxfId="476" priority="602">
      <formula>IF(VLOOKUP($F166,PROFA,2,0)=8,1,0)</formula>
    </cfRule>
  </conditionalFormatting>
  <conditionalFormatting sqref="F167">
    <cfRule type="expression" dxfId="475" priority="587">
      <formula>IF(VLOOKUP($F167,PROFA,2,0)=1,1,0)</formula>
    </cfRule>
    <cfRule type="expression" dxfId="474" priority="588">
      <formula>IF(VLOOKUP($F167,PROFA,2,0)=2,1,0)</formula>
    </cfRule>
    <cfRule type="expression" dxfId="473" priority="589">
      <formula>IF(VLOOKUP($F167,PROFA,2,0)=3,1,0)</formula>
    </cfRule>
    <cfRule type="expression" dxfId="472" priority="590">
      <formula>IF(VLOOKUP($F167,PROFA,2,0)=4,1,0)</formula>
    </cfRule>
    <cfRule type="expression" dxfId="471" priority="591">
      <formula>IF(VLOOKUP($F167,PROFA,2,0)=5,1,0)</formula>
    </cfRule>
    <cfRule type="expression" dxfId="470" priority="592">
      <formula>IF(VLOOKUP($F167,PROFA,2,0)=6,1,0)</formula>
    </cfRule>
    <cfRule type="expression" dxfId="469" priority="593">
      <formula>IF(VLOOKUP($F167,PROFA,2,0)=7,1,0)</formula>
    </cfRule>
    <cfRule type="expression" dxfId="468" priority="594">
      <formula>IF(VLOOKUP($F167,PROFA,2,0)=8,1,0)</formula>
    </cfRule>
  </conditionalFormatting>
  <conditionalFormatting sqref="F170">
    <cfRule type="expression" dxfId="467" priority="579">
      <formula>IF(VLOOKUP($F170,PROFA,2,0)=1,1,0)</formula>
    </cfRule>
    <cfRule type="expression" dxfId="466" priority="580">
      <formula>IF(VLOOKUP($F170,PROFA,2,0)=2,1,0)</formula>
    </cfRule>
    <cfRule type="expression" dxfId="465" priority="581">
      <formula>IF(VLOOKUP($F170,PROFA,2,0)=3,1,0)</formula>
    </cfRule>
    <cfRule type="expression" dxfId="464" priority="582">
      <formula>IF(VLOOKUP($F170,PROFA,2,0)=4,1,0)</formula>
    </cfRule>
    <cfRule type="expression" dxfId="463" priority="583">
      <formula>IF(VLOOKUP($F170,PROFA,2,0)=5,1,0)</formula>
    </cfRule>
    <cfRule type="expression" dxfId="462" priority="584">
      <formula>IF(VLOOKUP($F170,PROFA,2,0)=6,1,0)</formula>
    </cfRule>
    <cfRule type="expression" dxfId="461" priority="585">
      <formula>IF(VLOOKUP($F170,PROFA,2,0)=7,1,0)</formula>
    </cfRule>
    <cfRule type="expression" dxfId="460" priority="586">
      <formula>IF(VLOOKUP($F170,PROFA,2,0)=8,1,0)</formula>
    </cfRule>
  </conditionalFormatting>
  <conditionalFormatting sqref="F173">
    <cfRule type="expression" dxfId="459" priority="571">
      <formula>IF(VLOOKUP($F173,PROFA,2,0)=1,1,0)</formula>
    </cfRule>
    <cfRule type="expression" dxfId="458" priority="572">
      <formula>IF(VLOOKUP($F173,PROFA,2,0)=2,1,0)</formula>
    </cfRule>
    <cfRule type="expression" dxfId="457" priority="573">
      <formula>IF(VLOOKUP($F173,PROFA,2,0)=3,1,0)</formula>
    </cfRule>
    <cfRule type="expression" dxfId="456" priority="574">
      <formula>IF(VLOOKUP($F173,PROFA,2,0)=4,1,0)</formula>
    </cfRule>
    <cfRule type="expression" dxfId="455" priority="575">
      <formula>IF(VLOOKUP($F173,PROFA,2,0)=5,1,0)</formula>
    </cfRule>
    <cfRule type="expression" dxfId="454" priority="576">
      <formula>IF(VLOOKUP($F173,PROFA,2,0)=6,1,0)</formula>
    </cfRule>
    <cfRule type="expression" dxfId="453" priority="577">
      <formula>IF(VLOOKUP($F173,PROFA,2,0)=7,1,0)</formula>
    </cfRule>
    <cfRule type="expression" dxfId="452" priority="578">
      <formula>IF(VLOOKUP($F173,PROFA,2,0)=8,1,0)</formula>
    </cfRule>
  </conditionalFormatting>
  <conditionalFormatting sqref="F174">
    <cfRule type="expression" dxfId="451" priority="555">
      <formula>IF(VLOOKUP($F174,PROFA,2,0)=1,1,0)</formula>
    </cfRule>
    <cfRule type="expression" dxfId="450" priority="556">
      <formula>IF(VLOOKUP($F174,PROFA,2,0)=2,1,0)</formula>
    </cfRule>
    <cfRule type="expression" dxfId="449" priority="557">
      <formula>IF(VLOOKUP($F174,PROFA,2,0)=3,1,0)</formula>
    </cfRule>
    <cfRule type="expression" dxfId="448" priority="558">
      <formula>IF(VLOOKUP($F174,PROFA,2,0)=4,1,0)</formula>
    </cfRule>
    <cfRule type="expression" dxfId="447" priority="559">
      <formula>IF(VLOOKUP($F174,PROFA,2,0)=5,1,0)</formula>
    </cfRule>
    <cfRule type="expression" dxfId="446" priority="560">
      <formula>IF(VLOOKUP($F174,PROFA,2,0)=6,1,0)</formula>
    </cfRule>
    <cfRule type="expression" dxfId="445" priority="561">
      <formula>IF(VLOOKUP($F174,PROFA,2,0)=7,1,0)</formula>
    </cfRule>
    <cfRule type="expression" dxfId="444" priority="562">
      <formula>IF(VLOOKUP($F174,PROFA,2,0)=8,1,0)</formula>
    </cfRule>
  </conditionalFormatting>
  <conditionalFormatting sqref="F175">
    <cfRule type="expression" dxfId="443" priority="547">
      <formula>IF(VLOOKUP($F175,PROFA,2,0)=1,1,0)</formula>
    </cfRule>
    <cfRule type="expression" dxfId="442" priority="548">
      <formula>IF(VLOOKUP($F175,PROFA,2,0)=2,1,0)</formula>
    </cfRule>
    <cfRule type="expression" dxfId="441" priority="549">
      <formula>IF(VLOOKUP($F175,PROFA,2,0)=3,1,0)</formula>
    </cfRule>
    <cfRule type="expression" dxfId="440" priority="550">
      <formula>IF(VLOOKUP($F175,PROFA,2,0)=4,1,0)</formula>
    </cfRule>
    <cfRule type="expression" dxfId="439" priority="551">
      <formula>IF(VLOOKUP($F175,PROFA,2,0)=5,1,0)</formula>
    </cfRule>
    <cfRule type="expression" dxfId="438" priority="552">
      <formula>IF(VLOOKUP($F175,PROFA,2,0)=6,1,0)</formula>
    </cfRule>
    <cfRule type="expression" dxfId="437" priority="553">
      <formula>IF(VLOOKUP($F175,PROFA,2,0)=7,1,0)</formula>
    </cfRule>
    <cfRule type="expression" dxfId="436" priority="554">
      <formula>IF(VLOOKUP($F175,PROFA,2,0)=8,1,0)</formula>
    </cfRule>
  </conditionalFormatting>
  <conditionalFormatting sqref="F178">
    <cfRule type="expression" dxfId="435" priority="539">
      <formula>IF(VLOOKUP($F178,PROFA,2,0)=1,1,0)</formula>
    </cfRule>
    <cfRule type="expression" dxfId="434" priority="540">
      <formula>IF(VLOOKUP($F178,PROFA,2,0)=2,1,0)</formula>
    </cfRule>
    <cfRule type="expression" dxfId="433" priority="541">
      <formula>IF(VLOOKUP($F178,PROFA,2,0)=3,1,0)</formula>
    </cfRule>
    <cfRule type="expression" dxfId="432" priority="542">
      <formula>IF(VLOOKUP($F178,PROFA,2,0)=4,1,0)</formula>
    </cfRule>
    <cfRule type="expression" dxfId="431" priority="543">
      <formula>IF(VLOOKUP($F178,PROFA,2,0)=5,1,0)</formula>
    </cfRule>
    <cfRule type="expression" dxfId="430" priority="544">
      <formula>IF(VLOOKUP($F178,PROFA,2,0)=6,1,0)</formula>
    </cfRule>
    <cfRule type="expression" dxfId="429" priority="545">
      <formula>IF(VLOOKUP($F178,PROFA,2,0)=7,1,0)</formula>
    </cfRule>
    <cfRule type="expression" dxfId="428" priority="546">
      <formula>IF(VLOOKUP($F178,PROFA,2,0)=8,1,0)</formula>
    </cfRule>
  </conditionalFormatting>
  <conditionalFormatting sqref="F179">
    <cfRule type="expression" dxfId="427" priority="531">
      <formula>IF(VLOOKUP($F179,PROFA,2,0)=1,1,0)</formula>
    </cfRule>
    <cfRule type="expression" dxfId="426" priority="532">
      <formula>IF(VLOOKUP($F179,PROFA,2,0)=2,1,0)</formula>
    </cfRule>
    <cfRule type="expression" dxfId="425" priority="533">
      <formula>IF(VLOOKUP($F179,PROFA,2,0)=3,1,0)</formula>
    </cfRule>
    <cfRule type="expression" dxfId="424" priority="534">
      <formula>IF(VLOOKUP($F179,PROFA,2,0)=4,1,0)</formula>
    </cfRule>
    <cfRule type="expression" dxfId="423" priority="535">
      <formula>IF(VLOOKUP($F179,PROFA,2,0)=5,1,0)</formula>
    </cfRule>
    <cfRule type="expression" dxfId="422" priority="536">
      <formula>IF(VLOOKUP($F179,PROFA,2,0)=6,1,0)</formula>
    </cfRule>
    <cfRule type="expression" dxfId="421" priority="537">
      <formula>IF(VLOOKUP($F179,PROFA,2,0)=7,1,0)</formula>
    </cfRule>
    <cfRule type="expression" dxfId="420" priority="538">
      <formula>IF(VLOOKUP($F179,PROFA,2,0)=8,1,0)</formula>
    </cfRule>
  </conditionalFormatting>
  <conditionalFormatting sqref="F20">
    <cfRule type="expression" dxfId="419" priority="522">
      <formula>IF(VLOOKUP($F20,PROFA,2,0)=1,1,0)</formula>
    </cfRule>
    <cfRule type="expression" dxfId="418" priority="523">
      <formula>IF(VLOOKUP($F20,PROFA,2,0)=2,1,0)</formula>
    </cfRule>
    <cfRule type="expression" dxfId="417" priority="524">
      <formula>IF(VLOOKUP($F20,PROFA,2,0)=3,1,0)</formula>
    </cfRule>
    <cfRule type="expression" dxfId="416" priority="525">
      <formula>IF(VLOOKUP($F20,PROFA,2,0)=4,1,0)</formula>
    </cfRule>
    <cfRule type="expression" dxfId="415" priority="526">
      <formula>IF(VLOOKUP($F20,PROFA,2,0)=5,1,0)</formula>
    </cfRule>
    <cfRule type="expression" dxfId="414" priority="527">
      <formula>IF(VLOOKUP($F20,PROFA,2,0)=6,1,0)</formula>
    </cfRule>
    <cfRule type="expression" dxfId="413" priority="528">
      <formula>IF(VLOOKUP($F20,PROFA,2,0)=7,1,0)</formula>
    </cfRule>
    <cfRule type="expression" dxfId="412" priority="529">
      <formula>IF(VLOOKUP($F20,PROFA,2,0)=8,1,0)</formula>
    </cfRule>
    <cfRule type="expression" dxfId="411" priority="530">
      <formula>IF(VLOOKUP($F20,PROFA,2,0)=9,1,0)</formula>
    </cfRule>
  </conditionalFormatting>
  <conditionalFormatting sqref="F22">
    <cfRule type="expression" dxfId="410" priority="513">
      <formula>IF(VLOOKUP($F22,PROFA,2,0)=1,1,0)</formula>
    </cfRule>
    <cfRule type="expression" dxfId="409" priority="514">
      <formula>IF(VLOOKUP($F22,PROFA,2,0)=2,1,0)</formula>
    </cfRule>
    <cfRule type="expression" dxfId="408" priority="515">
      <formula>IF(VLOOKUP($F22,PROFA,2,0)=3,1,0)</formula>
    </cfRule>
    <cfRule type="expression" dxfId="407" priority="516">
      <formula>IF(VLOOKUP($F22,PROFA,2,0)=4,1,0)</formula>
    </cfRule>
    <cfRule type="expression" dxfId="406" priority="517">
      <formula>IF(VLOOKUP($F22,PROFA,2,0)=5,1,0)</formula>
    </cfRule>
    <cfRule type="expression" dxfId="405" priority="518">
      <formula>IF(VLOOKUP($F22,PROFA,2,0)=6,1,0)</formula>
    </cfRule>
    <cfRule type="expression" dxfId="404" priority="519">
      <formula>IF(VLOOKUP($F22,PROFA,2,0)=7,1,0)</formula>
    </cfRule>
    <cfRule type="expression" dxfId="403" priority="520">
      <formula>IF(VLOOKUP($F22,PROFA,2,0)=8,1,0)</formula>
    </cfRule>
    <cfRule type="expression" dxfId="402" priority="521">
      <formula>IF(VLOOKUP($F22,PROFA,2,0)=9,1,0)</formula>
    </cfRule>
  </conditionalFormatting>
  <conditionalFormatting sqref="F24">
    <cfRule type="expression" dxfId="401" priority="504">
      <formula>IF(VLOOKUP($F24,PROFA,2,0)=1,1,0)</formula>
    </cfRule>
    <cfRule type="expression" dxfId="400" priority="505">
      <formula>IF(VLOOKUP($F24,PROFA,2,0)=2,1,0)</formula>
    </cfRule>
    <cfRule type="expression" dxfId="399" priority="506">
      <formula>IF(VLOOKUP($F24,PROFA,2,0)=3,1,0)</formula>
    </cfRule>
    <cfRule type="expression" dxfId="398" priority="507">
      <formula>IF(VLOOKUP($F24,PROFA,2,0)=4,1,0)</formula>
    </cfRule>
    <cfRule type="expression" dxfId="397" priority="508">
      <formula>IF(VLOOKUP($F24,PROFA,2,0)=5,1,0)</formula>
    </cfRule>
    <cfRule type="expression" dxfId="396" priority="509">
      <formula>IF(VLOOKUP($F24,PROFA,2,0)=6,1,0)</formula>
    </cfRule>
    <cfRule type="expression" dxfId="395" priority="510">
      <formula>IF(VLOOKUP($F24,PROFA,2,0)=7,1,0)</formula>
    </cfRule>
    <cfRule type="expression" dxfId="394" priority="511">
      <formula>IF(VLOOKUP($F24,PROFA,2,0)=8,1,0)</formula>
    </cfRule>
    <cfRule type="expression" dxfId="393" priority="512">
      <formula>IF(VLOOKUP($F24,PROFA,2,0)=9,1,0)</formula>
    </cfRule>
  </conditionalFormatting>
  <conditionalFormatting sqref="F27">
    <cfRule type="expression" dxfId="392" priority="495">
      <formula>IF(VLOOKUP($F27,PROFA,2,0)=1,1,0)</formula>
    </cfRule>
    <cfRule type="expression" dxfId="391" priority="496">
      <formula>IF(VLOOKUP($F27,PROFA,2,0)=2,1,0)</formula>
    </cfRule>
    <cfRule type="expression" dxfId="390" priority="497">
      <formula>IF(VLOOKUP($F27,PROFA,2,0)=3,1,0)</formula>
    </cfRule>
    <cfRule type="expression" dxfId="389" priority="498">
      <formula>IF(VLOOKUP($F27,PROFA,2,0)=4,1,0)</formula>
    </cfRule>
    <cfRule type="expression" dxfId="388" priority="499">
      <formula>IF(VLOOKUP($F27,PROFA,2,0)=5,1,0)</formula>
    </cfRule>
    <cfRule type="expression" dxfId="387" priority="500">
      <formula>IF(VLOOKUP($F27,PROFA,2,0)=6,1,0)</formula>
    </cfRule>
    <cfRule type="expression" dxfId="386" priority="501">
      <formula>IF(VLOOKUP($F27,PROFA,2,0)=7,1,0)</formula>
    </cfRule>
    <cfRule type="expression" dxfId="385" priority="502">
      <formula>IF(VLOOKUP($F27,PROFA,2,0)=8,1,0)</formula>
    </cfRule>
    <cfRule type="expression" dxfId="384" priority="503">
      <formula>IF(VLOOKUP($F27,PROFA,2,0)=9,1,0)</formula>
    </cfRule>
  </conditionalFormatting>
  <conditionalFormatting sqref="F34">
    <cfRule type="expression" dxfId="383" priority="486">
      <formula>IF(VLOOKUP($F34,PROFA,2,0)=1,1,0)</formula>
    </cfRule>
    <cfRule type="expression" dxfId="382" priority="487">
      <formula>IF(VLOOKUP($F34,PROFA,2,0)=2,1,0)</formula>
    </cfRule>
    <cfRule type="expression" dxfId="381" priority="488">
      <formula>IF(VLOOKUP($F34,PROFA,2,0)=3,1,0)</formula>
    </cfRule>
    <cfRule type="expression" dxfId="380" priority="489">
      <formula>IF(VLOOKUP($F34,PROFA,2,0)=4,1,0)</formula>
    </cfRule>
    <cfRule type="expression" dxfId="379" priority="490">
      <formula>IF(VLOOKUP($F34,PROFA,2,0)=5,1,0)</formula>
    </cfRule>
    <cfRule type="expression" dxfId="378" priority="491">
      <formula>IF(VLOOKUP($F34,PROFA,2,0)=6,1,0)</formula>
    </cfRule>
    <cfRule type="expression" dxfId="377" priority="492">
      <formula>IF(VLOOKUP($F34,PROFA,2,0)=7,1,0)</formula>
    </cfRule>
    <cfRule type="expression" dxfId="376" priority="493">
      <formula>IF(VLOOKUP($F34,PROFA,2,0)=8,1,0)</formula>
    </cfRule>
    <cfRule type="expression" dxfId="375" priority="494">
      <formula>IF(VLOOKUP($F34,PROFA,2,0)=9,1,0)</formula>
    </cfRule>
  </conditionalFormatting>
  <conditionalFormatting sqref="F42">
    <cfRule type="expression" dxfId="374" priority="477">
      <formula>IF(VLOOKUP($F42,PROFA,2,0)=1,1,0)</formula>
    </cfRule>
    <cfRule type="expression" dxfId="373" priority="478">
      <formula>IF(VLOOKUP($F42,PROFA,2,0)=2,1,0)</formula>
    </cfRule>
    <cfRule type="expression" dxfId="372" priority="479">
      <formula>IF(VLOOKUP($F42,PROFA,2,0)=3,1,0)</formula>
    </cfRule>
    <cfRule type="expression" dxfId="371" priority="480">
      <formula>IF(VLOOKUP($F42,PROFA,2,0)=4,1,0)</formula>
    </cfRule>
    <cfRule type="expression" dxfId="370" priority="481">
      <formula>IF(VLOOKUP($F42,PROFA,2,0)=5,1,0)</formula>
    </cfRule>
    <cfRule type="expression" dxfId="369" priority="482">
      <formula>IF(VLOOKUP($F42,PROFA,2,0)=6,1,0)</formula>
    </cfRule>
    <cfRule type="expression" dxfId="368" priority="483">
      <formula>IF(VLOOKUP($F42,PROFA,2,0)=7,1,0)</formula>
    </cfRule>
    <cfRule type="expression" dxfId="367" priority="484">
      <formula>IF(VLOOKUP($F42,PROFA,2,0)=8,1,0)</formula>
    </cfRule>
    <cfRule type="expression" dxfId="366" priority="485">
      <formula>IF(VLOOKUP($F42,PROFA,2,0)=9,1,0)</formula>
    </cfRule>
  </conditionalFormatting>
  <conditionalFormatting sqref="F48">
    <cfRule type="expression" dxfId="365" priority="468">
      <formula>IF(VLOOKUP($F48,PROFA,2,0)=1,1,0)</formula>
    </cfRule>
    <cfRule type="expression" dxfId="364" priority="469">
      <formula>IF(VLOOKUP($F48,PROFA,2,0)=2,1,0)</formula>
    </cfRule>
    <cfRule type="expression" dxfId="363" priority="470">
      <formula>IF(VLOOKUP($F48,PROFA,2,0)=3,1,0)</formula>
    </cfRule>
    <cfRule type="expression" dxfId="362" priority="471">
      <formula>IF(VLOOKUP($F48,PROFA,2,0)=4,1,0)</formula>
    </cfRule>
    <cfRule type="expression" dxfId="361" priority="472">
      <formula>IF(VLOOKUP($F48,PROFA,2,0)=5,1,0)</formula>
    </cfRule>
    <cfRule type="expression" dxfId="360" priority="473">
      <formula>IF(VLOOKUP($F48,PROFA,2,0)=6,1,0)</formula>
    </cfRule>
    <cfRule type="expression" dxfId="359" priority="474">
      <formula>IF(VLOOKUP($F48,PROFA,2,0)=7,1,0)</formula>
    </cfRule>
    <cfRule type="expression" dxfId="358" priority="475">
      <formula>IF(VLOOKUP($F48,PROFA,2,0)=8,1,0)</formula>
    </cfRule>
    <cfRule type="expression" dxfId="357" priority="476">
      <formula>IF(VLOOKUP($F48,PROFA,2,0)=9,1,0)</formula>
    </cfRule>
  </conditionalFormatting>
  <conditionalFormatting sqref="F64">
    <cfRule type="expression" dxfId="356" priority="459">
      <formula>IF(VLOOKUP($F64,PROFA,2,0)=1,1,0)</formula>
    </cfRule>
    <cfRule type="expression" dxfId="355" priority="460">
      <formula>IF(VLOOKUP($F64,PROFA,2,0)=2,1,0)</formula>
    </cfRule>
    <cfRule type="expression" dxfId="354" priority="461">
      <formula>IF(VLOOKUP($F64,PROFA,2,0)=3,1,0)</formula>
    </cfRule>
    <cfRule type="expression" dxfId="353" priority="462">
      <formula>IF(VLOOKUP($F64,PROFA,2,0)=4,1,0)</formula>
    </cfRule>
    <cfRule type="expression" dxfId="352" priority="463">
      <formula>IF(VLOOKUP($F64,PROFA,2,0)=5,1,0)</formula>
    </cfRule>
    <cfRule type="expression" dxfId="351" priority="464">
      <formula>IF(VLOOKUP($F64,PROFA,2,0)=6,1,0)</formula>
    </cfRule>
    <cfRule type="expression" dxfId="350" priority="465">
      <formula>IF(VLOOKUP($F64,PROFA,2,0)=7,1,0)</formula>
    </cfRule>
    <cfRule type="expression" dxfId="349" priority="466">
      <formula>IF(VLOOKUP($F64,PROFA,2,0)=8,1,0)</formula>
    </cfRule>
    <cfRule type="expression" dxfId="348" priority="467">
      <formula>IF(VLOOKUP($F64,PROFA,2,0)=9,1,0)</formula>
    </cfRule>
  </conditionalFormatting>
  <conditionalFormatting sqref="F71:F72">
    <cfRule type="expression" dxfId="347" priority="450">
      <formula>IF(VLOOKUP($F71,PROFA,2,0)=1,1,0)</formula>
    </cfRule>
    <cfRule type="expression" dxfId="346" priority="451">
      <formula>IF(VLOOKUP($F71,PROFA,2,0)=2,1,0)</formula>
    </cfRule>
    <cfRule type="expression" dxfId="345" priority="452">
      <formula>IF(VLOOKUP($F71,PROFA,2,0)=3,1,0)</formula>
    </cfRule>
    <cfRule type="expression" dxfId="344" priority="453">
      <formula>IF(VLOOKUP($F71,PROFA,2,0)=4,1,0)</formula>
    </cfRule>
    <cfRule type="expression" dxfId="343" priority="454">
      <formula>IF(VLOOKUP($F71,PROFA,2,0)=5,1,0)</formula>
    </cfRule>
    <cfRule type="expression" dxfId="342" priority="455">
      <formula>IF(VLOOKUP($F71,PROFA,2,0)=6,1,0)</formula>
    </cfRule>
    <cfRule type="expression" dxfId="341" priority="456">
      <formula>IF(VLOOKUP($F71,PROFA,2,0)=7,1,0)</formula>
    </cfRule>
    <cfRule type="expression" dxfId="340" priority="457">
      <formula>IF(VLOOKUP($F71,PROFA,2,0)=8,1,0)</formula>
    </cfRule>
    <cfRule type="expression" dxfId="339" priority="458">
      <formula>IF(VLOOKUP($F71,PROFA,2,0)=9,1,0)</formula>
    </cfRule>
  </conditionalFormatting>
  <conditionalFormatting sqref="F78">
    <cfRule type="expression" dxfId="338" priority="441">
      <formula>IF(VLOOKUP($F78,PROFA,2,0)=1,1,0)</formula>
    </cfRule>
    <cfRule type="expression" dxfId="337" priority="442">
      <formula>IF(VLOOKUP($F78,PROFA,2,0)=2,1,0)</formula>
    </cfRule>
    <cfRule type="expression" dxfId="336" priority="443">
      <formula>IF(VLOOKUP($F78,PROFA,2,0)=3,1,0)</formula>
    </cfRule>
    <cfRule type="expression" dxfId="335" priority="444">
      <formula>IF(VLOOKUP($F78,PROFA,2,0)=4,1,0)</formula>
    </cfRule>
    <cfRule type="expression" dxfId="334" priority="445">
      <formula>IF(VLOOKUP($F78,PROFA,2,0)=5,1,0)</formula>
    </cfRule>
    <cfRule type="expression" dxfId="333" priority="446">
      <formula>IF(VLOOKUP($F78,PROFA,2,0)=6,1,0)</formula>
    </cfRule>
    <cfRule type="expression" dxfId="332" priority="447">
      <formula>IF(VLOOKUP($F78,PROFA,2,0)=7,1,0)</formula>
    </cfRule>
    <cfRule type="expression" dxfId="331" priority="448">
      <formula>IF(VLOOKUP($F78,PROFA,2,0)=8,1,0)</formula>
    </cfRule>
    <cfRule type="expression" dxfId="330" priority="449">
      <formula>IF(VLOOKUP($F78,PROFA,2,0)=9,1,0)</formula>
    </cfRule>
  </conditionalFormatting>
  <conditionalFormatting sqref="F84">
    <cfRule type="expression" dxfId="329" priority="432">
      <formula>IF(VLOOKUP($F84,PROFA,2,0)=1,1,0)</formula>
    </cfRule>
    <cfRule type="expression" dxfId="328" priority="433">
      <formula>IF(VLOOKUP($F84,PROFA,2,0)=2,1,0)</formula>
    </cfRule>
    <cfRule type="expression" dxfId="327" priority="434">
      <formula>IF(VLOOKUP($F84,PROFA,2,0)=3,1,0)</formula>
    </cfRule>
    <cfRule type="expression" dxfId="326" priority="435">
      <formula>IF(VLOOKUP($F84,PROFA,2,0)=4,1,0)</formula>
    </cfRule>
    <cfRule type="expression" dxfId="325" priority="436">
      <formula>IF(VLOOKUP($F84,PROFA,2,0)=5,1,0)</formula>
    </cfRule>
    <cfRule type="expression" dxfId="324" priority="437">
      <formula>IF(VLOOKUP($F84,PROFA,2,0)=6,1,0)</formula>
    </cfRule>
    <cfRule type="expression" dxfId="323" priority="438">
      <formula>IF(VLOOKUP($F84,PROFA,2,0)=7,1,0)</formula>
    </cfRule>
    <cfRule type="expression" dxfId="322" priority="439">
      <formula>IF(VLOOKUP($F84,PROFA,2,0)=8,1,0)</formula>
    </cfRule>
    <cfRule type="expression" dxfId="321" priority="440">
      <formula>IF(VLOOKUP($F84,PROFA,2,0)=9,1,0)</formula>
    </cfRule>
  </conditionalFormatting>
  <conditionalFormatting sqref="F94">
    <cfRule type="expression" dxfId="320" priority="423">
      <formula>IF(VLOOKUP($F94,PROFA,2,0)=1,1,0)</formula>
    </cfRule>
    <cfRule type="expression" dxfId="319" priority="424">
      <formula>IF(VLOOKUP($F94,PROFA,2,0)=2,1,0)</formula>
    </cfRule>
    <cfRule type="expression" dxfId="318" priority="425">
      <formula>IF(VLOOKUP($F94,PROFA,2,0)=3,1,0)</formula>
    </cfRule>
    <cfRule type="expression" dxfId="317" priority="426">
      <formula>IF(VLOOKUP($F94,PROFA,2,0)=4,1,0)</formula>
    </cfRule>
    <cfRule type="expression" dxfId="316" priority="427">
      <formula>IF(VLOOKUP($F94,PROFA,2,0)=5,1,0)</formula>
    </cfRule>
    <cfRule type="expression" dxfId="315" priority="428">
      <formula>IF(VLOOKUP($F94,PROFA,2,0)=6,1,0)</formula>
    </cfRule>
    <cfRule type="expression" dxfId="314" priority="429">
      <formula>IF(VLOOKUP($F94,PROFA,2,0)=7,1,0)</formula>
    </cfRule>
    <cfRule type="expression" dxfId="313" priority="430">
      <formula>IF(VLOOKUP($F94,PROFA,2,0)=8,1,0)</formula>
    </cfRule>
    <cfRule type="expression" dxfId="312" priority="431">
      <formula>IF(VLOOKUP($F94,PROFA,2,0)=9,1,0)</formula>
    </cfRule>
  </conditionalFormatting>
  <conditionalFormatting sqref="F102">
    <cfRule type="expression" dxfId="311" priority="414">
      <formula>IF(VLOOKUP($F102,PROFA,2,0)=1,1,0)</formula>
    </cfRule>
    <cfRule type="expression" dxfId="310" priority="415">
      <formula>IF(VLOOKUP($F102,PROFA,2,0)=2,1,0)</formula>
    </cfRule>
    <cfRule type="expression" dxfId="309" priority="416">
      <formula>IF(VLOOKUP($F102,PROFA,2,0)=3,1,0)</formula>
    </cfRule>
    <cfRule type="expression" dxfId="308" priority="417">
      <formula>IF(VLOOKUP($F102,PROFA,2,0)=4,1,0)</formula>
    </cfRule>
    <cfRule type="expression" dxfId="307" priority="418">
      <formula>IF(VLOOKUP($F102,PROFA,2,0)=5,1,0)</formula>
    </cfRule>
    <cfRule type="expression" dxfId="306" priority="419">
      <formula>IF(VLOOKUP($F102,PROFA,2,0)=6,1,0)</formula>
    </cfRule>
    <cfRule type="expression" dxfId="305" priority="420">
      <formula>IF(VLOOKUP($F102,PROFA,2,0)=7,1,0)</formula>
    </cfRule>
    <cfRule type="expression" dxfId="304" priority="421">
      <formula>IF(VLOOKUP($F102,PROFA,2,0)=8,1,0)</formula>
    </cfRule>
    <cfRule type="expression" dxfId="303" priority="422">
      <formula>IF(VLOOKUP($F102,PROFA,2,0)=9,1,0)</formula>
    </cfRule>
  </conditionalFormatting>
  <conditionalFormatting sqref="F103">
    <cfRule type="expression" dxfId="302" priority="405">
      <formula>IF(VLOOKUP($F103,PROFA,2,0)=1,1,0)</formula>
    </cfRule>
    <cfRule type="expression" dxfId="301" priority="406">
      <formula>IF(VLOOKUP($F103,PROFA,2,0)=2,1,0)</formula>
    </cfRule>
    <cfRule type="expression" dxfId="300" priority="407">
      <formula>IF(VLOOKUP($F103,PROFA,2,0)=3,1,0)</formula>
    </cfRule>
    <cfRule type="expression" dxfId="299" priority="408">
      <formula>IF(VLOOKUP($F103,PROFA,2,0)=4,1,0)</formula>
    </cfRule>
    <cfRule type="expression" dxfId="298" priority="409">
      <formula>IF(VLOOKUP($F103,PROFA,2,0)=5,1,0)</formula>
    </cfRule>
    <cfRule type="expression" dxfId="297" priority="410">
      <formula>IF(VLOOKUP($F103,PROFA,2,0)=6,1,0)</formula>
    </cfRule>
    <cfRule type="expression" dxfId="296" priority="411">
      <formula>IF(VLOOKUP($F103,PROFA,2,0)=7,1,0)</formula>
    </cfRule>
    <cfRule type="expression" dxfId="295" priority="412">
      <formula>IF(VLOOKUP($F103,PROFA,2,0)=8,1,0)</formula>
    </cfRule>
    <cfRule type="expression" dxfId="294" priority="413">
      <formula>IF(VLOOKUP($F103,PROFA,2,0)=9,1,0)</formula>
    </cfRule>
  </conditionalFormatting>
  <conditionalFormatting sqref="F118">
    <cfRule type="expression" dxfId="293" priority="396">
      <formula>IF(VLOOKUP($F118,PROFA,2,0)=1,1,0)</formula>
    </cfRule>
    <cfRule type="expression" dxfId="292" priority="397">
      <formula>IF(VLOOKUP($F118,PROFA,2,0)=2,1,0)</formula>
    </cfRule>
    <cfRule type="expression" dxfId="291" priority="398">
      <formula>IF(VLOOKUP($F118,PROFA,2,0)=3,1,0)</formula>
    </cfRule>
    <cfRule type="expression" dxfId="290" priority="399">
      <formula>IF(VLOOKUP($F118,PROFA,2,0)=4,1,0)</formula>
    </cfRule>
    <cfRule type="expression" dxfId="289" priority="400">
      <formula>IF(VLOOKUP($F118,PROFA,2,0)=5,1,0)</formula>
    </cfRule>
    <cfRule type="expression" dxfId="288" priority="401">
      <formula>IF(VLOOKUP($F118,PROFA,2,0)=6,1,0)</formula>
    </cfRule>
    <cfRule type="expression" dxfId="287" priority="402">
      <formula>IF(VLOOKUP($F118,PROFA,2,0)=7,1,0)</formula>
    </cfRule>
    <cfRule type="expression" dxfId="286" priority="403">
      <formula>IF(VLOOKUP($F118,PROFA,2,0)=8,1,0)</formula>
    </cfRule>
    <cfRule type="expression" dxfId="285" priority="404">
      <formula>IF(VLOOKUP($F118,PROFA,2,0)=9,1,0)</formula>
    </cfRule>
  </conditionalFormatting>
  <conditionalFormatting sqref="F119">
    <cfRule type="expression" dxfId="284" priority="387">
      <formula>IF(VLOOKUP($F119,PROFA,2,0)=1,1,0)</formula>
    </cfRule>
    <cfRule type="expression" dxfId="283" priority="388">
      <formula>IF(VLOOKUP($F119,PROFA,2,0)=2,1,0)</formula>
    </cfRule>
    <cfRule type="expression" dxfId="282" priority="389">
      <formula>IF(VLOOKUP($F119,PROFA,2,0)=3,1,0)</formula>
    </cfRule>
    <cfRule type="expression" dxfId="281" priority="390">
      <formula>IF(VLOOKUP($F119,PROFA,2,0)=4,1,0)</formula>
    </cfRule>
    <cfRule type="expression" dxfId="280" priority="391">
      <formula>IF(VLOOKUP($F119,PROFA,2,0)=5,1,0)</formula>
    </cfRule>
    <cfRule type="expression" dxfId="279" priority="392">
      <formula>IF(VLOOKUP($F119,PROFA,2,0)=6,1,0)</formula>
    </cfRule>
    <cfRule type="expression" dxfId="278" priority="393">
      <formula>IF(VLOOKUP($F119,PROFA,2,0)=7,1,0)</formula>
    </cfRule>
    <cfRule type="expression" dxfId="277" priority="394">
      <formula>IF(VLOOKUP($F119,PROFA,2,0)=8,1,0)</formula>
    </cfRule>
    <cfRule type="expression" dxfId="276" priority="395">
      <formula>IF(VLOOKUP($F119,PROFA,2,0)=9,1,0)</formula>
    </cfRule>
  </conditionalFormatting>
  <conditionalFormatting sqref="F120:F124">
    <cfRule type="expression" dxfId="275" priority="378">
      <formula>IF(VLOOKUP($F120,PROFA,2,0)=1,1,0)</formula>
    </cfRule>
    <cfRule type="expression" dxfId="274" priority="379">
      <formula>IF(VLOOKUP($F120,PROFA,2,0)=2,1,0)</formula>
    </cfRule>
    <cfRule type="expression" dxfId="273" priority="380">
      <formula>IF(VLOOKUP($F120,PROFA,2,0)=3,1,0)</formula>
    </cfRule>
    <cfRule type="expression" dxfId="272" priority="381">
      <formula>IF(VLOOKUP($F120,PROFA,2,0)=4,1,0)</formula>
    </cfRule>
    <cfRule type="expression" dxfId="271" priority="382">
      <formula>IF(VLOOKUP($F120,PROFA,2,0)=5,1,0)</formula>
    </cfRule>
    <cfRule type="expression" dxfId="270" priority="383">
      <formula>IF(VLOOKUP($F120,PROFA,2,0)=6,1,0)</formula>
    </cfRule>
    <cfRule type="expression" dxfId="269" priority="384">
      <formula>IF(VLOOKUP($F120,PROFA,2,0)=7,1,0)</formula>
    </cfRule>
    <cfRule type="expression" dxfId="268" priority="385">
      <formula>IF(VLOOKUP($F120,PROFA,2,0)=8,1,0)</formula>
    </cfRule>
    <cfRule type="expression" dxfId="267" priority="386">
      <formula>IF(VLOOKUP($F120,PROFA,2,0)=9,1,0)</formula>
    </cfRule>
  </conditionalFormatting>
  <conditionalFormatting sqref="F144">
    <cfRule type="expression" dxfId="266" priority="351">
      <formula>IF(VLOOKUP($F144,PROFA,2,0)=1,1,0)</formula>
    </cfRule>
    <cfRule type="expression" dxfId="265" priority="352">
      <formula>IF(VLOOKUP($F144,PROFA,2,0)=2,1,0)</formula>
    </cfRule>
    <cfRule type="expression" dxfId="264" priority="353">
      <formula>IF(VLOOKUP($F144,PROFA,2,0)=3,1,0)</formula>
    </cfRule>
    <cfRule type="expression" dxfId="263" priority="354">
      <formula>IF(VLOOKUP($F144,PROFA,2,0)=4,1,0)</formula>
    </cfRule>
    <cfRule type="expression" dxfId="262" priority="355">
      <formula>IF(VLOOKUP($F144,PROFA,2,0)=5,1,0)</formula>
    </cfRule>
    <cfRule type="expression" dxfId="261" priority="356">
      <formula>IF(VLOOKUP($F144,PROFA,2,0)=6,1,0)</formula>
    </cfRule>
    <cfRule type="expression" dxfId="260" priority="357">
      <formula>IF(VLOOKUP($F144,PROFA,2,0)=7,1,0)</formula>
    </cfRule>
    <cfRule type="expression" dxfId="259" priority="358">
      <formula>IF(VLOOKUP($F144,PROFA,2,0)=8,1,0)</formula>
    </cfRule>
    <cfRule type="expression" dxfId="258" priority="359">
      <formula>IF(VLOOKUP($F144,PROFA,2,0)=9,1,0)</formula>
    </cfRule>
  </conditionalFormatting>
  <conditionalFormatting sqref="F145">
    <cfRule type="expression" dxfId="257" priority="342">
      <formula>IF(VLOOKUP($F145,PROFA,2,0)=1,1,0)</formula>
    </cfRule>
    <cfRule type="expression" dxfId="256" priority="343">
      <formula>IF(VLOOKUP($F145,PROFA,2,0)=2,1,0)</formula>
    </cfRule>
    <cfRule type="expression" dxfId="255" priority="344">
      <formula>IF(VLOOKUP($F145,PROFA,2,0)=3,1,0)</formula>
    </cfRule>
    <cfRule type="expression" dxfId="254" priority="345">
      <formula>IF(VLOOKUP($F145,PROFA,2,0)=4,1,0)</formula>
    </cfRule>
    <cfRule type="expression" dxfId="253" priority="346">
      <formula>IF(VLOOKUP($F145,PROFA,2,0)=5,1,0)</formula>
    </cfRule>
    <cfRule type="expression" dxfId="252" priority="347">
      <formula>IF(VLOOKUP($F145,PROFA,2,0)=6,1,0)</formula>
    </cfRule>
    <cfRule type="expression" dxfId="251" priority="348">
      <formula>IF(VLOOKUP($F145,PROFA,2,0)=7,1,0)</formula>
    </cfRule>
    <cfRule type="expression" dxfId="250" priority="349">
      <formula>IF(VLOOKUP($F145,PROFA,2,0)=8,1,0)</formula>
    </cfRule>
    <cfRule type="expression" dxfId="249" priority="350">
      <formula>IF(VLOOKUP($F145,PROFA,2,0)=9,1,0)</formula>
    </cfRule>
  </conditionalFormatting>
  <conditionalFormatting sqref="F152">
    <cfRule type="expression" dxfId="248" priority="333">
      <formula>IF(VLOOKUP($F152,PROFA,2,0)=1,1,0)</formula>
    </cfRule>
    <cfRule type="expression" dxfId="247" priority="334">
      <formula>IF(VLOOKUP($F152,PROFA,2,0)=2,1,0)</formula>
    </cfRule>
    <cfRule type="expression" dxfId="246" priority="335">
      <formula>IF(VLOOKUP($F152,PROFA,2,0)=3,1,0)</formula>
    </cfRule>
    <cfRule type="expression" dxfId="245" priority="336">
      <formula>IF(VLOOKUP($F152,PROFA,2,0)=4,1,0)</formula>
    </cfRule>
    <cfRule type="expression" dxfId="244" priority="337">
      <formula>IF(VLOOKUP($F152,PROFA,2,0)=5,1,0)</formula>
    </cfRule>
    <cfRule type="expression" dxfId="243" priority="338">
      <formula>IF(VLOOKUP($F152,PROFA,2,0)=6,1,0)</formula>
    </cfRule>
    <cfRule type="expression" dxfId="242" priority="339">
      <formula>IF(VLOOKUP($F152,PROFA,2,0)=7,1,0)</formula>
    </cfRule>
    <cfRule type="expression" dxfId="241" priority="340">
      <formula>IF(VLOOKUP($F152,PROFA,2,0)=8,1,0)</formula>
    </cfRule>
    <cfRule type="expression" dxfId="240" priority="341">
      <formula>IF(VLOOKUP($F152,PROFA,2,0)=9,1,0)</formula>
    </cfRule>
  </conditionalFormatting>
  <conditionalFormatting sqref="F171">
    <cfRule type="expression" dxfId="239" priority="324">
      <formula>IF(VLOOKUP($F171,PROFA,2,0)=1,1,0)</formula>
    </cfRule>
    <cfRule type="expression" dxfId="238" priority="325">
      <formula>IF(VLOOKUP($F171,PROFA,2,0)=2,1,0)</formula>
    </cfRule>
    <cfRule type="expression" dxfId="237" priority="326">
      <formula>IF(VLOOKUP($F171,PROFA,2,0)=3,1,0)</formula>
    </cfRule>
    <cfRule type="expression" dxfId="236" priority="327">
      <formula>IF(VLOOKUP($F171,PROFA,2,0)=4,1,0)</formula>
    </cfRule>
    <cfRule type="expression" dxfId="235" priority="328">
      <formula>IF(VLOOKUP($F171,PROFA,2,0)=5,1,0)</formula>
    </cfRule>
    <cfRule type="expression" dxfId="234" priority="329">
      <formula>IF(VLOOKUP($F171,PROFA,2,0)=6,1,0)</formula>
    </cfRule>
    <cfRule type="expression" dxfId="233" priority="330">
      <formula>IF(VLOOKUP($F171,PROFA,2,0)=7,1,0)</formula>
    </cfRule>
    <cfRule type="expression" dxfId="232" priority="331">
      <formula>IF(VLOOKUP($F171,PROFA,2,0)=8,1,0)</formula>
    </cfRule>
    <cfRule type="expression" dxfId="231" priority="332">
      <formula>IF(VLOOKUP($F171,PROFA,2,0)=9,1,0)</formula>
    </cfRule>
  </conditionalFormatting>
  <conditionalFormatting sqref="F172">
    <cfRule type="expression" dxfId="230" priority="315">
      <formula>IF(VLOOKUP($F172,PROFA,2,0)=1,1,0)</formula>
    </cfRule>
    <cfRule type="expression" dxfId="229" priority="316">
      <formula>IF(VLOOKUP($F172,PROFA,2,0)=2,1,0)</formula>
    </cfRule>
    <cfRule type="expression" dxfId="228" priority="317">
      <formula>IF(VLOOKUP($F172,PROFA,2,0)=3,1,0)</formula>
    </cfRule>
    <cfRule type="expression" dxfId="227" priority="318">
      <formula>IF(VLOOKUP($F172,PROFA,2,0)=4,1,0)</formula>
    </cfRule>
    <cfRule type="expression" dxfId="226" priority="319">
      <formula>IF(VLOOKUP($F172,PROFA,2,0)=5,1,0)</formula>
    </cfRule>
    <cfRule type="expression" dxfId="225" priority="320">
      <formula>IF(VLOOKUP($F172,PROFA,2,0)=6,1,0)</formula>
    </cfRule>
    <cfRule type="expression" dxfId="224" priority="321">
      <formula>IF(VLOOKUP($F172,PROFA,2,0)=7,1,0)</formula>
    </cfRule>
    <cfRule type="expression" dxfId="223" priority="322">
      <formula>IF(VLOOKUP($F172,PROFA,2,0)=8,1,0)</formula>
    </cfRule>
    <cfRule type="expression" dxfId="222" priority="323">
      <formula>IF(VLOOKUP($F172,PROFA,2,0)=9,1,0)</formula>
    </cfRule>
  </conditionalFormatting>
  <conditionalFormatting sqref="F181">
    <cfRule type="expression" dxfId="221" priority="297">
      <formula>IF(VLOOKUP($F181,PROFA,2,0)=1,1,0)</formula>
    </cfRule>
    <cfRule type="expression" dxfId="220" priority="298">
      <formula>IF(VLOOKUP($F181,PROFA,2,0)=2,1,0)</formula>
    </cfRule>
    <cfRule type="expression" dxfId="219" priority="299">
      <formula>IF(VLOOKUP($F181,PROFA,2,0)=3,1,0)</formula>
    </cfRule>
    <cfRule type="expression" dxfId="218" priority="300">
      <formula>IF(VLOOKUP($F181,PROFA,2,0)=4,1,0)</formula>
    </cfRule>
    <cfRule type="expression" dxfId="217" priority="301">
      <formula>IF(VLOOKUP($F181,PROFA,2,0)=5,1,0)</formula>
    </cfRule>
    <cfRule type="expression" dxfId="216" priority="302">
      <formula>IF(VLOOKUP($F181,PROFA,2,0)=6,1,0)</formula>
    </cfRule>
    <cfRule type="expression" dxfId="215" priority="303">
      <formula>IF(VLOOKUP($F181,PROFA,2,0)=7,1,0)</formula>
    </cfRule>
    <cfRule type="expression" dxfId="214" priority="304">
      <formula>IF(VLOOKUP($F181,PROFA,2,0)=8,1,0)</formula>
    </cfRule>
    <cfRule type="expression" dxfId="213" priority="305">
      <formula>IF(VLOOKUP($F181,PROFA,2,0)=9,1,0)</formula>
    </cfRule>
  </conditionalFormatting>
  <conditionalFormatting sqref="F182">
    <cfRule type="expression" dxfId="212" priority="288">
      <formula>IF(VLOOKUP($F182,PROFA,2,0)=1,1,0)</formula>
    </cfRule>
    <cfRule type="expression" dxfId="211" priority="289">
      <formula>IF(VLOOKUP($F182,PROFA,2,0)=2,1,0)</formula>
    </cfRule>
    <cfRule type="expression" dxfId="210" priority="290">
      <formula>IF(VLOOKUP($F182,PROFA,2,0)=3,1,0)</formula>
    </cfRule>
    <cfRule type="expression" dxfId="209" priority="291">
      <formula>IF(VLOOKUP($F182,PROFA,2,0)=4,1,0)</formula>
    </cfRule>
    <cfRule type="expression" dxfId="208" priority="292">
      <formula>IF(VLOOKUP($F182,PROFA,2,0)=5,1,0)</formula>
    </cfRule>
    <cfRule type="expression" dxfId="207" priority="293">
      <formula>IF(VLOOKUP($F182,PROFA,2,0)=6,1,0)</formula>
    </cfRule>
    <cfRule type="expression" dxfId="206" priority="294">
      <formula>IF(VLOOKUP($F182,PROFA,2,0)=7,1,0)</formula>
    </cfRule>
    <cfRule type="expression" dxfId="205" priority="295">
      <formula>IF(VLOOKUP($F182,PROFA,2,0)=8,1,0)</formula>
    </cfRule>
    <cfRule type="expression" dxfId="204" priority="296">
      <formula>IF(VLOOKUP($F182,PROFA,2,0)=9,1,0)</formula>
    </cfRule>
  </conditionalFormatting>
  <conditionalFormatting sqref="F207">
    <cfRule type="expression" dxfId="203" priority="135">
      <formula>IF(VLOOKUP($F207,PROFA,2,0)=1,1,0)</formula>
    </cfRule>
    <cfRule type="expression" dxfId="202" priority="136">
      <formula>IF(VLOOKUP($F207,PROFA,2,0)=2,1,0)</formula>
    </cfRule>
    <cfRule type="expression" dxfId="201" priority="137">
      <formula>IF(VLOOKUP($F207,PROFA,2,0)=3,1,0)</formula>
    </cfRule>
    <cfRule type="expression" dxfId="200" priority="138">
      <formula>IF(VLOOKUP($F207,PROFA,2,0)=4,1,0)</formula>
    </cfRule>
    <cfRule type="expression" dxfId="199" priority="139">
      <formula>IF(VLOOKUP($F207,PROFA,2,0)=5,1,0)</formula>
    </cfRule>
    <cfRule type="expression" dxfId="198" priority="140">
      <formula>IF(VLOOKUP($F207,PROFA,2,0)=6,1,0)</formula>
    </cfRule>
    <cfRule type="expression" dxfId="197" priority="141">
      <formula>IF(VLOOKUP($F207,PROFA,2,0)=7,1,0)</formula>
    </cfRule>
    <cfRule type="expression" dxfId="196" priority="142">
      <formula>IF(VLOOKUP($F207,PROFA,2,0)=8,1,0)</formula>
    </cfRule>
    <cfRule type="expression" dxfId="195" priority="143">
      <formula>IF(VLOOKUP($F207,PROFA,2,0)=9,1,0)</formula>
    </cfRule>
  </conditionalFormatting>
  <conditionalFormatting sqref="F160">
    <cfRule type="expression" dxfId="194" priority="127">
      <formula>IF(VLOOKUP($F160,PROFA,2,0)=1,1,0)</formula>
    </cfRule>
    <cfRule type="expression" dxfId="193" priority="128">
      <formula>IF(VLOOKUP($F160,PROFA,2,0)=2,1,0)</formula>
    </cfRule>
    <cfRule type="expression" dxfId="192" priority="129">
      <formula>IF(VLOOKUP($F160,PROFA,2,0)=3,1,0)</formula>
    </cfRule>
    <cfRule type="expression" dxfId="191" priority="130">
      <formula>IF(VLOOKUP($F160,PROFA,2,0)=4,1,0)</formula>
    </cfRule>
    <cfRule type="expression" dxfId="190" priority="131">
      <formula>IF(VLOOKUP($F160,PROFA,2,0)=5,1,0)</formula>
    </cfRule>
    <cfRule type="expression" dxfId="189" priority="132">
      <formula>IF(VLOOKUP($F160,PROFA,2,0)=6,1,0)</formula>
    </cfRule>
    <cfRule type="expression" dxfId="188" priority="133">
      <formula>IF(VLOOKUP($F160,PROFA,2,0)=7,1,0)</formula>
    </cfRule>
    <cfRule type="expression" dxfId="187" priority="134">
      <formula>IF(VLOOKUP($F160,PROFA,2,0)=8,1,0)</formula>
    </cfRule>
  </conditionalFormatting>
  <conditionalFormatting sqref="F199">
    <cfRule type="expression" dxfId="186" priority="119">
      <formula>IF(VLOOKUP($F199,PROFA,2,0)=1,1,0)</formula>
    </cfRule>
    <cfRule type="expression" dxfId="185" priority="120">
      <formula>IF(VLOOKUP($F199,PROFA,2,0)=2,1,0)</formula>
    </cfRule>
    <cfRule type="expression" dxfId="184" priority="121">
      <formula>IF(VLOOKUP($F199,PROFA,2,0)=3,1,0)</formula>
    </cfRule>
    <cfRule type="expression" dxfId="183" priority="122">
      <formula>IF(VLOOKUP($F199,PROFA,2,0)=4,1,0)</formula>
    </cfRule>
    <cfRule type="expression" dxfId="182" priority="123">
      <formula>IF(VLOOKUP($F199,PROFA,2,0)=5,1,0)</formula>
    </cfRule>
    <cfRule type="expression" dxfId="181" priority="124">
      <formula>IF(VLOOKUP($F199,PROFA,2,0)=6,1,0)</formula>
    </cfRule>
    <cfRule type="expression" dxfId="180" priority="125">
      <formula>IF(VLOOKUP($F199,PROFA,2,0)=7,1,0)</formula>
    </cfRule>
    <cfRule type="expression" dxfId="179" priority="126">
      <formula>IF(VLOOKUP($F199,PROFA,2,0)=8,1,0)</formula>
    </cfRule>
  </conditionalFormatting>
  <conditionalFormatting sqref="J220:U221">
    <cfRule type="expression" dxfId="178" priority="111" stopIfTrue="1">
      <formula>IF(AND(J$16&gt;=$H220,J$15&lt;=$I220,VLOOKUP($F220,PROFA,2,0)=1),1,0)</formula>
    </cfRule>
    <cfRule type="expression" dxfId="177" priority="112" stopIfTrue="1">
      <formula>IF(AND(J$16&gt;=$H220,J$15&lt;=$I220,VLOOKUP($F220,PROFA,2,0)=2),1,0)</formula>
    </cfRule>
    <cfRule type="expression" dxfId="176" priority="113" stopIfTrue="1">
      <formula>IF(AND(J$16&gt;=$H220,J$15&lt;=$I220,VLOOKUP($F220,PROFA,2,0)=3),1,0)</formula>
    </cfRule>
    <cfRule type="expression" dxfId="175" priority="114" stopIfTrue="1">
      <formula>IF(AND(J$16&gt;=$H220,J$15&lt;=$I220,VLOOKUP($F220,PROFA,2,0)=4),1,0)</formula>
    </cfRule>
    <cfRule type="expression" dxfId="174" priority="115" stopIfTrue="1">
      <formula>IF(AND(J$16&gt;=$H220,J$15&lt;=$I220,VLOOKUP($F220,PROFA,2,0)=5),1,0)</formula>
    </cfRule>
    <cfRule type="expression" dxfId="173" priority="116" stopIfTrue="1">
      <formula>IF(AND(J$16&gt;=$H220,J$15&lt;=$I220,VLOOKUP($F220,PROFA,2,0)=6),1,0)</formula>
    </cfRule>
    <cfRule type="expression" dxfId="172" priority="117" stopIfTrue="1">
      <formula>IF(AND(J$16&gt;=$H220,J$15&lt;=$I220,VLOOKUP($F220,PROFA,2,0)=7),1,0)</formula>
    </cfRule>
    <cfRule type="expression" dxfId="171" priority="118" stopIfTrue="1">
      <formula>IF(AND(J$16&gt;=$H220,J$15&lt;=$I220,VLOOKUP($F220,PROFA,2,0)=8),1,0)</formula>
    </cfRule>
  </conditionalFormatting>
  <conditionalFormatting sqref="F220:F221">
    <cfRule type="expression" dxfId="170" priority="102">
      <formula>IF(VLOOKUP($F220,PROFA,2,0)=1,1,0)</formula>
    </cfRule>
    <cfRule type="expression" dxfId="169" priority="103">
      <formula>IF(VLOOKUP($F220,PROFA,2,0)=2,1,0)</formula>
    </cfRule>
    <cfRule type="expression" dxfId="168" priority="104">
      <formula>IF(VLOOKUP($F220,PROFA,2,0)=3,1,0)</formula>
    </cfRule>
    <cfRule type="expression" dxfId="167" priority="105">
      <formula>IF(VLOOKUP($F220,PROFA,2,0)=4,1,0)</formula>
    </cfRule>
    <cfRule type="expression" dxfId="166" priority="106">
      <formula>IF(VLOOKUP($F220,PROFA,2,0)=5,1,0)</formula>
    </cfRule>
    <cfRule type="expression" dxfId="165" priority="107">
      <formula>IF(VLOOKUP($F220,PROFA,2,0)=6,1,0)</formula>
    </cfRule>
    <cfRule type="expression" dxfId="164" priority="108">
      <formula>IF(VLOOKUP($F220,PROFA,2,0)=7,1,0)</formula>
    </cfRule>
    <cfRule type="expression" dxfId="163" priority="109">
      <formula>IF(VLOOKUP($F220,PROFA,2,0)=8,1,0)</formula>
    </cfRule>
    <cfRule type="expression" dxfId="162" priority="110">
      <formula>IF(VLOOKUP($F220,PROFA,2,0)=9,1,0)</formula>
    </cfRule>
  </conditionalFormatting>
  <conditionalFormatting sqref="J223:U223">
    <cfRule type="expression" dxfId="161" priority="94" stopIfTrue="1">
      <formula>IF(AND(J$16&gt;=$H223,J$15&lt;=$I223,VLOOKUP($F223,PROFA,2,0)=1),1,0)</formula>
    </cfRule>
    <cfRule type="expression" dxfId="160" priority="95" stopIfTrue="1">
      <formula>IF(AND(J$16&gt;=$H223,J$15&lt;=$I223,VLOOKUP($F223,PROFA,2,0)=2),1,0)</formula>
    </cfRule>
    <cfRule type="expression" dxfId="159" priority="96" stopIfTrue="1">
      <formula>IF(AND(J$16&gt;=$H223,J$15&lt;=$I223,VLOOKUP($F223,PROFA,2,0)=3),1,0)</formula>
    </cfRule>
    <cfRule type="expression" dxfId="158" priority="97" stopIfTrue="1">
      <formula>IF(AND(J$16&gt;=$H223,J$15&lt;=$I223,VLOOKUP($F223,PROFA,2,0)=4),1,0)</formula>
    </cfRule>
    <cfRule type="expression" dxfId="157" priority="98" stopIfTrue="1">
      <formula>IF(AND(J$16&gt;=$H223,J$15&lt;=$I223,VLOOKUP($F223,PROFA,2,0)=5),1,0)</formula>
    </cfRule>
    <cfRule type="expression" dxfId="156" priority="99" stopIfTrue="1">
      <formula>IF(AND(J$16&gt;=$H223,J$15&lt;=$I223,VLOOKUP($F223,PROFA,2,0)=6),1,0)</formula>
    </cfRule>
    <cfRule type="expression" dxfId="155" priority="100" stopIfTrue="1">
      <formula>IF(AND(J$16&gt;=$H223,J$15&lt;=$I223,VLOOKUP($F223,PROFA,2,0)=7),1,0)</formula>
    </cfRule>
    <cfRule type="expression" dxfId="154" priority="101" stopIfTrue="1">
      <formula>IF(AND(J$16&gt;=$H223,J$15&lt;=$I223,VLOOKUP($F223,PROFA,2,0)=8),1,0)</formula>
    </cfRule>
  </conditionalFormatting>
  <conditionalFormatting sqref="F223">
    <cfRule type="expression" dxfId="153" priority="85">
      <formula>IF(VLOOKUP($F223,PROFA,2,0)=1,1,0)</formula>
    </cfRule>
    <cfRule type="expression" dxfId="152" priority="86">
      <formula>IF(VLOOKUP($F223,PROFA,2,0)=2,1,0)</formula>
    </cfRule>
    <cfRule type="expression" dxfId="151" priority="87">
      <formula>IF(VLOOKUP($F223,PROFA,2,0)=3,1,0)</formula>
    </cfRule>
    <cfRule type="expression" dxfId="150" priority="88">
      <formula>IF(VLOOKUP($F223,PROFA,2,0)=4,1,0)</formula>
    </cfRule>
    <cfRule type="expression" dxfId="149" priority="89">
      <formula>IF(VLOOKUP($F223,PROFA,2,0)=5,1,0)</formula>
    </cfRule>
    <cfRule type="expression" dxfId="148" priority="90">
      <formula>IF(VLOOKUP($F223,PROFA,2,0)=6,1,0)</formula>
    </cfRule>
    <cfRule type="expression" dxfId="147" priority="91">
      <formula>IF(VLOOKUP($F223,PROFA,2,0)=7,1,0)</formula>
    </cfRule>
    <cfRule type="expression" dxfId="146" priority="92">
      <formula>IF(VLOOKUP($F223,PROFA,2,0)=8,1,0)</formula>
    </cfRule>
    <cfRule type="expression" dxfId="145" priority="93">
      <formula>IF(VLOOKUP($F223,PROFA,2,0)=9,1,0)</formula>
    </cfRule>
  </conditionalFormatting>
  <conditionalFormatting sqref="J224:U224">
    <cfRule type="expression" dxfId="144" priority="77" stopIfTrue="1">
      <formula>IF(AND(J$16&gt;=$H224,J$15&lt;=$I224,VLOOKUP($F224,PROFA,2,0)=1),1,0)</formula>
    </cfRule>
    <cfRule type="expression" dxfId="143" priority="78" stopIfTrue="1">
      <formula>IF(AND(J$16&gt;=$H224,J$15&lt;=$I224,VLOOKUP($F224,PROFA,2,0)=2),1,0)</formula>
    </cfRule>
    <cfRule type="expression" dxfId="142" priority="79" stopIfTrue="1">
      <formula>IF(AND(J$16&gt;=$H224,J$15&lt;=$I224,VLOOKUP($F224,PROFA,2,0)=3),1,0)</formula>
    </cfRule>
    <cfRule type="expression" dxfId="141" priority="80" stopIfTrue="1">
      <formula>IF(AND(J$16&gt;=$H224,J$15&lt;=$I224,VLOOKUP($F224,PROFA,2,0)=4),1,0)</formula>
    </cfRule>
    <cfRule type="expression" dxfId="140" priority="81" stopIfTrue="1">
      <formula>IF(AND(J$16&gt;=$H224,J$15&lt;=$I224,VLOOKUP($F224,PROFA,2,0)=5),1,0)</formula>
    </cfRule>
    <cfRule type="expression" dxfId="139" priority="82" stopIfTrue="1">
      <formula>IF(AND(J$16&gt;=$H224,J$15&lt;=$I224,VLOOKUP($F224,PROFA,2,0)=6),1,0)</formula>
    </cfRule>
    <cfRule type="expression" dxfId="138" priority="83" stopIfTrue="1">
      <formula>IF(AND(J$16&gt;=$H224,J$15&lt;=$I224,VLOOKUP($F224,PROFA,2,0)=7),1,0)</formula>
    </cfRule>
    <cfRule type="expression" dxfId="137" priority="84" stopIfTrue="1">
      <formula>IF(AND(J$16&gt;=$H224,J$15&lt;=$I224,VLOOKUP($F224,PROFA,2,0)=8),1,0)</formula>
    </cfRule>
  </conditionalFormatting>
  <conditionalFormatting sqref="F224">
    <cfRule type="expression" dxfId="136" priority="68">
      <formula>IF(VLOOKUP($F224,PROFA,2,0)=1,1,0)</formula>
    </cfRule>
    <cfRule type="expression" dxfId="135" priority="69">
      <formula>IF(VLOOKUP($F224,PROFA,2,0)=2,1,0)</formula>
    </cfRule>
    <cfRule type="expression" dxfId="134" priority="70">
      <formula>IF(VLOOKUP($F224,PROFA,2,0)=3,1,0)</formula>
    </cfRule>
    <cfRule type="expression" dxfId="133" priority="71">
      <formula>IF(VLOOKUP($F224,PROFA,2,0)=4,1,0)</formula>
    </cfRule>
    <cfRule type="expression" dxfId="132" priority="72">
      <formula>IF(VLOOKUP($F224,PROFA,2,0)=5,1,0)</formula>
    </cfRule>
    <cfRule type="expression" dxfId="131" priority="73">
      <formula>IF(VLOOKUP($F224,PROFA,2,0)=6,1,0)</formula>
    </cfRule>
    <cfRule type="expression" dxfId="130" priority="74">
      <formula>IF(VLOOKUP($F224,PROFA,2,0)=7,1,0)</formula>
    </cfRule>
    <cfRule type="expression" dxfId="129" priority="75">
      <formula>IF(VLOOKUP($F224,PROFA,2,0)=8,1,0)</formula>
    </cfRule>
    <cfRule type="expression" dxfId="128" priority="76">
      <formula>IF(VLOOKUP($F224,PROFA,2,0)=9,1,0)</formula>
    </cfRule>
  </conditionalFormatting>
  <conditionalFormatting sqref="J225:U225">
    <cfRule type="expression" dxfId="127" priority="51" stopIfTrue="1">
      <formula>IF(AND(J$16&gt;=$H225,J$15&lt;=$I225,VLOOKUP($F225,PROFA,2,0)=1),1,0)</formula>
    </cfRule>
    <cfRule type="expression" dxfId="126" priority="52" stopIfTrue="1">
      <formula>IF(AND(J$16&gt;=$H225,J$15&lt;=$I225,VLOOKUP($F225,PROFA,2,0)=2),1,0)</formula>
    </cfRule>
    <cfRule type="expression" dxfId="125" priority="53" stopIfTrue="1">
      <formula>IF(AND(J$16&gt;=$H225,J$15&lt;=$I225,VLOOKUP($F225,PROFA,2,0)=3),1,0)</formula>
    </cfRule>
    <cfRule type="expression" dxfId="124" priority="54" stopIfTrue="1">
      <formula>IF(AND(J$16&gt;=$H225,J$15&lt;=$I225,VLOOKUP($F225,PROFA,2,0)=4),1,0)</formula>
    </cfRule>
    <cfRule type="expression" dxfId="123" priority="55" stopIfTrue="1">
      <formula>IF(AND(J$16&gt;=$H225,J$15&lt;=$I225,VLOOKUP($F225,PROFA,2,0)=5),1,0)</formula>
    </cfRule>
    <cfRule type="expression" dxfId="122" priority="56" stopIfTrue="1">
      <formula>IF(AND(J$16&gt;=$H225,J$15&lt;=$I225,VLOOKUP($F225,PROFA,2,0)=6),1,0)</formula>
    </cfRule>
    <cfRule type="expression" dxfId="121" priority="57" stopIfTrue="1">
      <formula>IF(AND(J$16&gt;=$H225,J$15&lt;=$I225,VLOOKUP($F225,PROFA,2,0)=7),1,0)</formula>
    </cfRule>
    <cfRule type="expression" dxfId="120" priority="58" stopIfTrue="1">
      <formula>IF(AND(J$16&gt;=$H225,J$15&lt;=$I225,VLOOKUP($F225,PROFA,2,0)=8),1,0)</formula>
    </cfRule>
  </conditionalFormatting>
  <conditionalFormatting sqref="F225:F226">
    <cfRule type="expression" dxfId="119" priority="42">
      <formula>IF(VLOOKUP($F225,PROFA,2,0)=1,1,0)</formula>
    </cfRule>
    <cfRule type="expression" dxfId="118" priority="43">
      <formula>IF(VLOOKUP($F225,PROFA,2,0)=2,1,0)</formula>
    </cfRule>
    <cfRule type="expression" dxfId="117" priority="44">
      <formula>IF(VLOOKUP($F225,PROFA,2,0)=3,1,0)</formula>
    </cfRule>
    <cfRule type="expression" dxfId="116" priority="45">
      <formula>IF(VLOOKUP($F225,PROFA,2,0)=4,1,0)</formula>
    </cfRule>
    <cfRule type="expression" dxfId="115" priority="46">
      <formula>IF(VLOOKUP($F225,PROFA,2,0)=5,1,0)</formula>
    </cfRule>
    <cfRule type="expression" dxfId="114" priority="47">
      <formula>IF(VLOOKUP($F225,PROFA,2,0)=6,1,0)</formula>
    </cfRule>
    <cfRule type="expression" dxfId="113" priority="48">
      <formula>IF(VLOOKUP($F225,PROFA,2,0)=7,1,0)</formula>
    </cfRule>
    <cfRule type="expression" dxfId="112" priority="49">
      <formula>IF(VLOOKUP($F225,PROFA,2,0)=8,1,0)</formula>
    </cfRule>
    <cfRule type="expression" dxfId="111" priority="50">
      <formula>IF(VLOOKUP($F225,PROFA,2,0)=9,1,0)</formula>
    </cfRule>
  </conditionalFormatting>
  <conditionalFormatting sqref="F125">
    <cfRule type="expression" dxfId="110" priority="34">
      <formula>IF(VLOOKUP($F125,PROFA,2,0)=1,1,0)</formula>
    </cfRule>
    <cfRule type="expression" dxfId="109" priority="35">
      <formula>IF(VLOOKUP($F125,PROFA,2,0)=2,1,0)</formula>
    </cfRule>
    <cfRule type="expression" dxfId="108" priority="36">
      <formula>IF(VLOOKUP($F125,PROFA,2,0)=3,1,0)</formula>
    </cfRule>
    <cfRule type="expression" dxfId="107" priority="37">
      <formula>IF(VLOOKUP($F125,PROFA,2,0)=4,1,0)</formula>
    </cfRule>
    <cfRule type="expression" dxfId="106" priority="38">
      <formula>IF(VLOOKUP($F125,PROFA,2,0)=5,1,0)</formula>
    </cfRule>
    <cfRule type="expression" dxfId="105" priority="39">
      <formula>IF(VLOOKUP($F125,PROFA,2,0)=6,1,0)</formula>
    </cfRule>
    <cfRule type="expression" dxfId="104" priority="40">
      <formula>IF(VLOOKUP($F125,PROFA,2,0)=7,1,0)</formula>
    </cfRule>
    <cfRule type="expression" dxfId="103" priority="41">
      <formula>IF(VLOOKUP($F125,PROFA,2,0)=8,1,0)</formula>
    </cfRule>
  </conditionalFormatting>
  <conditionalFormatting sqref="J226:U226">
    <cfRule type="expression" dxfId="102" priority="18" stopIfTrue="1">
      <formula>IF(AND(J$16&gt;=$H226,J$15&lt;=$I226,VLOOKUP($F226,PROFA,2,0)=1),1,0)</formula>
    </cfRule>
    <cfRule type="expression" dxfId="101" priority="19" stopIfTrue="1">
      <formula>IF(AND(J$16&gt;=$H226,J$15&lt;=$I226,VLOOKUP($F226,PROFA,2,0)=2),1,0)</formula>
    </cfRule>
    <cfRule type="expression" dxfId="100" priority="20" stopIfTrue="1">
      <formula>IF(AND(J$16&gt;=$H226,J$15&lt;=$I226,VLOOKUP($F226,PROFA,2,0)=3),1,0)</formula>
    </cfRule>
    <cfRule type="expression" dxfId="99" priority="21" stopIfTrue="1">
      <formula>IF(AND(J$16&gt;=$H226,J$15&lt;=$I226,VLOOKUP($F226,PROFA,2,0)=4),1,0)</formula>
    </cfRule>
    <cfRule type="expression" dxfId="98" priority="22" stopIfTrue="1">
      <formula>IF(AND(J$16&gt;=$H226,J$15&lt;=$I226,VLOOKUP($F226,PROFA,2,0)=5),1,0)</formula>
    </cfRule>
    <cfRule type="expression" dxfId="97" priority="23" stopIfTrue="1">
      <formula>IF(AND(J$16&gt;=$H226,J$15&lt;=$I226,VLOOKUP($F226,PROFA,2,0)=6),1,0)</formula>
    </cfRule>
    <cfRule type="expression" dxfId="96" priority="24" stopIfTrue="1">
      <formula>IF(AND(J$16&gt;=$H226,J$15&lt;=$I226,VLOOKUP($F226,PROFA,2,0)=7),1,0)</formula>
    </cfRule>
    <cfRule type="expression" dxfId="95" priority="25" stopIfTrue="1">
      <formula>IF(AND(J$16&gt;=$H226,J$15&lt;=$I226,VLOOKUP($F226,PROFA,2,0)=8),1,0)</formula>
    </cfRule>
  </conditionalFormatting>
  <conditionalFormatting sqref="J227:U227">
    <cfRule type="expression" dxfId="94" priority="10" stopIfTrue="1">
      <formula>IF(AND(J$16&gt;=$H227,J$15&lt;=$I227,VLOOKUP($F227,PROFA,2,0)=1),1,0)</formula>
    </cfRule>
    <cfRule type="expression" dxfId="93" priority="11" stopIfTrue="1">
      <formula>IF(AND(J$16&gt;=$H227,J$15&lt;=$I227,VLOOKUP($F227,PROFA,2,0)=2),1,0)</formula>
    </cfRule>
    <cfRule type="expression" dxfId="92" priority="12" stopIfTrue="1">
      <formula>IF(AND(J$16&gt;=$H227,J$15&lt;=$I227,VLOOKUP($F227,PROFA,2,0)=3),1,0)</formula>
    </cfRule>
    <cfRule type="expression" dxfId="91" priority="13" stopIfTrue="1">
      <formula>IF(AND(J$16&gt;=$H227,J$15&lt;=$I227,VLOOKUP($F227,PROFA,2,0)=4),1,0)</formula>
    </cfRule>
    <cfRule type="expression" dxfId="90" priority="14" stopIfTrue="1">
      <formula>IF(AND(J$16&gt;=$H227,J$15&lt;=$I227,VLOOKUP($F227,PROFA,2,0)=5),1,0)</formula>
    </cfRule>
    <cfRule type="expression" dxfId="89" priority="15" stopIfTrue="1">
      <formula>IF(AND(J$16&gt;=$H227,J$15&lt;=$I227,VLOOKUP($F227,PROFA,2,0)=6),1,0)</formula>
    </cfRule>
    <cfRule type="expression" dxfId="88" priority="16" stopIfTrue="1">
      <formula>IF(AND(J$16&gt;=$H227,J$15&lt;=$I227,VLOOKUP($F227,PROFA,2,0)=7),1,0)</formula>
    </cfRule>
    <cfRule type="expression" dxfId="87" priority="17" stopIfTrue="1">
      <formula>IF(AND(J$16&gt;=$H227,J$15&lt;=$I227,VLOOKUP($F227,PROFA,2,0)=8),1,0)</formula>
    </cfRule>
  </conditionalFormatting>
  <conditionalFormatting sqref="F227">
    <cfRule type="expression" dxfId="86" priority="1">
      <formula>IF(VLOOKUP($F227,PROFA,2,0)=1,1,0)</formula>
    </cfRule>
    <cfRule type="expression" dxfId="85" priority="2">
      <formula>IF(VLOOKUP($F227,PROFA,2,0)=2,1,0)</formula>
    </cfRule>
    <cfRule type="expression" dxfId="84" priority="3">
      <formula>IF(VLOOKUP($F227,PROFA,2,0)=3,1,0)</formula>
    </cfRule>
    <cfRule type="expression" dxfId="83" priority="4">
      <formula>IF(VLOOKUP($F227,PROFA,2,0)=4,1,0)</formula>
    </cfRule>
    <cfRule type="expression" dxfId="82" priority="5">
      <formula>IF(VLOOKUP($F227,PROFA,2,0)=5,1,0)</formula>
    </cfRule>
    <cfRule type="expression" dxfId="81" priority="6">
      <formula>IF(VLOOKUP($F227,PROFA,2,0)=6,1,0)</formula>
    </cfRule>
    <cfRule type="expression" dxfId="80" priority="7">
      <formula>IF(VLOOKUP($F227,PROFA,2,0)=7,1,0)</formula>
    </cfRule>
    <cfRule type="expression" dxfId="79" priority="8">
      <formula>IF(VLOOKUP($F227,PROFA,2,0)=8,1,0)</formula>
    </cfRule>
    <cfRule type="expression" dxfId="78" priority="9">
      <formula>IF(VLOOKUP($F227,PROFA,2,0)=9,1,0)</formula>
    </cfRule>
  </conditionalFormatting>
  <dataValidations count="9">
    <dataValidation type="list" allowBlank="1" showInputMessage="1" showErrorMessage="1" sqref="AA19:AA227">
      <formula1>INDIRECT(VLOOKUP($A19,ACTA,2,0))</formula1>
    </dataValidation>
    <dataValidation type="date" allowBlank="1" showInputMessage="1" showErrorMessage="1" sqref="X1047360:X1048576 H19:I21 X72 X50:X52 X107:X114 X32:X48 X54:X55 X19:X27 X29 X93:X99 X135:X139 X66:X70 X74:X91 X143:X227 X117:X121 X103:X105 X126:X132">
      <formula1>43101</formula1>
      <formula2>44926</formula2>
    </dataValidation>
    <dataValidation type="list" allowBlank="1" showInputMessage="1" showErrorMessage="1" sqref="C55 C40:C41 C19:C38 C44:C52 C57:C227">
      <formula1>PROCESO</formula1>
    </dataValidation>
    <dataValidation type="date" allowBlank="1" showInputMessage="1" showErrorMessage="1" sqref="I56:I148 H211:I211 H181 H206:I207 X73 X122:X125 X53 X49 X56:X65 X28 AF18 X30:X31 H22:I54 I150:I161 X71 X100:X102 X115:X116 H179:I179 H55:H161 H190:I190 H195:I197 H164:I170 X133:X134 X106">
      <formula1>43101</formula1>
      <formula2>46022</formula2>
    </dataValidation>
    <dataValidation type="list" allowBlank="1" showInputMessage="1" showErrorMessage="1" sqref="A19:A227">
      <formula1>ACT</formula1>
    </dataValidation>
    <dataValidation type="list" allowBlank="1" showInputMessage="1" showErrorMessage="1" sqref="D19:D227">
      <formula1>"Misional,Apoyo,Estratégico,Seguimiento y Evaluación,Todos los Procesos"</formula1>
    </dataValidation>
    <dataValidation type="list" allowBlank="1" showInputMessage="1" showErrorMessage="1" sqref="E19:E227">
      <formula1>LIDER</formula1>
    </dataValidation>
    <dataValidation type="list" allowBlank="1" showInputMessage="1" showErrorMessage="1" sqref="F19:F227">
      <formula1>PROF</formula1>
    </dataValidation>
    <dataValidation type="decimal" allowBlank="1" showInputMessage="1" showErrorMessage="1" sqref="AB72:AB73 W19:W227">
      <formula1>0</formula1>
      <formula2>1</formula2>
    </dataValidation>
  </dataValidations>
  <printOptions horizontalCentered="1"/>
  <pageMargins left="1.1811023622047245" right="0.39370078740157483" top="0.39370078740157483" bottom="0.39370078740157483" header="0.19685039370078741" footer="0.19685039370078741"/>
  <pageSetup paperSize="5" scale="75" pageOrder="overThenDown" orientation="landscape" r:id="rId1"/>
  <headerFooter>
    <oddFooter>&amp;R&amp;"Arial,Normal"&amp;6Página &amp;P de &amp;N</oddFooter>
  </headerFooter>
  <colBreaks count="1" manualBreakCount="1">
    <brk id="9" max="18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opLeftCell="A10" zoomScale="130" zoomScaleNormal="130" workbookViewId="0">
      <selection activeCell="D39" sqref="C39:D40"/>
    </sheetView>
  </sheetViews>
  <sheetFormatPr baseColWidth="10" defaultRowHeight="15" x14ac:dyDescent="0.25"/>
  <cols>
    <col min="1" max="7" width="11.42578125" customWidth="1"/>
  </cols>
  <sheetData>
    <row r="1" spans="1:20" x14ac:dyDescent="0.25">
      <c r="A1" t="s">
        <v>363</v>
      </c>
      <c r="E1" t="s">
        <v>364</v>
      </c>
      <c r="J1" t="s">
        <v>514</v>
      </c>
      <c r="P1" t="s">
        <v>515</v>
      </c>
    </row>
    <row r="2" spans="1:20" x14ac:dyDescent="0.25">
      <c r="B2" t="s">
        <v>235</v>
      </c>
      <c r="C2" t="s">
        <v>253</v>
      </c>
      <c r="F2" t="s">
        <v>235</v>
      </c>
      <c r="G2" t="s">
        <v>253</v>
      </c>
      <c r="H2" t="s">
        <v>365</v>
      </c>
      <c r="K2" t="s">
        <v>235</v>
      </c>
      <c r="L2" t="s">
        <v>253</v>
      </c>
      <c r="M2" t="s">
        <v>365</v>
      </c>
      <c r="P2" t="s">
        <v>518</v>
      </c>
      <c r="Q2" t="s">
        <v>253</v>
      </c>
      <c r="R2" t="s">
        <v>365</v>
      </c>
    </row>
    <row r="3" spans="1:20" x14ac:dyDescent="0.25">
      <c r="A3" t="s">
        <v>248</v>
      </c>
      <c r="B3" s="157">
        <v>0.15</v>
      </c>
      <c r="C3" s="78">
        <v>0.15</v>
      </c>
      <c r="E3" t="s">
        <v>248</v>
      </c>
      <c r="F3" s="157">
        <v>0.13400000000000001</v>
      </c>
      <c r="G3" s="78">
        <f>+F3</f>
        <v>0.13400000000000001</v>
      </c>
      <c r="H3" s="157">
        <v>0.13400000000000001</v>
      </c>
      <c r="J3" t="s">
        <v>248</v>
      </c>
      <c r="K3" s="157">
        <v>0.13400000000000001</v>
      </c>
      <c r="L3" s="78">
        <f>+K3</f>
        <v>0.13400000000000001</v>
      </c>
      <c r="M3" s="157">
        <v>0.13400000000000001</v>
      </c>
      <c r="O3" t="s">
        <v>248</v>
      </c>
      <c r="P3" s="213">
        <v>0.13600000000000001</v>
      </c>
      <c r="Q3" s="78">
        <f>+P3</f>
        <v>0.13600000000000001</v>
      </c>
      <c r="R3" s="157">
        <v>0.13400000000000001</v>
      </c>
    </row>
    <row r="4" spans="1:20" x14ac:dyDescent="0.25">
      <c r="A4" s="82" t="s">
        <v>249</v>
      </c>
      <c r="B4" s="157">
        <v>0.1</v>
      </c>
      <c r="C4" s="78">
        <f>+C3+B4</f>
        <v>0.25</v>
      </c>
      <c r="E4" s="82" t="s">
        <v>249</v>
      </c>
      <c r="F4" s="157">
        <v>0.13800000000000001</v>
      </c>
      <c r="G4" s="78">
        <f>+G3+F4</f>
        <v>0.27200000000000002</v>
      </c>
      <c r="J4" s="82" t="s">
        <v>249</v>
      </c>
      <c r="K4" s="157">
        <v>7.3999999999999996E-2</v>
      </c>
      <c r="L4" s="78">
        <f>+L3+K4</f>
        <v>0.20800000000000002</v>
      </c>
      <c r="M4" s="157">
        <v>7.3999999999999996E-2</v>
      </c>
      <c r="O4" s="82" t="s">
        <v>249</v>
      </c>
      <c r="P4" s="213">
        <v>7.2000000000000022E-2</v>
      </c>
      <c r="Q4" s="78">
        <f>+Q3+P4</f>
        <v>0.20800000000000002</v>
      </c>
      <c r="R4" s="157">
        <v>7.3999999999999996E-2</v>
      </c>
    </row>
    <row r="5" spans="1:20" x14ac:dyDescent="0.25">
      <c r="A5" t="s">
        <v>250</v>
      </c>
      <c r="B5" s="157">
        <v>0.04</v>
      </c>
      <c r="C5" s="78">
        <f t="shared" ref="C5:C14" si="0">+C4+B5</f>
        <v>0.28999999999999998</v>
      </c>
      <c r="E5" t="s">
        <v>250</v>
      </c>
      <c r="F5" s="157">
        <v>5.0999999999999997E-2</v>
      </c>
      <c r="G5" s="78">
        <f t="shared" ref="G5:G14" si="1">+G4+F5</f>
        <v>0.32300000000000001</v>
      </c>
      <c r="J5" t="s">
        <v>250</v>
      </c>
      <c r="K5" s="157">
        <v>9.9750000000000005E-2</v>
      </c>
      <c r="L5" s="78">
        <f t="shared" ref="L5:L14" si="2">+L4+K5</f>
        <v>0.30775000000000002</v>
      </c>
      <c r="M5" s="157">
        <v>8.9899999999999994E-2</v>
      </c>
      <c r="O5" t="s">
        <v>250</v>
      </c>
      <c r="P5" s="213">
        <v>9.9750000000000005E-2</v>
      </c>
      <c r="Q5" s="78">
        <f t="shared" ref="Q5:Q14" si="3">+Q4+P5</f>
        <v>0.30775000000000002</v>
      </c>
      <c r="R5" s="157">
        <v>8.9899999999999994E-2</v>
      </c>
    </row>
    <row r="6" spans="1:20" x14ac:dyDescent="0.25">
      <c r="A6" s="82" t="s">
        <v>251</v>
      </c>
      <c r="B6" s="157">
        <v>0.1</v>
      </c>
      <c r="C6" s="78">
        <f t="shared" si="0"/>
        <v>0.39</v>
      </c>
      <c r="E6" s="82" t="s">
        <v>251</v>
      </c>
      <c r="F6" s="157">
        <v>7.6499999999999999E-2</v>
      </c>
      <c r="G6" s="78">
        <f t="shared" si="1"/>
        <v>0.39950000000000002</v>
      </c>
      <c r="J6" s="82" t="s">
        <v>251</v>
      </c>
      <c r="K6" s="157">
        <v>8.8749999999999996E-2</v>
      </c>
      <c r="L6" s="78">
        <f t="shared" si="2"/>
        <v>0.39650000000000002</v>
      </c>
      <c r="M6" s="157">
        <v>7.8100000000000003E-2</v>
      </c>
      <c r="O6" s="82" t="s">
        <v>251</v>
      </c>
      <c r="P6" s="213">
        <v>8.2500000000000004E-2</v>
      </c>
      <c r="Q6" s="78">
        <f t="shared" si="3"/>
        <v>0.39025000000000004</v>
      </c>
      <c r="R6" s="157">
        <v>7.8100000000000003E-2</v>
      </c>
    </row>
    <row r="7" spans="1:20" x14ac:dyDescent="0.25">
      <c r="A7" t="s">
        <v>252</v>
      </c>
      <c r="B7" s="157">
        <v>0.09</v>
      </c>
      <c r="C7" s="78">
        <f t="shared" si="0"/>
        <v>0.48</v>
      </c>
      <c r="E7" t="s">
        <v>252</v>
      </c>
      <c r="F7" s="157">
        <v>6.0999999999999999E-2</v>
      </c>
      <c r="G7" s="78">
        <f t="shared" si="1"/>
        <v>0.46050000000000002</v>
      </c>
      <c r="J7" t="s">
        <v>252</v>
      </c>
      <c r="K7" s="157">
        <v>6.0999999999999999E-2</v>
      </c>
      <c r="L7" s="78">
        <f t="shared" si="2"/>
        <v>0.45750000000000002</v>
      </c>
      <c r="M7" s="157">
        <v>6.4250000000000002E-2</v>
      </c>
      <c r="N7" s="193"/>
      <c r="O7" t="s">
        <v>252</v>
      </c>
      <c r="P7" s="213">
        <v>6.1000000000000006E-2</v>
      </c>
      <c r="Q7" s="78">
        <f t="shared" si="3"/>
        <v>0.45125000000000004</v>
      </c>
      <c r="R7" s="157">
        <v>6.4250000000000002E-2</v>
      </c>
    </row>
    <row r="8" spans="1:20" x14ac:dyDescent="0.25">
      <c r="A8" s="82" t="s">
        <v>234</v>
      </c>
      <c r="B8" s="157">
        <v>0.05</v>
      </c>
      <c r="C8" s="78">
        <f t="shared" si="0"/>
        <v>0.53</v>
      </c>
      <c r="E8" s="82" t="s">
        <v>234</v>
      </c>
      <c r="F8" s="194">
        <v>4.9000000000000002E-2</v>
      </c>
      <c r="G8" s="78">
        <f t="shared" si="1"/>
        <v>0.50950000000000006</v>
      </c>
      <c r="J8" s="82" t="s">
        <v>234</v>
      </c>
      <c r="K8" s="157">
        <v>5.2749999999999998E-2</v>
      </c>
      <c r="L8" s="78">
        <f t="shared" si="2"/>
        <v>0.51024999999999998</v>
      </c>
      <c r="N8" s="78"/>
      <c r="O8" s="82" t="s">
        <v>234</v>
      </c>
      <c r="P8" s="214">
        <v>1.9E-2</v>
      </c>
      <c r="Q8" s="78">
        <f t="shared" si="3"/>
        <v>0.47025000000000006</v>
      </c>
      <c r="R8" s="157">
        <v>2.1987500000000187E-2</v>
      </c>
      <c r="S8" s="157"/>
    </row>
    <row r="9" spans="1:20" x14ac:dyDescent="0.25">
      <c r="A9" t="s">
        <v>228</v>
      </c>
      <c r="B9" s="157">
        <v>0.1</v>
      </c>
      <c r="C9" s="78">
        <f t="shared" si="0"/>
        <v>0.63</v>
      </c>
      <c r="E9" t="s">
        <v>228</v>
      </c>
      <c r="F9" s="194">
        <v>0.107</v>
      </c>
      <c r="G9" s="78">
        <f t="shared" si="1"/>
        <v>0.61650000000000005</v>
      </c>
      <c r="J9" t="s">
        <v>228</v>
      </c>
      <c r="K9" s="157">
        <v>0.125</v>
      </c>
      <c r="L9" s="78">
        <f t="shared" si="2"/>
        <v>0.63524999999999998</v>
      </c>
      <c r="O9" t="s">
        <v>228</v>
      </c>
      <c r="P9" s="214">
        <v>0.19025</v>
      </c>
      <c r="Q9" s="78">
        <f t="shared" si="3"/>
        <v>0.66050000000000009</v>
      </c>
      <c r="R9" s="215"/>
      <c r="S9" s="214">
        <v>0.18099999999999999</v>
      </c>
      <c r="T9" s="215" t="s">
        <v>516</v>
      </c>
    </row>
    <row r="10" spans="1:20" x14ac:dyDescent="0.25">
      <c r="A10" t="s">
        <v>229</v>
      </c>
      <c r="B10" s="157">
        <v>0.08</v>
      </c>
      <c r="C10" s="78">
        <f t="shared" si="0"/>
        <v>0.71</v>
      </c>
      <c r="E10" t="s">
        <v>229</v>
      </c>
      <c r="F10" s="194">
        <v>0.05</v>
      </c>
      <c r="G10" s="78">
        <f t="shared" si="1"/>
        <v>0.66650000000000009</v>
      </c>
      <c r="J10" t="s">
        <v>229</v>
      </c>
      <c r="K10" s="157">
        <v>5.3499999999999999E-2</v>
      </c>
      <c r="L10" s="78">
        <f t="shared" si="2"/>
        <v>0.68874999999999997</v>
      </c>
      <c r="O10" t="s">
        <v>229</v>
      </c>
      <c r="P10" s="214">
        <v>3.6999999999999998E-2</v>
      </c>
      <c r="Q10" s="78">
        <f t="shared" si="3"/>
        <v>0.69750000000000012</v>
      </c>
    </row>
    <row r="11" spans="1:20" x14ac:dyDescent="0.25">
      <c r="A11" t="s">
        <v>230</v>
      </c>
      <c r="B11" s="157">
        <v>0.08</v>
      </c>
      <c r="C11" s="78">
        <f t="shared" si="0"/>
        <v>0.78999999999999992</v>
      </c>
      <c r="E11" t="s">
        <v>230</v>
      </c>
      <c r="F11" s="194">
        <v>0.09</v>
      </c>
      <c r="G11" s="78">
        <f t="shared" si="1"/>
        <v>0.75650000000000006</v>
      </c>
      <c r="J11" t="s">
        <v>230</v>
      </c>
      <c r="K11" s="157">
        <v>8.7499999999999994E-2</v>
      </c>
      <c r="L11" s="78">
        <f t="shared" si="2"/>
        <v>0.77625</v>
      </c>
      <c r="O11" t="s">
        <v>230</v>
      </c>
      <c r="P11" s="214">
        <v>8.8999999999999996E-2</v>
      </c>
      <c r="Q11" s="78">
        <f t="shared" si="3"/>
        <v>0.78650000000000009</v>
      </c>
    </row>
    <row r="12" spans="1:20" x14ac:dyDescent="0.25">
      <c r="A12" t="s">
        <v>231</v>
      </c>
      <c r="B12" s="157">
        <v>0.1</v>
      </c>
      <c r="C12" s="78">
        <f t="shared" si="0"/>
        <v>0.8899999999999999</v>
      </c>
      <c r="E12" t="s">
        <v>231</v>
      </c>
      <c r="F12" s="194">
        <v>7.1499999999999994E-2</v>
      </c>
      <c r="G12" s="78">
        <f t="shared" si="1"/>
        <v>0.82800000000000007</v>
      </c>
      <c r="J12" t="s">
        <v>231</v>
      </c>
      <c r="K12" s="157">
        <v>5.6500000000000002E-2</v>
      </c>
      <c r="L12" s="78">
        <f t="shared" si="2"/>
        <v>0.83274999999999999</v>
      </c>
      <c r="O12" t="s">
        <v>231</v>
      </c>
      <c r="P12" s="214">
        <v>4.0500000000000001E-2</v>
      </c>
      <c r="Q12" s="78">
        <f t="shared" si="3"/>
        <v>0.82700000000000007</v>
      </c>
    </row>
    <row r="13" spans="1:20" x14ac:dyDescent="0.25">
      <c r="A13" t="s">
        <v>232</v>
      </c>
      <c r="B13" s="157">
        <v>7.0000000000000007E-2</v>
      </c>
      <c r="C13" s="78">
        <f t="shared" si="0"/>
        <v>0.96</v>
      </c>
      <c r="E13" t="s">
        <v>232</v>
      </c>
      <c r="F13" s="194">
        <v>3.9E-2</v>
      </c>
      <c r="G13" s="78">
        <f t="shared" si="1"/>
        <v>0.8670000000000001</v>
      </c>
      <c r="J13" t="s">
        <v>232</v>
      </c>
      <c r="K13" s="157">
        <v>4.5249999999999999E-2</v>
      </c>
      <c r="L13" s="78">
        <f t="shared" si="2"/>
        <v>0.878</v>
      </c>
      <c r="O13" t="s">
        <v>232</v>
      </c>
      <c r="P13" s="214">
        <v>5.7000000000000002E-2</v>
      </c>
      <c r="Q13" s="78">
        <f t="shared" si="3"/>
        <v>0.88400000000000012</v>
      </c>
    </row>
    <row r="14" spans="1:20" x14ac:dyDescent="0.25">
      <c r="A14" t="s">
        <v>233</v>
      </c>
      <c r="B14" s="157">
        <v>0.04</v>
      </c>
      <c r="C14" s="78">
        <f t="shared" si="0"/>
        <v>1</v>
      </c>
      <c r="E14" t="s">
        <v>233</v>
      </c>
      <c r="F14" s="194">
        <v>0.13300000000000001</v>
      </c>
      <c r="G14" s="78">
        <f t="shared" si="1"/>
        <v>1</v>
      </c>
      <c r="J14" t="s">
        <v>233</v>
      </c>
      <c r="K14" s="157">
        <v>0.122</v>
      </c>
      <c r="L14" s="78">
        <f t="shared" si="2"/>
        <v>1</v>
      </c>
      <c r="O14" t="s">
        <v>233</v>
      </c>
      <c r="P14" s="214">
        <v>0.11600000000000001</v>
      </c>
      <c r="Q14" s="78">
        <f t="shared" si="3"/>
        <v>1.0000000000000002</v>
      </c>
    </row>
    <row r="15" spans="1:20" x14ac:dyDescent="0.25">
      <c r="M15" s="157"/>
      <c r="P15" s="215">
        <f>SUM(P3:P14)</f>
        <v>1.0000000000000002</v>
      </c>
      <c r="Q15" s="78"/>
    </row>
    <row r="16" spans="1:20" x14ac:dyDescent="0.25">
      <c r="A16" t="s">
        <v>236</v>
      </c>
      <c r="B16" t="s">
        <v>340</v>
      </c>
      <c r="M16" s="78"/>
      <c r="Q16" s="78"/>
    </row>
    <row r="17" spans="1:20" x14ac:dyDescent="0.25">
      <c r="B17" t="s">
        <v>339</v>
      </c>
    </row>
    <row r="19" spans="1:20" x14ac:dyDescent="0.25">
      <c r="A19" t="s">
        <v>366</v>
      </c>
    </row>
    <row r="20" spans="1:20" x14ac:dyDescent="0.25">
      <c r="A20" t="s">
        <v>354</v>
      </c>
    </row>
    <row r="21" spans="1:20" ht="15.75" thickBot="1" x14ac:dyDescent="0.3">
      <c r="A21" t="s">
        <v>367</v>
      </c>
    </row>
    <row r="22" spans="1:20" ht="15.75" thickBot="1" x14ac:dyDescent="0.3">
      <c r="F22" s="216"/>
      <c r="G22" s="217"/>
      <c r="H22" s="217" t="s">
        <v>423</v>
      </c>
      <c r="I22" s="217"/>
      <c r="J22" s="218"/>
      <c r="M22" s="216"/>
      <c r="N22" s="217"/>
      <c r="O22" s="217" t="s">
        <v>517</v>
      </c>
      <c r="P22" s="217"/>
      <c r="Q22" s="218"/>
    </row>
    <row r="23" spans="1:20" x14ac:dyDescent="0.25">
      <c r="A23" s="216"/>
      <c r="B23" s="217"/>
      <c r="C23" s="217" t="s">
        <v>235</v>
      </c>
      <c r="D23" s="217" t="s">
        <v>253</v>
      </c>
      <c r="E23" s="217" t="s">
        <v>365</v>
      </c>
      <c r="F23" s="219"/>
      <c r="G23" s="166"/>
      <c r="H23" s="166" t="s">
        <v>235</v>
      </c>
      <c r="I23" s="166" t="s">
        <v>253</v>
      </c>
      <c r="J23" s="223" t="s">
        <v>365</v>
      </c>
      <c r="M23" s="219"/>
      <c r="N23" s="166"/>
      <c r="O23" s="166" t="s">
        <v>235</v>
      </c>
      <c r="P23" s="166" t="s">
        <v>253</v>
      </c>
      <c r="Q23" s="223" t="s">
        <v>365</v>
      </c>
    </row>
    <row r="24" spans="1:20" x14ac:dyDescent="0.25">
      <c r="A24" s="219" t="s">
        <v>248</v>
      </c>
      <c r="B24" s="166">
        <v>12</v>
      </c>
      <c r="C24" s="75">
        <f>+B24/$B$36</f>
        <v>0.15</v>
      </c>
      <c r="D24" s="220">
        <f>+C24</f>
        <v>0.15</v>
      </c>
      <c r="E24" s="228">
        <f>12/12</f>
        <v>1</v>
      </c>
      <c r="F24" s="219" t="s">
        <v>248</v>
      </c>
      <c r="G24" s="166">
        <v>12</v>
      </c>
      <c r="H24" s="75">
        <f t="shared" ref="H24:H35" si="4">+G24/$G$36</f>
        <v>0.15189873417721519</v>
      </c>
      <c r="I24" s="220">
        <f>+H24</f>
        <v>0.15189873417721519</v>
      </c>
      <c r="J24" s="221">
        <f>12/12</f>
        <v>1</v>
      </c>
      <c r="M24" s="219" t="s">
        <v>248</v>
      </c>
      <c r="N24" s="166">
        <v>12</v>
      </c>
      <c r="O24" s="75">
        <f>+N24/$N$36</f>
        <v>0.15189873417721519</v>
      </c>
      <c r="P24" s="220">
        <f>+O24</f>
        <v>0.15189873417721519</v>
      </c>
      <c r="Q24" s="221">
        <f>12/12</f>
        <v>1</v>
      </c>
    </row>
    <row r="25" spans="1:20" x14ac:dyDescent="0.25">
      <c r="A25" s="222" t="s">
        <v>249</v>
      </c>
      <c r="B25" s="166">
        <v>19</v>
      </c>
      <c r="C25" s="75">
        <f t="shared" ref="C25:C36" si="5">+B25/$B$36</f>
        <v>0.23749999999999999</v>
      </c>
      <c r="D25" s="220">
        <f>+D24+C25</f>
        <v>0.38749999999999996</v>
      </c>
      <c r="E25" s="166"/>
      <c r="F25" s="222" t="s">
        <v>249</v>
      </c>
      <c r="G25" s="166">
        <v>15</v>
      </c>
      <c r="H25" s="75">
        <f t="shared" si="4"/>
        <v>0.189873417721519</v>
      </c>
      <c r="I25" s="220">
        <f>+I24+H25</f>
        <v>0.34177215189873422</v>
      </c>
      <c r="J25" s="221">
        <f>15/15</f>
        <v>1</v>
      </c>
      <c r="M25" s="222" t="s">
        <v>249</v>
      </c>
      <c r="N25" s="166">
        <v>15</v>
      </c>
      <c r="O25" s="75">
        <f t="shared" ref="O25:O35" si="6">+N25/$N$36</f>
        <v>0.189873417721519</v>
      </c>
      <c r="P25" s="220">
        <f>+P24+O25</f>
        <v>0.34177215189873422</v>
      </c>
      <c r="Q25" s="221">
        <f>15/15</f>
        <v>1</v>
      </c>
    </row>
    <row r="26" spans="1:20" x14ac:dyDescent="0.25">
      <c r="A26" s="219" t="s">
        <v>250</v>
      </c>
      <c r="B26" s="166">
        <v>4</v>
      </c>
      <c r="C26" s="75">
        <f t="shared" si="5"/>
        <v>0.05</v>
      </c>
      <c r="D26" s="220">
        <f t="shared" ref="D26:D35" si="7">+D25+C26</f>
        <v>0.43749999999999994</v>
      </c>
      <c r="E26" s="229"/>
      <c r="F26" s="219" t="s">
        <v>250</v>
      </c>
      <c r="G26" s="166">
        <v>7</v>
      </c>
      <c r="H26" s="75">
        <f t="shared" si="4"/>
        <v>8.8607594936708861E-2</v>
      </c>
      <c r="I26" s="220">
        <f t="shared" ref="I26:I35" si="8">+I25+H26</f>
        <v>0.43037974683544311</v>
      </c>
      <c r="J26" s="221">
        <f>7/7</f>
        <v>1</v>
      </c>
      <c r="K26" s="133"/>
      <c r="L26" s="133"/>
      <c r="M26" s="219" t="s">
        <v>250</v>
      </c>
      <c r="N26" s="166">
        <v>7</v>
      </c>
      <c r="O26" s="75">
        <f t="shared" si="6"/>
        <v>8.8607594936708861E-2</v>
      </c>
      <c r="P26" s="220">
        <f t="shared" ref="P26:P35" si="9">+P25+O26</f>
        <v>0.43037974683544311</v>
      </c>
      <c r="Q26" s="221">
        <f>7/7</f>
        <v>1</v>
      </c>
    </row>
    <row r="27" spans="1:20" x14ac:dyDescent="0.25">
      <c r="A27" s="222" t="s">
        <v>251</v>
      </c>
      <c r="B27" s="166">
        <v>6</v>
      </c>
      <c r="C27" s="75">
        <f t="shared" si="5"/>
        <v>7.4999999999999997E-2</v>
      </c>
      <c r="D27" s="220">
        <f t="shared" si="7"/>
        <v>0.51249999999999996</v>
      </c>
      <c r="E27" s="166"/>
      <c r="F27" s="222" t="s">
        <v>251</v>
      </c>
      <c r="G27" s="166">
        <v>6</v>
      </c>
      <c r="H27" s="75">
        <f t="shared" si="4"/>
        <v>7.5949367088607597E-2</v>
      </c>
      <c r="I27" s="220">
        <f t="shared" si="8"/>
        <v>0.50632911392405067</v>
      </c>
      <c r="J27" s="221">
        <f>4/6</f>
        <v>0.66666666666666663</v>
      </c>
      <c r="M27" s="222" t="s">
        <v>251</v>
      </c>
      <c r="N27" s="166">
        <v>6</v>
      </c>
      <c r="O27" s="75">
        <f t="shared" si="6"/>
        <v>7.5949367088607597E-2</v>
      </c>
      <c r="P27" s="220">
        <f t="shared" si="9"/>
        <v>0.50632911392405067</v>
      </c>
      <c r="Q27" s="221">
        <f>4/6</f>
        <v>0.66666666666666663</v>
      </c>
    </row>
    <row r="28" spans="1:20" x14ac:dyDescent="0.25">
      <c r="A28" s="219" t="s">
        <v>252</v>
      </c>
      <c r="B28" s="166">
        <v>6</v>
      </c>
      <c r="C28" s="75">
        <f t="shared" si="5"/>
        <v>7.4999999999999997E-2</v>
      </c>
      <c r="D28" s="220">
        <f t="shared" si="7"/>
        <v>0.58749999999999991</v>
      </c>
      <c r="E28" s="166"/>
      <c r="F28" s="219" t="s">
        <v>252</v>
      </c>
      <c r="G28" s="166">
        <v>6</v>
      </c>
      <c r="H28" s="75">
        <f t="shared" si="4"/>
        <v>7.5949367088607597E-2</v>
      </c>
      <c r="I28" s="220">
        <f t="shared" si="8"/>
        <v>0.58227848101265822</v>
      </c>
      <c r="J28" s="221">
        <f>6/6</f>
        <v>1</v>
      </c>
      <c r="M28" s="219" t="s">
        <v>252</v>
      </c>
      <c r="N28" s="166">
        <v>6</v>
      </c>
      <c r="O28" s="75">
        <f t="shared" si="6"/>
        <v>7.5949367088607597E-2</v>
      </c>
      <c r="P28" s="220">
        <f t="shared" si="9"/>
        <v>0.58227848101265822</v>
      </c>
      <c r="Q28" s="221">
        <f>6/6</f>
        <v>1</v>
      </c>
    </row>
    <row r="29" spans="1:20" x14ac:dyDescent="0.25">
      <c r="A29" s="222" t="s">
        <v>234</v>
      </c>
      <c r="B29" s="166">
        <v>3</v>
      </c>
      <c r="C29" s="75">
        <f t="shared" si="5"/>
        <v>3.7499999999999999E-2</v>
      </c>
      <c r="D29" s="220">
        <f t="shared" si="7"/>
        <v>0.62499999999999989</v>
      </c>
      <c r="E29" s="166"/>
      <c r="F29" s="222" t="s">
        <v>234</v>
      </c>
      <c r="G29" s="166">
        <v>3</v>
      </c>
      <c r="H29" s="75">
        <f t="shared" si="4"/>
        <v>3.7974683544303799E-2</v>
      </c>
      <c r="I29" s="220">
        <f t="shared" si="8"/>
        <v>0.620253164556962</v>
      </c>
      <c r="J29" s="221"/>
      <c r="M29" s="222" t="s">
        <v>234</v>
      </c>
      <c r="N29" s="166">
        <v>3</v>
      </c>
      <c r="O29" s="75">
        <f t="shared" si="6"/>
        <v>3.7974683544303799E-2</v>
      </c>
      <c r="P29" s="220">
        <f t="shared" si="9"/>
        <v>0.620253164556962</v>
      </c>
      <c r="Q29" s="221">
        <f>3/3</f>
        <v>1</v>
      </c>
      <c r="S29" s="220"/>
    </row>
    <row r="30" spans="1:20" x14ac:dyDescent="0.25">
      <c r="A30" s="219" t="s">
        <v>228</v>
      </c>
      <c r="B30" s="166">
        <v>8</v>
      </c>
      <c r="C30" s="75">
        <f t="shared" si="5"/>
        <v>0.1</v>
      </c>
      <c r="D30" s="220">
        <f t="shared" si="7"/>
        <v>0.72499999999999987</v>
      </c>
      <c r="E30" s="166"/>
      <c r="F30" s="219" t="s">
        <v>228</v>
      </c>
      <c r="G30" s="166">
        <v>8</v>
      </c>
      <c r="H30" s="75">
        <f t="shared" si="4"/>
        <v>0.10126582278481013</v>
      </c>
      <c r="I30" s="220">
        <f t="shared" si="8"/>
        <v>0.72151898734177211</v>
      </c>
      <c r="J30" s="221"/>
      <c r="M30" s="219" t="s">
        <v>228</v>
      </c>
      <c r="N30" s="166">
        <v>7</v>
      </c>
      <c r="O30" s="75">
        <f t="shared" si="6"/>
        <v>8.8607594936708861E-2</v>
      </c>
      <c r="P30" s="220">
        <f t="shared" si="9"/>
        <v>0.70886075949367089</v>
      </c>
      <c r="Q30" s="221"/>
      <c r="R30" s="238">
        <v>8.3400000000000002E-2</v>
      </c>
      <c r="S30" s="215" t="s">
        <v>516</v>
      </c>
      <c r="T30" s="78"/>
    </row>
    <row r="31" spans="1:20" x14ac:dyDescent="0.25">
      <c r="A31" s="219" t="s">
        <v>229</v>
      </c>
      <c r="B31" s="166">
        <v>3</v>
      </c>
      <c r="C31" s="75">
        <f t="shared" si="5"/>
        <v>3.7499999999999999E-2</v>
      </c>
      <c r="D31" s="220">
        <f t="shared" si="7"/>
        <v>0.76249999999999984</v>
      </c>
      <c r="E31" s="166"/>
      <c r="F31" s="219" t="s">
        <v>229</v>
      </c>
      <c r="G31" s="166">
        <v>3</v>
      </c>
      <c r="H31" s="75">
        <f t="shared" si="4"/>
        <v>3.7974683544303799E-2</v>
      </c>
      <c r="I31" s="220">
        <f t="shared" si="8"/>
        <v>0.75949367088607589</v>
      </c>
      <c r="J31" s="221"/>
      <c r="M31" s="219" t="s">
        <v>229</v>
      </c>
      <c r="N31" s="166">
        <v>4</v>
      </c>
      <c r="O31" s="75">
        <f t="shared" si="6"/>
        <v>5.0632911392405063E-2</v>
      </c>
      <c r="P31" s="220">
        <f t="shared" si="9"/>
        <v>0.759493670886076</v>
      </c>
      <c r="Q31" s="221"/>
      <c r="S31" s="220"/>
    </row>
    <row r="32" spans="1:20" x14ac:dyDescent="0.25">
      <c r="A32" s="219" t="s">
        <v>230</v>
      </c>
      <c r="B32" s="166">
        <v>5</v>
      </c>
      <c r="C32" s="75">
        <f t="shared" si="5"/>
        <v>6.25E-2</v>
      </c>
      <c r="D32" s="220">
        <f t="shared" si="7"/>
        <v>0.82499999999999984</v>
      </c>
      <c r="E32" s="166"/>
      <c r="F32" s="219" t="s">
        <v>230</v>
      </c>
      <c r="G32" s="166">
        <v>5</v>
      </c>
      <c r="H32" s="75">
        <f t="shared" si="4"/>
        <v>6.3291139240506333E-2</v>
      </c>
      <c r="I32" s="220">
        <f t="shared" si="8"/>
        <v>0.82278481012658222</v>
      </c>
      <c r="J32" s="221"/>
      <c r="M32" s="219" t="s">
        <v>230</v>
      </c>
      <c r="N32" s="166">
        <v>5</v>
      </c>
      <c r="O32" s="75">
        <f t="shared" si="6"/>
        <v>6.3291139240506333E-2</v>
      </c>
      <c r="P32" s="220">
        <f t="shared" si="9"/>
        <v>0.82278481012658233</v>
      </c>
      <c r="Q32" s="221"/>
      <c r="S32" s="220"/>
    </row>
    <row r="33" spans="1:19" x14ac:dyDescent="0.25">
      <c r="A33" s="219" t="s">
        <v>231</v>
      </c>
      <c r="B33" s="166">
        <v>5</v>
      </c>
      <c r="C33" s="75">
        <f t="shared" si="5"/>
        <v>6.25E-2</v>
      </c>
      <c r="D33" s="220">
        <f t="shared" si="7"/>
        <v>0.88749999999999984</v>
      </c>
      <c r="E33" s="166"/>
      <c r="F33" s="219" t="s">
        <v>231</v>
      </c>
      <c r="G33" s="166">
        <v>5</v>
      </c>
      <c r="H33" s="75">
        <f t="shared" si="4"/>
        <v>6.3291139240506333E-2</v>
      </c>
      <c r="I33" s="220">
        <f t="shared" si="8"/>
        <v>0.88607594936708856</v>
      </c>
      <c r="J33" s="221"/>
      <c r="M33" s="219" t="s">
        <v>231</v>
      </c>
      <c r="N33" s="166">
        <v>4</v>
      </c>
      <c r="O33" s="75">
        <f t="shared" si="6"/>
        <v>5.0632911392405063E-2</v>
      </c>
      <c r="P33" s="220">
        <f t="shared" si="9"/>
        <v>0.87341772151898744</v>
      </c>
      <c r="Q33" s="221"/>
      <c r="S33" s="220"/>
    </row>
    <row r="34" spans="1:19" x14ac:dyDescent="0.25">
      <c r="A34" s="219" t="s">
        <v>232</v>
      </c>
      <c r="B34" s="166">
        <v>4</v>
      </c>
      <c r="C34" s="75">
        <f t="shared" si="5"/>
        <v>0.05</v>
      </c>
      <c r="D34" s="220">
        <f t="shared" si="7"/>
        <v>0.93749999999999989</v>
      </c>
      <c r="E34" s="166"/>
      <c r="F34" s="219" t="s">
        <v>232</v>
      </c>
      <c r="G34" s="166">
        <v>4</v>
      </c>
      <c r="H34" s="75">
        <f t="shared" si="4"/>
        <v>5.0632911392405063E-2</v>
      </c>
      <c r="I34" s="220">
        <f t="shared" si="8"/>
        <v>0.93670886075949367</v>
      </c>
      <c r="J34" s="221"/>
      <c r="M34" s="219" t="s">
        <v>232</v>
      </c>
      <c r="N34" s="166">
        <v>5</v>
      </c>
      <c r="O34" s="75">
        <f t="shared" si="6"/>
        <v>6.3291139240506333E-2</v>
      </c>
      <c r="P34" s="220">
        <f t="shared" si="9"/>
        <v>0.93670886075949378</v>
      </c>
      <c r="Q34" s="221"/>
      <c r="S34" s="220"/>
    </row>
    <row r="35" spans="1:19" x14ac:dyDescent="0.25">
      <c r="A35" s="219" t="s">
        <v>233</v>
      </c>
      <c r="B35" s="166">
        <v>5</v>
      </c>
      <c r="C35" s="75">
        <f t="shared" si="5"/>
        <v>6.25E-2</v>
      </c>
      <c r="D35" s="220">
        <f t="shared" si="7"/>
        <v>0.99999999999999989</v>
      </c>
      <c r="E35" s="166"/>
      <c r="F35" s="219" t="s">
        <v>233</v>
      </c>
      <c r="G35" s="166">
        <v>5</v>
      </c>
      <c r="H35" s="75">
        <f t="shared" si="4"/>
        <v>6.3291139240506333E-2</v>
      </c>
      <c r="I35" s="220">
        <f t="shared" si="8"/>
        <v>1</v>
      </c>
      <c r="J35" s="221"/>
      <c r="M35" s="219" t="s">
        <v>233</v>
      </c>
      <c r="N35" s="166">
        <v>5</v>
      </c>
      <c r="O35" s="75">
        <f t="shared" si="6"/>
        <v>6.3291139240506333E-2</v>
      </c>
      <c r="P35" s="220">
        <f t="shared" si="9"/>
        <v>1</v>
      </c>
      <c r="Q35" s="221"/>
      <c r="S35" s="220"/>
    </row>
    <row r="36" spans="1:19" ht="15.75" thickBot="1" x14ac:dyDescent="0.3">
      <c r="A36" s="224"/>
      <c r="B36" s="225">
        <f>SUM(B24:B35)</f>
        <v>80</v>
      </c>
      <c r="C36" s="226">
        <f t="shared" si="5"/>
        <v>1</v>
      </c>
      <c r="D36" s="225"/>
      <c r="E36" s="225"/>
      <c r="F36" s="224"/>
      <c r="G36" s="225">
        <f>SUM(G24:G35)</f>
        <v>79</v>
      </c>
      <c r="H36" s="226">
        <f t="shared" ref="H36" si="10">+G36/$G$36</f>
        <v>1</v>
      </c>
      <c r="I36" s="225"/>
      <c r="J36" s="227"/>
      <c r="M36" s="224"/>
      <c r="N36" s="225">
        <f>SUM(N24:N35)</f>
        <v>79</v>
      </c>
      <c r="O36" s="226">
        <f>+N36/$N$36</f>
        <v>1</v>
      </c>
      <c r="P36" s="225"/>
      <c r="Q36" s="22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5"/>
  <sheetViews>
    <sheetView zoomScale="70" zoomScaleNormal="70" workbookViewId="0">
      <selection activeCell="A19" sqref="A19:A26"/>
    </sheetView>
  </sheetViews>
  <sheetFormatPr baseColWidth="10" defaultRowHeight="15" x14ac:dyDescent="0.25"/>
  <cols>
    <col min="1" max="1" width="56" customWidth="1"/>
    <col min="2" max="3" width="34.28515625" customWidth="1"/>
  </cols>
  <sheetData>
    <row r="3" spans="1:5" x14ac:dyDescent="0.25">
      <c r="A3" s="26" t="s">
        <v>53</v>
      </c>
      <c r="B3" s="26" t="s">
        <v>6</v>
      </c>
      <c r="C3" s="26" t="s">
        <v>191</v>
      </c>
      <c r="D3" s="25"/>
      <c r="E3" s="25"/>
    </row>
    <row r="4" spans="1:5" x14ac:dyDescent="0.25">
      <c r="A4" s="111" t="s">
        <v>50</v>
      </c>
      <c r="B4" s="111" t="s">
        <v>61</v>
      </c>
      <c r="C4" s="111" t="s">
        <v>158</v>
      </c>
      <c r="D4" s="111"/>
      <c r="E4" s="112">
        <v>0.16</v>
      </c>
    </row>
    <row r="5" spans="1:5" x14ac:dyDescent="0.25">
      <c r="A5" s="28" t="s">
        <v>52</v>
      </c>
      <c r="B5" s="28" t="s">
        <v>62</v>
      </c>
      <c r="C5" s="28" t="s">
        <v>155</v>
      </c>
      <c r="D5" s="28"/>
      <c r="E5" s="29">
        <v>0.12</v>
      </c>
    </row>
    <row r="6" spans="1:5" x14ac:dyDescent="0.25">
      <c r="A6" s="28" t="s">
        <v>45</v>
      </c>
      <c r="B6" s="28" t="s">
        <v>63</v>
      </c>
      <c r="C6" s="28" t="s">
        <v>155</v>
      </c>
      <c r="D6" s="28"/>
      <c r="E6" s="29">
        <v>0.12</v>
      </c>
    </row>
    <row r="7" spans="1:5" x14ac:dyDescent="0.25">
      <c r="A7" s="30" t="s">
        <v>51</v>
      </c>
      <c r="B7" s="30" t="s">
        <v>64</v>
      </c>
      <c r="C7" s="30" t="s">
        <v>156</v>
      </c>
      <c r="D7" s="30"/>
      <c r="E7" s="31">
        <v>0.12</v>
      </c>
    </row>
    <row r="8" spans="1:5" x14ac:dyDescent="0.25">
      <c r="A8" s="111" t="s">
        <v>44</v>
      </c>
      <c r="B8" s="111" t="s">
        <v>65</v>
      </c>
      <c r="C8" s="111" t="s">
        <v>158</v>
      </c>
      <c r="D8" s="111"/>
      <c r="E8" s="112">
        <v>0.12</v>
      </c>
    </row>
    <row r="9" spans="1:5" x14ac:dyDescent="0.25">
      <c r="A9" s="113" t="s">
        <v>43</v>
      </c>
      <c r="B9" s="113" t="s">
        <v>66</v>
      </c>
      <c r="C9" s="113" t="s">
        <v>154</v>
      </c>
      <c r="D9" s="113"/>
      <c r="E9" s="114">
        <v>0.12</v>
      </c>
    </row>
    <row r="10" spans="1:5" x14ac:dyDescent="0.25">
      <c r="A10" s="32" t="s">
        <v>46</v>
      </c>
      <c r="B10" s="32" t="s">
        <v>67</v>
      </c>
      <c r="C10" s="32" t="s">
        <v>157</v>
      </c>
      <c r="D10" s="32"/>
      <c r="E10" s="33">
        <v>0.12</v>
      </c>
    </row>
    <row r="11" spans="1:5" x14ac:dyDescent="0.25">
      <c r="A11" s="111" t="s">
        <v>47</v>
      </c>
      <c r="B11" s="111" t="s">
        <v>68</v>
      </c>
      <c r="C11" s="111" t="s">
        <v>158</v>
      </c>
      <c r="D11" s="111"/>
      <c r="E11" s="112">
        <v>0.12</v>
      </c>
    </row>
    <row r="12" spans="1:5" x14ac:dyDescent="0.25">
      <c r="A12" s="25"/>
      <c r="B12" s="25"/>
      <c r="C12" s="25"/>
      <c r="D12" s="25"/>
      <c r="E12" s="27">
        <f>SUM(E4:E11)</f>
        <v>1</v>
      </c>
    </row>
    <row r="14" spans="1:5" x14ac:dyDescent="0.25">
      <c r="A14" s="5" t="s">
        <v>54</v>
      </c>
    </row>
    <row r="15" spans="1:5" ht="30" x14ac:dyDescent="0.25">
      <c r="A15" s="6" t="s">
        <v>165</v>
      </c>
    </row>
    <row r="16" spans="1:5" x14ac:dyDescent="0.25">
      <c r="A16" s="6"/>
    </row>
    <row r="18" spans="1:3" x14ac:dyDescent="0.25">
      <c r="A18" s="5" t="s">
        <v>48</v>
      </c>
      <c r="B18" t="s">
        <v>116</v>
      </c>
      <c r="C18" t="s">
        <v>117</v>
      </c>
    </row>
    <row r="19" spans="1:3" x14ac:dyDescent="0.25">
      <c r="A19" s="120" t="s">
        <v>243</v>
      </c>
      <c r="B19" s="120">
        <v>1</v>
      </c>
      <c r="C19" s="120" t="s">
        <v>244</v>
      </c>
    </row>
    <row r="20" spans="1:3" x14ac:dyDescent="0.25">
      <c r="A20" s="120" t="s">
        <v>196</v>
      </c>
      <c r="B20" s="120">
        <v>2</v>
      </c>
      <c r="C20" s="120" t="s">
        <v>162</v>
      </c>
    </row>
    <row r="21" spans="1:3" x14ac:dyDescent="0.25">
      <c r="A21" s="120" t="s">
        <v>246</v>
      </c>
      <c r="B21" s="120">
        <v>3</v>
      </c>
      <c r="C21" s="120" t="s">
        <v>245</v>
      </c>
    </row>
    <row r="22" spans="1:3" x14ac:dyDescent="0.25">
      <c r="A22" s="120" t="s">
        <v>160</v>
      </c>
      <c r="B22" s="120">
        <v>4</v>
      </c>
      <c r="C22" s="120" t="s">
        <v>163</v>
      </c>
    </row>
    <row r="23" spans="1:3" x14ac:dyDescent="0.25">
      <c r="A23" s="120" t="s">
        <v>199</v>
      </c>
      <c r="B23" s="120">
        <v>5</v>
      </c>
      <c r="C23" s="120" t="s">
        <v>164</v>
      </c>
    </row>
    <row r="24" spans="1:3" x14ac:dyDescent="0.25">
      <c r="A24" s="120" t="s">
        <v>159</v>
      </c>
      <c r="B24" s="120">
        <v>6</v>
      </c>
      <c r="C24" s="120" t="s">
        <v>247</v>
      </c>
    </row>
    <row r="25" spans="1:3" x14ac:dyDescent="0.25">
      <c r="A25" s="120" t="s">
        <v>222</v>
      </c>
      <c r="B25" s="120">
        <v>7</v>
      </c>
      <c r="C25" s="120" t="s">
        <v>161</v>
      </c>
    </row>
    <row r="26" spans="1:3" x14ac:dyDescent="0.25">
      <c r="A26" s="120" t="s">
        <v>223</v>
      </c>
      <c r="B26" s="120">
        <v>8</v>
      </c>
      <c r="C26" s="120" t="s">
        <v>219</v>
      </c>
    </row>
    <row r="27" spans="1:3" x14ac:dyDescent="0.25">
      <c r="A27" s="120" t="s">
        <v>42</v>
      </c>
      <c r="B27" s="120">
        <v>9</v>
      </c>
      <c r="C27" s="120" t="s">
        <v>197</v>
      </c>
    </row>
    <row r="29" spans="1:3" x14ac:dyDescent="0.25">
      <c r="A29" s="62" t="s">
        <v>146</v>
      </c>
      <c r="B29" s="62"/>
      <c r="C29" s="62"/>
    </row>
    <row r="30" spans="1:3" x14ac:dyDescent="0.25">
      <c r="A30" s="62" t="s">
        <v>69</v>
      </c>
      <c r="B30" s="62" t="s">
        <v>49</v>
      </c>
      <c r="C30" s="62"/>
    </row>
    <row r="33" spans="1:3" x14ac:dyDescent="0.25">
      <c r="A33" s="5" t="s">
        <v>50</v>
      </c>
      <c r="B33" s="5" t="str">
        <f>VLOOKUP(A33,ACTA,2,0)</f>
        <v>CRITERIO1</v>
      </c>
    </row>
    <row r="34" spans="1:3" x14ac:dyDescent="0.25">
      <c r="A34" t="s">
        <v>103</v>
      </c>
      <c r="B34" s="7">
        <f>C34</f>
        <v>0.06</v>
      </c>
      <c r="C34" s="7">
        <v>0.06</v>
      </c>
    </row>
    <row r="35" spans="1:3" x14ac:dyDescent="0.25">
      <c r="A35" t="s">
        <v>102</v>
      </c>
      <c r="B35" s="7">
        <f>B34+C35</f>
        <v>0.1</v>
      </c>
      <c r="C35" s="7">
        <v>0.04</v>
      </c>
    </row>
    <row r="36" spans="1:3" x14ac:dyDescent="0.25">
      <c r="A36" t="s">
        <v>101</v>
      </c>
      <c r="B36" s="7">
        <f t="shared" ref="B36:B47" si="0">B35+C36</f>
        <v>0.11</v>
      </c>
      <c r="C36" s="7">
        <v>0.01</v>
      </c>
    </row>
    <row r="37" spans="1:3" x14ac:dyDescent="0.25">
      <c r="A37" t="s">
        <v>109</v>
      </c>
      <c r="B37" s="7">
        <f t="shared" si="0"/>
        <v>0.12</v>
      </c>
      <c r="C37" s="7">
        <v>0.01</v>
      </c>
    </row>
    <row r="38" spans="1:3" x14ac:dyDescent="0.25">
      <c r="A38" t="s">
        <v>104</v>
      </c>
      <c r="B38" s="7">
        <f t="shared" si="0"/>
        <v>0.37</v>
      </c>
      <c r="C38" s="7">
        <v>0.25</v>
      </c>
    </row>
    <row r="39" spans="1:3" x14ac:dyDescent="0.25">
      <c r="A39" t="s">
        <v>105</v>
      </c>
      <c r="B39" s="7">
        <f t="shared" si="0"/>
        <v>0.62</v>
      </c>
      <c r="C39" s="7">
        <v>0.25</v>
      </c>
    </row>
    <row r="40" spans="1:3" x14ac:dyDescent="0.25">
      <c r="A40" t="s">
        <v>110</v>
      </c>
      <c r="B40" s="7">
        <f t="shared" si="0"/>
        <v>0.72</v>
      </c>
      <c r="C40" s="7">
        <v>0.1</v>
      </c>
    </row>
    <row r="41" spans="1:3" x14ac:dyDescent="0.25">
      <c r="A41" t="s">
        <v>107</v>
      </c>
      <c r="B41" s="7">
        <f t="shared" si="0"/>
        <v>0.77</v>
      </c>
      <c r="C41" s="7">
        <v>0.05</v>
      </c>
    </row>
    <row r="42" spans="1:3" x14ac:dyDescent="0.25">
      <c r="A42" t="s">
        <v>106</v>
      </c>
      <c r="B42" s="7">
        <f t="shared" si="0"/>
        <v>0.78</v>
      </c>
      <c r="C42" s="7">
        <v>0.01</v>
      </c>
    </row>
    <row r="43" spans="1:3" x14ac:dyDescent="0.25">
      <c r="A43" t="s">
        <v>108</v>
      </c>
      <c r="B43" s="7">
        <f t="shared" si="0"/>
        <v>0.83000000000000007</v>
      </c>
      <c r="C43" s="7">
        <v>0.05</v>
      </c>
    </row>
    <row r="44" spans="1:3" x14ac:dyDescent="0.25">
      <c r="A44" t="s">
        <v>111</v>
      </c>
      <c r="B44" s="7">
        <f t="shared" si="0"/>
        <v>0.88000000000000012</v>
      </c>
      <c r="C44" s="7">
        <v>0.05</v>
      </c>
    </row>
    <row r="45" spans="1:3" x14ac:dyDescent="0.25">
      <c r="A45" t="s">
        <v>112</v>
      </c>
      <c r="B45" s="7">
        <f t="shared" si="0"/>
        <v>0.94000000000000017</v>
      </c>
      <c r="C45" s="7">
        <v>0.06</v>
      </c>
    </row>
    <row r="46" spans="1:3" x14ac:dyDescent="0.25">
      <c r="A46" t="s">
        <v>113</v>
      </c>
      <c r="B46" s="7">
        <f t="shared" si="0"/>
        <v>0.95000000000000018</v>
      </c>
      <c r="C46" s="7">
        <v>0.01</v>
      </c>
    </row>
    <row r="47" spans="1:3" x14ac:dyDescent="0.25">
      <c r="A47" t="s">
        <v>177</v>
      </c>
      <c r="B47" s="7">
        <f t="shared" si="0"/>
        <v>1.0000000000000002</v>
      </c>
      <c r="C47" s="7">
        <v>0.05</v>
      </c>
    </row>
    <row r="48" spans="1:3" x14ac:dyDescent="0.25">
      <c r="C48" s="7">
        <f>SUM(C34:C47)</f>
        <v>1.0000000000000002</v>
      </c>
    </row>
    <row r="50" spans="1:3" x14ac:dyDescent="0.25">
      <c r="A50" s="5" t="s">
        <v>52</v>
      </c>
      <c r="B50" s="5" t="str">
        <f>VLOOKUP(A50,ACTA,2,0)</f>
        <v>CRITERIO2</v>
      </c>
    </row>
    <row r="51" spans="1:3" x14ac:dyDescent="0.25">
      <c r="A51" t="s">
        <v>167</v>
      </c>
      <c r="B51" s="7">
        <f>C51</f>
        <v>0.05</v>
      </c>
      <c r="C51" s="7">
        <v>0.05</v>
      </c>
    </row>
    <row r="52" spans="1:3" x14ac:dyDescent="0.25">
      <c r="A52" t="s">
        <v>166</v>
      </c>
      <c r="B52" s="7">
        <f>B51+C52</f>
        <v>0.55000000000000004</v>
      </c>
      <c r="C52" s="7">
        <v>0.5</v>
      </c>
    </row>
    <row r="53" spans="1:3" x14ac:dyDescent="0.25">
      <c r="A53" t="s">
        <v>168</v>
      </c>
      <c r="B53" s="7">
        <f>B52+C53</f>
        <v>0.95000000000000007</v>
      </c>
      <c r="C53" s="7">
        <v>0.4</v>
      </c>
    </row>
    <row r="54" spans="1:3" x14ac:dyDescent="0.25">
      <c r="A54" t="s">
        <v>169</v>
      </c>
      <c r="B54" s="7">
        <f>B53+C54</f>
        <v>1</v>
      </c>
      <c r="C54" s="7">
        <v>0.05</v>
      </c>
    </row>
    <row r="55" spans="1:3" x14ac:dyDescent="0.25">
      <c r="B55" s="7"/>
      <c r="C55" s="7">
        <f>SUM(C51:C54)</f>
        <v>1</v>
      </c>
    </row>
    <row r="56" spans="1:3" x14ac:dyDescent="0.25">
      <c r="B56" s="7"/>
    </row>
    <row r="59" spans="1:3" x14ac:dyDescent="0.25">
      <c r="A59" s="5" t="s">
        <v>45</v>
      </c>
      <c r="B59" s="5" t="str">
        <f>VLOOKUP(A59,ACTA,2,0)</f>
        <v>CRITERIO3</v>
      </c>
    </row>
    <row r="60" spans="1:3" x14ac:dyDescent="0.25">
      <c r="A60" t="s">
        <v>59</v>
      </c>
      <c r="B60" s="7">
        <f>C60</f>
        <v>0.1</v>
      </c>
      <c r="C60" s="7">
        <v>0.1</v>
      </c>
    </row>
    <row r="61" spans="1:3" x14ac:dyDescent="0.25">
      <c r="A61" t="s">
        <v>60</v>
      </c>
      <c r="B61" s="7">
        <f>B60+C61</f>
        <v>0.79999999999999993</v>
      </c>
      <c r="C61" s="7">
        <v>0.7</v>
      </c>
    </row>
    <row r="62" spans="1:3" x14ac:dyDescent="0.25">
      <c r="A62" t="s">
        <v>57</v>
      </c>
      <c r="B62" s="7">
        <f>B61+C62</f>
        <v>1</v>
      </c>
      <c r="C62" s="7">
        <v>0.2</v>
      </c>
    </row>
    <row r="63" spans="1:3" x14ac:dyDescent="0.25">
      <c r="B63" s="7"/>
      <c r="C63" s="7">
        <f>SUM(C60:C62)</f>
        <v>1</v>
      </c>
    </row>
    <row r="64" spans="1:3" x14ac:dyDescent="0.25">
      <c r="B64" s="7"/>
    </row>
    <row r="67" spans="1:3" x14ac:dyDescent="0.25">
      <c r="A67" s="5" t="s">
        <v>51</v>
      </c>
      <c r="B67" s="5" t="str">
        <f>VLOOKUP(A67,ACTA,2,0)</f>
        <v>CRITERIO4</v>
      </c>
    </row>
    <row r="68" spans="1:3" x14ac:dyDescent="0.25">
      <c r="A68" t="s">
        <v>170</v>
      </c>
      <c r="B68" s="7">
        <f>C68</f>
        <v>0.15</v>
      </c>
      <c r="C68" s="7">
        <v>0.15</v>
      </c>
    </row>
    <row r="69" spans="1:3" x14ac:dyDescent="0.25">
      <c r="A69" t="s">
        <v>171</v>
      </c>
      <c r="B69" s="7">
        <f>B68+C69</f>
        <v>0.3</v>
      </c>
      <c r="C69" s="7">
        <v>0.15</v>
      </c>
    </row>
    <row r="70" spans="1:3" x14ac:dyDescent="0.25">
      <c r="A70" t="s">
        <v>101</v>
      </c>
      <c r="B70" s="7">
        <f t="shared" ref="B70:B76" si="1">B69+C70</f>
        <v>0.31</v>
      </c>
      <c r="C70" s="7">
        <v>0.01</v>
      </c>
    </row>
    <row r="71" spans="1:3" x14ac:dyDescent="0.25">
      <c r="A71" t="s">
        <v>172</v>
      </c>
      <c r="B71" s="7">
        <f t="shared" si="1"/>
        <v>0.49</v>
      </c>
      <c r="C71" s="7">
        <v>0.18</v>
      </c>
    </row>
    <row r="72" spans="1:3" x14ac:dyDescent="0.25">
      <c r="A72" t="s">
        <v>105</v>
      </c>
      <c r="B72" s="7">
        <f t="shared" si="1"/>
        <v>0.66999999999999993</v>
      </c>
      <c r="C72" s="7">
        <v>0.18</v>
      </c>
    </row>
    <row r="73" spans="1:3" x14ac:dyDescent="0.25">
      <c r="A73" t="s">
        <v>173</v>
      </c>
      <c r="B73" s="7">
        <f t="shared" si="1"/>
        <v>0.84999999999999987</v>
      </c>
      <c r="C73" s="7">
        <v>0.18</v>
      </c>
    </row>
    <row r="74" spans="1:3" x14ac:dyDescent="0.25">
      <c r="A74" t="s">
        <v>174</v>
      </c>
      <c r="B74" s="7">
        <f t="shared" si="1"/>
        <v>0.93999999999999984</v>
      </c>
      <c r="C74" s="7">
        <v>0.09</v>
      </c>
    </row>
    <row r="75" spans="1:3" x14ac:dyDescent="0.25">
      <c r="A75" t="s">
        <v>175</v>
      </c>
      <c r="B75" s="7">
        <f t="shared" si="1"/>
        <v>0.94999999999999984</v>
      </c>
      <c r="C75" s="7">
        <v>0.01</v>
      </c>
    </row>
    <row r="76" spans="1:3" x14ac:dyDescent="0.25">
      <c r="A76" t="s">
        <v>176</v>
      </c>
      <c r="B76" s="7">
        <f t="shared" si="1"/>
        <v>0.99999999999999989</v>
      </c>
      <c r="C76" s="7">
        <v>0.05</v>
      </c>
    </row>
    <row r="77" spans="1:3" x14ac:dyDescent="0.25">
      <c r="B77" s="7"/>
      <c r="C77" s="7">
        <f>SUM(C68:C76)</f>
        <v>0.99999999999999989</v>
      </c>
    </row>
    <row r="78" spans="1:3" x14ac:dyDescent="0.25">
      <c r="B78" s="7"/>
    </row>
    <row r="81" spans="1:3" x14ac:dyDescent="0.25">
      <c r="A81" s="5" t="s">
        <v>44</v>
      </c>
      <c r="B81" s="5" t="str">
        <f>VLOOKUP(A81,ACTA,2,0)</f>
        <v>CRITERIO5</v>
      </c>
    </row>
    <row r="82" spans="1:3" x14ac:dyDescent="0.25">
      <c r="A82" t="s">
        <v>170</v>
      </c>
      <c r="B82" s="7">
        <f>C82</f>
        <v>0.15</v>
      </c>
      <c r="C82" s="7">
        <v>0.15</v>
      </c>
    </row>
    <row r="83" spans="1:3" x14ac:dyDescent="0.25">
      <c r="A83" t="s">
        <v>178</v>
      </c>
      <c r="B83" s="7">
        <f>B82+C83</f>
        <v>0.3</v>
      </c>
      <c r="C83" s="7">
        <v>0.15</v>
      </c>
    </row>
    <row r="84" spans="1:3" x14ac:dyDescent="0.25">
      <c r="A84" t="s">
        <v>101</v>
      </c>
      <c r="B84" s="7">
        <f t="shared" ref="B84:B90" si="2">B83+C84</f>
        <v>0.31</v>
      </c>
      <c r="C84" s="7">
        <v>0.01</v>
      </c>
    </row>
    <row r="85" spans="1:3" x14ac:dyDescent="0.25">
      <c r="A85" t="s">
        <v>172</v>
      </c>
      <c r="B85" s="7">
        <f t="shared" si="2"/>
        <v>0.49</v>
      </c>
      <c r="C85" s="7">
        <v>0.18</v>
      </c>
    </row>
    <row r="86" spans="1:3" x14ac:dyDescent="0.25">
      <c r="A86" t="s">
        <v>105</v>
      </c>
      <c r="B86" s="7">
        <f t="shared" si="2"/>
        <v>0.66999999999999993</v>
      </c>
      <c r="C86" s="7">
        <v>0.18</v>
      </c>
    </row>
    <row r="87" spans="1:3" x14ac:dyDescent="0.25">
      <c r="A87" t="s">
        <v>173</v>
      </c>
      <c r="B87" s="7">
        <f t="shared" si="2"/>
        <v>0.84999999999999987</v>
      </c>
      <c r="C87" s="7">
        <v>0.18</v>
      </c>
    </row>
    <row r="88" spans="1:3" x14ac:dyDescent="0.25">
      <c r="A88" t="s">
        <v>174</v>
      </c>
      <c r="B88" s="7">
        <f t="shared" si="2"/>
        <v>0.93999999999999984</v>
      </c>
      <c r="C88" s="7">
        <v>0.09</v>
      </c>
    </row>
    <row r="89" spans="1:3" x14ac:dyDescent="0.25">
      <c r="A89" t="s">
        <v>175</v>
      </c>
      <c r="B89" s="7">
        <f t="shared" si="2"/>
        <v>0.94999999999999984</v>
      </c>
      <c r="C89" s="7">
        <v>0.01</v>
      </c>
    </row>
    <row r="90" spans="1:3" x14ac:dyDescent="0.25">
      <c r="A90" t="s">
        <v>176</v>
      </c>
      <c r="B90" s="7">
        <f t="shared" si="2"/>
        <v>0.99999999999999989</v>
      </c>
      <c r="C90" s="7">
        <v>0.05</v>
      </c>
    </row>
    <row r="91" spans="1:3" x14ac:dyDescent="0.25">
      <c r="B91" s="7"/>
      <c r="C91" s="7">
        <f>SUM(C82:C90)</f>
        <v>0.99999999999999989</v>
      </c>
    </row>
    <row r="92" spans="1:3" x14ac:dyDescent="0.25">
      <c r="B92" s="7"/>
    </row>
    <row r="95" spans="1:3" x14ac:dyDescent="0.25">
      <c r="A95" s="5" t="s">
        <v>43</v>
      </c>
      <c r="B95" s="5" t="str">
        <f>VLOOKUP(A95,ACTA,2,0)</f>
        <v>CRITERIO6</v>
      </c>
    </row>
    <row r="96" spans="1:3" x14ac:dyDescent="0.25">
      <c r="A96" s="25" t="s">
        <v>179</v>
      </c>
      <c r="B96" s="7">
        <f>C96</f>
        <v>0.15</v>
      </c>
      <c r="C96" s="7">
        <v>0.15</v>
      </c>
    </row>
    <row r="97" spans="1:3" x14ac:dyDescent="0.25">
      <c r="A97" s="25" t="s">
        <v>180</v>
      </c>
      <c r="B97" s="7">
        <f>B96+C97</f>
        <v>0.3</v>
      </c>
      <c r="C97" s="7">
        <v>0.15</v>
      </c>
    </row>
    <row r="98" spans="1:3" x14ac:dyDescent="0.25">
      <c r="A98" s="25" t="s">
        <v>101</v>
      </c>
      <c r="B98" s="7">
        <f t="shared" ref="B98:B103" si="3">B97+C98</f>
        <v>0.31</v>
      </c>
      <c r="C98" s="7">
        <v>0.01</v>
      </c>
    </row>
    <row r="99" spans="1:3" x14ac:dyDescent="0.25">
      <c r="A99" s="25" t="s">
        <v>58</v>
      </c>
      <c r="B99" s="7">
        <f t="shared" si="3"/>
        <v>0.56000000000000005</v>
      </c>
      <c r="C99" s="7">
        <v>0.25</v>
      </c>
    </row>
    <row r="100" spans="1:3" x14ac:dyDescent="0.25">
      <c r="A100" s="25" t="s">
        <v>181</v>
      </c>
      <c r="B100" s="7">
        <f t="shared" si="3"/>
        <v>0.81</v>
      </c>
      <c r="C100" s="7">
        <v>0.25</v>
      </c>
    </row>
    <row r="101" spans="1:3" x14ac:dyDescent="0.25">
      <c r="A101" s="25" t="s">
        <v>174</v>
      </c>
      <c r="B101" s="7">
        <f t="shared" si="3"/>
        <v>0.9</v>
      </c>
      <c r="C101" s="7">
        <v>0.09</v>
      </c>
    </row>
    <row r="102" spans="1:3" x14ac:dyDescent="0.25">
      <c r="A102" s="25" t="s">
        <v>175</v>
      </c>
      <c r="B102" s="7">
        <f t="shared" si="3"/>
        <v>0.91</v>
      </c>
      <c r="C102" s="7">
        <v>0.01</v>
      </c>
    </row>
    <row r="103" spans="1:3" x14ac:dyDescent="0.25">
      <c r="A103" s="25" t="s">
        <v>182</v>
      </c>
      <c r="B103" s="7">
        <f t="shared" si="3"/>
        <v>1</v>
      </c>
      <c r="C103" s="7">
        <v>0.09</v>
      </c>
    </row>
    <row r="104" spans="1:3" x14ac:dyDescent="0.25">
      <c r="A104" s="25"/>
      <c r="B104" s="7"/>
      <c r="C104" s="7">
        <f>SUM(C96:C103)</f>
        <v>1</v>
      </c>
    </row>
    <row r="105" spans="1:3" x14ac:dyDescent="0.25">
      <c r="A105" s="25"/>
      <c r="B105" s="7"/>
    </row>
    <row r="108" spans="1:3" x14ac:dyDescent="0.25">
      <c r="A108" s="5" t="s">
        <v>46</v>
      </c>
      <c r="B108" s="5" t="str">
        <f>VLOOKUP(A108,ACTA,2,0)</f>
        <v>CRITERIO7</v>
      </c>
    </row>
    <row r="109" spans="1:3" x14ac:dyDescent="0.25">
      <c r="A109" t="s">
        <v>149</v>
      </c>
      <c r="B109" s="7">
        <f>C109</f>
        <v>0.1</v>
      </c>
      <c r="C109" s="7">
        <v>0.1</v>
      </c>
    </row>
    <row r="110" spans="1:3" x14ac:dyDescent="0.25">
      <c r="A110" t="s">
        <v>150</v>
      </c>
      <c r="B110" s="7">
        <f>B109+C110</f>
        <v>0.5</v>
      </c>
      <c r="C110" s="7">
        <v>0.4</v>
      </c>
    </row>
    <row r="111" spans="1:3" x14ac:dyDescent="0.25">
      <c r="A111" t="s">
        <v>151</v>
      </c>
      <c r="B111" s="7">
        <f>B110+C111</f>
        <v>0.8</v>
      </c>
      <c r="C111" s="7">
        <v>0.3</v>
      </c>
    </row>
    <row r="112" spans="1:3" x14ac:dyDescent="0.25">
      <c r="A112" t="s">
        <v>152</v>
      </c>
      <c r="B112" s="7">
        <f>B111+C112</f>
        <v>1</v>
      </c>
      <c r="C112" s="7">
        <v>0.2</v>
      </c>
    </row>
    <row r="113" spans="1:3" x14ac:dyDescent="0.25">
      <c r="B113" s="7"/>
      <c r="C113" s="7">
        <f>SUM(C109:C112)</f>
        <v>1</v>
      </c>
    </row>
    <row r="114" spans="1:3" x14ac:dyDescent="0.25">
      <c r="B114" s="7"/>
    </row>
    <row r="115" spans="1:3" x14ac:dyDescent="0.25">
      <c r="B115" s="7"/>
    </row>
    <row r="117" spans="1:3" x14ac:dyDescent="0.25">
      <c r="A117" s="5" t="s">
        <v>47</v>
      </c>
      <c r="B117" s="5" t="str">
        <f>VLOOKUP(A117,ACTA,2,0)</f>
        <v>CRITERIO8</v>
      </c>
    </row>
    <row r="118" spans="1:3" x14ac:dyDescent="0.25">
      <c r="A118" t="s">
        <v>170</v>
      </c>
      <c r="B118" s="7">
        <f>C118</f>
        <v>0.15</v>
      </c>
      <c r="C118" s="7">
        <v>0.15</v>
      </c>
    </row>
    <row r="119" spans="1:3" x14ac:dyDescent="0.25">
      <c r="A119" t="s">
        <v>183</v>
      </c>
      <c r="B119" s="7">
        <f>B118+C119</f>
        <v>0.3</v>
      </c>
      <c r="C119" s="7">
        <v>0.15</v>
      </c>
    </row>
    <row r="120" spans="1:3" x14ac:dyDescent="0.25">
      <c r="A120" t="s">
        <v>101</v>
      </c>
      <c r="B120" s="7">
        <f t="shared" ref="B120:B126" si="4">B119+C120</f>
        <v>0.31</v>
      </c>
      <c r="C120" s="7">
        <v>0.01</v>
      </c>
    </row>
    <row r="121" spans="1:3" x14ac:dyDescent="0.25">
      <c r="A121" t="s">
        <v>172</v>
      </c>
      <c r="B121" s="7">
        <f t="shared" si="4"/>
        <v>0.49</v>
      </c>
      <c r="C121" s="7">
        <v>0.18</v>
      </c>
    </row>
    <row r="122" spans="1:3" x14ac:dyDescent="0.25">
      <c r="A122" t="s">
        <v>105</v>
      </c>
      <c r="B122" s="7">
        <f t="shared" si="4"/>
        <v>0.66999999999999993</v>
      </c>
      <c r="C122" s="7">
        <v>0.18</v>
      </c>
    </row>
    <row r="123" spans="1:3" x14ac:dyDescent="0.25">
      <c r="A123" t="s">
        <v>173</v>
      </c>
      <c r="B123" s="7">
        <f t="shared" si="4"/>
        <v>0.84999999999999987</v>
      </c>
      <c r="C123" s="7">
        <v>0.18</v>
      </c>
    </row>
    <row r="124" spans="1:3" x14ac:dyDescent="0.25">
      <c r="A124" t="s">
        <v>174</v>
      </c>
      <c r="B124" s="7">
        <f t="shared" si="4"/>
        <v>0.93999999999999984</v>
      </c>
      <c r="C124" s="7">
        <v>0.09</v>
      </c>
    </row>
    <row r="125" spans="1:3" x14ac:dyDescent="0.25">
      <c r="A125" t="s">
        <v>175</v>
      </c>
      <c r="B125" s="7">
        <f t="shared" si="4"/>
        <v>0.94999999999999984</v>
      </c>
      <c r="C125" s="7">
        <v>0.01</v>
      </c>
    </row>
    <row r="126" spans="1:3" x14ac:dyDescent="0.25">
      <c r="A126" t="s">
        <v>176</v>
      </c>
      <c r="B126" s="7">
        <f t="shared" si="4"/>
        <v>0.99999999999999989</v>
      </c>
      <c r="C126" s="7">
        <v>0.05</v>
      </c>
    </row>
    <row r="127" spans="1:3" x14ac:dyDescent="0.25">
      <c r="B127" s="7"/>
      <c r="C127" s="7">
        <f>SUM(C118:C126)</f>
        <v>0.99999999999999989</v>
      </c>
    </row>
    <row r="128" spans="1:3" x14ac:dyDescent="0.25">
      <c r="B128" s="7"/>
    </row>
    <row r="138" spans="1:3" x14ac:dyDescent="0.25">
      <c r="A138" s="8" t="s">
        <v>70</v>
      </c>
      <c r="B138" s="8" t="s">
        <v>71</v>
      </c>
      <c r="C138" s="8" t="s">
        <v>72</v>
      </c>
    </row>
    <row r="139" spans="1:3" ht="22.5" customHeight="1" x14ac:dyDescent="0.25">
      <c r="A139" s="21" t="s">
        <v>73</v>
      </c>
      <c r="B139" s="21" t="s">
        <v>126</v>
      </c>
      <c r="C139" s="21" t="s">
        <v>74</v>
      </c>
    </row>
    <row r="140" spans="1:3" ht="22.5" customHeight="1" x14ac:dyDescent="0.25">
      <c r="A140" s="21" t="s">
        <v>127</v>
      </c>
      <c r="B140" s="21" t="s">
        <v>75</v>
      </c>
      <c r="C140" s="21" t="s">
        <v>128</v>
      </c>
    </row>
    <row r="141" spans="1:3" ht="22.5" customHeight="1" x14ac:dyDescent="0.25">
      <c r="A141" s="21" t="s">
        <v>129</v>
      </c>
      <c r="B141" s="21" t="s">
        <v>131</v>
      </c>
      <c r="C141" s="21" t="s">
        <v>130</v>
      </c>
    </row>
    <row r="142" spans="1:3" ht="22.5" customHeight="1" x14ac:dyDescent="0.25">
      <c r="A142" s="21" t="s">
        <v>76</v>
      </c>
      <c r="B142" s="21" t="s">
        <v>77</v>
      </c>
      <c r="C142" s="21" t="s">
        <v>78</v>
      </c>
    </row>
    <row r="143" spans="1:3" ht="22.5" customHeight="1" x14ac:dyDescent="0.25">
      <c r="A143" s="21" t="s">
        <v>79</v>
      </c>
      <c r="B143" s="21" t="s">
        <v>133</v>
      </c>
      <c r="C143" s="21" t="s">
        <v>132</v>
      </c>
    </row>
    <row r="144" spans="1:3" ht="22.5" customHeight="1" x14ac:dyDescent="0.25">
      <c r="A144" s="9" t="s">
        <v>80</v>
      </c>
      <c r="B144" s="10" t="s">
        <v>135</v>
      </c>
      <c r="C144" s="11" t="s">
        <v>134</v>
      </c>
    </row>
    <row r="145" spans="1:3" ht="22.5" customHeight="1" x14ac:dyDescent="0.25">
      <c r="A145" s="9" t="s">
        <v>81</v>
      </c>
      <c r="B145" s="10" t="s">
        <v>137</v>
      </c>
      <c r="C145" s="11" t="s">
        <v>136</v>
      </c>
    </row>
    <row r="146" spans="1:3" ht="22.5" customHeight="1" x14ac:dyDescent="0.25">
      <c r="A146" s="9" t="s">
        <v>82</v>
      </c>
      <c r="B146" s="10" t="s">
        <v>139</v>
      </c>
      <c r="C146" s="11" t="s">
        <v>138</v>
      </c>
    </row>
    <row r="147" spans="1:3" ht="22.5" customHeight="1" x14ac:dyDescent="0.25">
      <c r="A147" s="9" t="s">
        <v>83</v>
      </c>
      <c r="B147" s="10" t="s">
        <v>84</v>
      </c>
      <c r="C147" s="11" t="s">
        <v>85</v>
      </c>
    </row>
    <row r="148" spans="1:3" ht="22.5" customHeight="1" x14ac:dyDescent="0.25">
      <c r="A148" s="9" t="s">
        <v>140</v>
      </c>
      <c r="B148" s="12" t="s">
        <v>184</v>
      </c>
      <c r="C148" s="11" t="s">
        <v>86</v>
      </c>
    </row>
    <row r="149" spans="1:3" ht="22.5" customHeight="1" x14ac:dyDescent="0.25">
      <c r="A149" s="13" t="s">
        <v>87</v>
      </c>
      <c r="B149" s="14" t="s">
        <v>77</v>
      </c>
      <c r="C149" s="14" t="s">
        <v>78</v>
      </c>
    </row>
    <row r="150" spans="1:3" ht="22.5" customHeight="1" x14ac:dyDescent="0.25">
      <c r="A150" s="13" t="s">
        <v>88</v>
      </c>
      <c r="B150" s="15" t="s">
        <v>77</v>
      </c>
      <c r="C150" s="14" t="s">
        <v>78</v>
      </c>
    </row>
    <row r="151" spans="1:3" ht="22.5" customHeight="1" x14ac:dyDescent="0.25">
      <c r="A151" s="13" t="s">
        <v>89</v>
      </c>
      <c r="B151" s="16" t="s">
        <v>143</v>
      </c>
      <c r="C151" s="14" t="s">
        <v>142</v>
      </c>
    </row>
    <row r="152" spans="1:3" ht="22.5" customHeight="1" x14ac:dyDescent="0.25">
      <c r="A152" s="13" t="s">
        <v>141</v>
      </c>
      <c r="B152" s="14" t="s">
        <v>184</v>
      </c>
      <c r="C152" s="14" t="s">
        <v>86</v>
      </c>
    </row>
    <row r="153" spans="1:3" ht="22.5" customHeight="1" x14ac:dyDescent="0.25">
      <c r="A153" s="17" t="s">
        <v>90</v>
      </c>
      <c r="B153" s="18" t="s">
        <v>145</v>
      </c>
      <c r="C153" s="19" t="s">
        <v>144</v>
      </c>
    </row>
    <row r="154" spans="1:3" ht="22.5" customHeight="1" x14ac:dyDescent="0.25">
      <c r="A154" s="17" t="s">
        <v>91</v>
      </c>
      <c r="B154" s="20" t="s">
        <v>184</v>
      </c>
      <c r="C154" s="19" t="s">
        <v>86</v>
      </c>
    </row>
    <row r="155" spans="1:3" ht="22.5" customHeight="1" x14ac:dyDescent="0.25">
      <c r="A155" s="13" t="s">
        <v>98</v>
      </c>
      <c r="B155" s="13" t="s">
        <v>99</v>
      </c>
      <c r="C155" s="13" t="s">
        <v>185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25</vt:i4>
      </vt:variant>
    </vt:vector>
  </HeadingPairs>
  <TitlesOfParts>
    <vt:vector size="30" baseType="lpstr">
      <vt:lpstr>Dinámicas</vt:lpstr>
      <vt:lpstr>Hoja1</vt:lpstr>
      <vt:lpstr>PAA 2021 Versión 3</vt:lpstr>
      <vt:lpstr>Para seg PI 7696 - Indicador</vt:lpstr>
      <vt:lpstr>Listas Desplegables</vt:lpstr>
      <vt:lpstr>ACT</vt:lpstr>
      <vt:lpstr>ACTA</vt:lpstr>
      <vt:lpstr>'PAA 2021 Versión 3'!Área_de_impresión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'PAA 2021 Versión 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Ivonne Andrea Torres Cruz</cp:lastModifiedBy>
  <cp:lastPrinted>2020-08-27T19:31:24Z</cp:lastPrinted>
  <dcterms:created xsi:type="dcterms:W3CDTF">2018-02-07T23:53:02Z</dcterms:created>
  <dcterms:modified xsi:type="dcterms:W3CDTF">2021-07-02T20:51:56Z</dcterms:modified>
</cp:coreProperties>
</file>