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ontrol Interno\Downloads\"/>
    </mc:Choice>
  </mc:AlternateContent>
  <bookViews>
    <workbookView xWindow="0" yWindow="0" windowWidth="23040" windowHeight="8040" tabRatio="676" activeTab="1"/>
  </bookViews>
  <sheets>
    <sheet name="Dinámicas" sheetId="3" r:id="rId1"/>
    <sheet name="PAA 2021 Versión 2" sheetId="1" r:id="rId2"/>
    <sheet name="Para seg PI 7696 - Indicador" sheetId="10" r:id="rId3"/>
    <sheet name="PARA PRESENTACIÓN" sheetId="11" r:id="rId4"/>
    <sheet name="Listas Desplegables" sheetId="2" r:id="rId5"/>
  </sheets>
  <externalReferences>
    <externalReference r:id="rId6"/>
  </externalReferences>
  <definedNames>
    <definedName name="_xlnm._FilterDatabase" localSheetId="1" hidden="1">'PAA 2021 Versión 2'!$A$18:$AJ$251</definedName>
    <definedName name="ACT" localSheetId="3">'[1]Listas Desplegables'!$A$4:$A$12</definedName>
    <definedName name="ACT" localSheetId="2">#REF!</definedName>
    <definedName name="ACT">'Listas Desplegables'!$A$4:$A$12</definedName>
    <definedName name="ACTA" localSheetId="3">'[1]Listas Desplegables'!$A$4:$B$12</definedName>
    <definedName name="ACTA" localSheetId="2">#REF!</definedName>
    <definedName name="ACTA">'Listas Desplegables'!$A$4:$B$12</definedName>
    <definedName name="_xlnm.Print_Area" localSheetId="1">'PAA 2021 Versión 2'!$A$1:$AC$234</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 localSheetId="2">#REF!</definedName>
    <definedName name="LIDER">'Listas Desplegables'!$A$15:$A$16</definedName>
    <definedName name="PROCESO" localSheetId="3">'[1]Listas Desplegables'!$A$139:$A$157</definedName>
    <definedName name="PROCESO" localSheetId="2">#REF!</definedName>
    <definedName name="PROCESO">'Listas Desplegables'!$A$139:$A$157</definedName>
    <definedName name="PROCESO2" localSheetId="2">#REF!</definedName>
    <definedName name="PROCESO2">'Listas Desplegables'!$A$139:$C$157</definedName>
    <definedName name="PROF" localSheetId="3">'[1]Listas Desplegables'!$A$19:$A$27</definedName>
    <definedName name="PROF" localSheetId="2">#REF!</definedName>
    <definedName name="PROF">'Listas Desplegables'!$A$19:$A$27</definedName>
    <definedName name="PROFA" localSheetId="3">'[1]Listas Desplegables'!$A$19:$B$27</definedName>
    <definedName name="PROFA" localSheetId="2">#REF!</definedName>
    <definedName name="PROFA">'Listas Desplegables'!$A$19:$B$27</definedName>
    <definedName name="_xlnm.Print_Titles" localSheetId="1">'PAA 2021 Versión 2'!$17:$18</definedName>
  </definedNames>
  <calcPr calcId="162913"/>
  <pivotCaches>
    <pivotCache cacheId="15" r:id="rId7"/>
  </pivotCaches>
</workbook>
</file>

<file path=xl/calcChain.xml><?xml version="1.0" encoding="utf-8"?>
<calcChain xmlns="http://schemas.openxmlformats.org/spreadsheetml/2006/main">
  <c r="AE33" i="1" l="1"/>
  <c r="AD19" i="1" l="1"/>
  <c r="AE19" i="1"/>
  <c r="AF19" i="1"/>
  <c r="AD20" i="1"/>
  <c r="AE20" i="1"/>
  <c r="AF20" i="1"/>
  <c r="AD21" i="1"/>
  <c r="AE21" i="1"/>
  <c r="AF21" i="1"/>
  <c r="AD22" i="1"/>
  <c r="AE22" i="1"/>
  <c r="AF22" i="1"/>
  <c r="AD23" i="1"/>
  <c r="AE23" i="1"/>
  <c r="AF23" i="1"/>
  <c r="AD24" i="1"/>
  <c r="AE24" i="1"/>
  <c r="AF24" i="1"/>
  <c r="AD25" i="1"/>
  <c r="AE25" i="1"/>
  <c r="AF25" i="1"/>
  <c r="AD26" i="1"/>
  <c r="AE26" i="1"/>
  <c r="AF26" i="1"/>
  <c r="AD27" i="1"/>
  <c r="AE27" i="1"/>
  <c r="AF27" i="1"/>
  <c r="AD28" i="1"/>
  <c r="AE28" i="1"/>
  <c r="AF28" i="1"/>
  <c r="AD29" i="1"/>
  <c r="AE29" i="1"/>
  <c r="AF29" i="1"/>
  <c r="AD30" i="1"/>
  <c r="AE30" i="1"/>
  <c r="AF30" i="1"/>
  <c r="AD31" i="1"/>
  <c r="AE31" i="1"/>
  <c r="AF31" i="1"/>
  <c r="AD32" i="1"/>
  <c r="AE32" i="1"/>
  <c r="AF32" i="1"/>
  <c r="AD43" i="1"/>
  <c r="AE43" i="1"/>
  <c r="AF43" i="1"/>
  <c r="AD45" i="1"/>
  <c r="AE45" i="1"/>
  <c r="AF45" i="1"/>
  <c r="AD47" i="1"/>
  <c r="AE47" i="1"/>
  <c r="AF47" i="1"/>
  <c r="AD48" i="1"/>
  <c r="AE48" i="1"/>
  <c r="AF48" i="1"/>
  <c r="AD54" i="1"/>
  <c r="AE54" i="1"/>
  <c r="AF54" i="1"/>
  <c r="AD55" i="1"/>
  <c r="AE55" i="1"/>
  <c r="AF55" i="1"/>
  <c r="AB79" i="1"/>
  <c r="AB72" i="1"/>
  <c r="AG48" i="1" l="1"/>
  <c r="AH48" i="1" s="1"/>
  <c r="AG20" i="1"/>
  <c r="AH20" i="1" s="1"/>
  <c r="AG21" i="1"/>
  <c r="AH21" i="1" s="1"/>
  <c r="AG55" i="1"/>
  <c r="AH55" i="1" s="1"/>
  <c r="AG43" i="1"/>
  <c r="AH43" i="1" s="1"/>
  <c r="AG22" i="1"/>
  <c r="AH22" i="1" s="1"/>
  <c r="AG54" i="1"/>
  <c r="AH54" i="1" s="1"/>
  <c r="AG32" i="1"/>
  <c r="AH32" i="1" s="1"/>
  <c r="AG19" i="1"/>
  <c r="AH19" i="1" s="1"/>
  <c r="AG29" i="1"/>
  <c r="AH29" i="1" s="1"/>
  <c r="AG23" i="1"/>
  <c r="AH23" i="1" s="1"/>
  <c r="AG25" i="1"/>
  <c r="AH25" i="1" s="1"/>
  <c r="AG26" i="1"/>
  <c r="AH26" i="1" s="1"/>
  <c r="AG27" i="1"/>
  <c r="AH27" i="1" s="1"/>
  <c r="AG30" i="1"/>
  <c r="AH30" i="1" s="1"/>
  <c r="AG47" i="1"/>
  <c r="AH47" i="1" s="1"/>
  <c r="AG31" i="1"/>
  <c r="AH31" i="1" s="1"/>
  <c r="AG45" i="1"/>
  <c r="AH45" i="1" s="1"/>
  <c r="AG28" i="1"/>
  <c r="AH28" i="1" s="1"/>
  <c r="AG24" i="1"/>
  <c r="AH24" i="1" s="1"/>
  <c r="AF226" i="1"/>
  <c r="AE226" i="1"/>
  <c r="AD226" i="1"/>
  <c r="AF225" i="1"/>
  <c r="AE225" i="1"/>
  <c r="AD225" i="1"/>
  <c r="AF223" i="1"/>
  <c r="AE223" i="1"/>
  <c r="AD223" i="1"/>
  <c r="AF222" i="1"/>
  <c r="AE222" i="1"/>
  <c r="AD222" i="1"/>
  <c r="AF221" i="1"/>
  <c r="AE221" i="1"/>
  <c r="AD221" i="1"/>
  <c r="AF218" i="1"/>
  <c r="AE218" i="1"/>
  <c r="AD218" i="1"/>
  <c r="AF217" i="1"/>
  <c r="AE217" i="1"/>
  <c r="AD217" i="1"/>
  <c r="AF216" i="1"/>
  <c r="AE216" i="1"/>
  <c r="AD216" i="1"/>
  <c r="AF215" i="1"/>
  <c r="AE215" i="1"/>
  <c r="AD215" i="1"/>
  <c r="AF214" i="1"/>
  <c r="AE214" i="1"/>
  <c r="AD214" i="1"/>
  <c r="AF213" i="1"/>
  <c r="AE213" i="1"/>
  <c r="AD213" i="1"/>
  <c r="AF212" i="1"/>
  <c r="AE212" i="1"/>
  <c r="AD212" i="1"/>
  <c r="AF211" i="1"/>
  <c r="AE211" i="1"/>
  <c r="AD211" i="1"/>
  <c r="AF210" i="1"/>
  <c r="AE210" i="1"/>
  <c r="AD210" i="1"/>
  <c r="AF209" i="1"/>
  <c r="AE209" i="1"/>
  <c r="AD209" i="1"/>
  <c r="AF208" i="1"/>
  <c r="AE208" i="1"/>
  <c r="AD208" i="1"/>
  <c r="AF207" i="1"/>
  <c r="AE207" i="1"/>
  <c r="AD207" i="1"/>
  <c r="AF206" i="1"/>
  <c r="AE206" i="1"/>
  <c r="AD206" i="1"/>
  <c r="AF205" i="1"/>
  <c r="AE205" i="1"/>
  <c r="AD205" i="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9" i="1"/>
  <c r="AE189" i="1"/>
  <c r="AD189" i="1"/>
  <c r="AF188" i="1"/>
  <c r="AE188" i="1"/>
  <c r="AD188" i="1"/>
  <c r="AF187" i="1"/>
  <c r="AE187" i="1"/>
  <c r="AD187" i="1"/>
  <c r="AF186" i="1"/>
  <c r="AE186" i="1"/>
  <c r="AD186"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8" i="1"/>
  <c r="AE168" i="1"/>
  <c r="AD168" i="1"/>
  <c r="AF167" i="1"/>
  <c r="AE167" i="1"/>
  <c r="AD167" i="1"/>
  <c r="AF166" i="1"/>
  <c r="AE166" i="1"/>
  <c r="AD166" i="1"/>
  <c r="AF165" i="1"/>
  <c r="AE165" i="1"/>
  <c r="AD165" i="1"/>
  <c r="AF164" i="1"/>
  <c r="AE164" i="1"/>
  <c r="AD164" i="1"/>
  <c r="AF163" i="1"/>
  <c r="AE163" i="1"/>
  <c r="AD163" i="1"/>
  <c r="AF162" i="1"/>
  <c r="AE162" i="1"/>
  <c r="AD162" i="1"/>
  <c r="AF161" i="1"/>
  <c r="AE161" i="1"/>
  <c r="AD161" i="1"/>
  <c r="AF160" i="1"/>
  <c r="AE160" i="1"/>
  <c r="AD160" i="1"/>
  <c r="AF159" i="1"/>
  <c r="AE159" i="1"/>
  <c r="AD159" i="1"/>
  <c r="AF158" i="1"/>
  <c r="AE158" i="1"/>
  <c r="AD158" i="1"/>
  <c r="AF157" i="1"/>
  <c r="AE157" i="1"/>
  <c r="AD157" i="1"/>
  <c r="AF156" i="1"/>
  <c r="AE156" i="1"/>
  <c r="AD156" i="1"/>
  <c r="AF155" i="1"/>
  <c r="AE155" i="1"/>
  <c r="AD155" i="1"/>
  <c r="AF154" i="1"/>
  <c r="AE154" i="1"/>
  <c r="AD154" i="1"/>
  <c r="AF153" i="1"/>
  <c r="AE153" i="1"/>
  <c r="AD153" i="1"/>
  <c r="AF152" i="1"/>
  <c r="AE152" i="1"/>
  <c r="AD152" i="1"/>
  <c r="AF151" i="1"/>
  <c r="AE151" i="1"/>
  <c r="AD151" i="1"/>
  <c r="AF150" i="1"/>
  <c r="AE150" i="1"/>
  <c r="AD150" i="1"/>
  <c r="AF149" i="1"/>
  <c r="AE149" i="1"/>
  <c r="AD149" i="1"/>
  <c r="AF148" i="1"/>
  <c r="AE148" i="1"/>
  <c r="AD148" i="1"/>
  <c r="AF147" i="1"/>
  <c r="AE147" i="1"/>
  <c r="AD147" i="1"/>
  <c r="AF146" i="1"/>
  <c r="AE146" i="1"/>
  <c r="AD146" i="1"/>
  <c r="AF145" i="1"/>
  <c r="AE145" i="1"/>
  <c r="AD145" i="1"/>
  <c r="AF144" i="1"/>
  <c r="AE144" i="1"/>
  <c r="AD144" i="1"/>
  <c r="AF143" i="1"/>
  <c r="AE143" i="1"/>
  <c r="AD143" i="1"/>
  <c r="AF142" i="1"/>
  <c r="AE142" i="1"/>
  <c r="AD142" i="1"/>
  <c r="AF141" i="1"/>
  <c r="AE141" i="1"/>
  <c r="AD141" i="1"/>
  <c r="AF140" i="1"/>
  <c r="AE140" i="1"/>
  <c r="AD140" i="1"/>
  <c r="AF139" i="1"/>
  <c r="AE139" i="1"/>
  <c r="AD139" i="1"/>
  <c r="AF138" i="1"/>
  <c r="AE138" i="1"/>
  <c r="AD138" i="1"/>
  <c r="AF137" i="1"/>
  <c r="AE137" i="1"/>
  <c r="AD137" i="1"/>
  <c r="AF136" i="1"/>
  <c r="AE136" i="1"/>
  <c r="AD136" i="1"/>
  <c r="AF135" i="1"/>
  <c r="AE135" i="1"/>
  <c r="AD135" i="1"/>
  <c r="AF134" i="1"/>
  <c r="AE134" i="1"/>
  <c r="AD134" i="1"/>
  <c r="AF133" i="1"/>
  <c r="AE133" i="1"/>
  <c r="AD133" i="1"/>
  <c r="AF132" i="1"/>
  <c r="AE132" i="1"/>
  <c r="AD132" i="1"/>
  <c r="AF131" i="1"/>
  <c r="AE131" i="1"/>
  <c r="AD131" i="1"/>
  <c r="AF130" i="1"/>
  <c r="AE130" i="1"/>
  <c r="AD130" i="1"/>
  <c r="AF129" i="1"/>
  <c r="AE129" i="1"/>
  <c r="AD129" i="1"/>
  <c r="AF128" i="1"/>
  <c r="AE128" i="1"/>
  <c r="AD128" i="1"/>
  <c r="AF127" i="1"/>
  <c r="AE127" i="1"/>
  <c r="AD127" i="1"/>
  <c r="AF126" i="1"/>
  <c r="AE126" i="1"/>
  <c r="AD126" i="1"/>
  <c r="AF125" i="1"/>
  <c r="AE125" i="1"/>
  <c r="AD125" i="1"/>
  <c r="AF124" i="1"/>
  <c r="AE124" i="1"/>
  <c r="AD124" i="1"/>
  <c r="AF123" i="1"/>
  <c r="AE123" i="1"/>
  <c r="AD123" i="1"/>
  <c r="AF122" i="1"/>
  <c r="AE122" i="1"/>
  <c r="AD122" i="1"/>
  <c r="AF121" i="1"/>
  <c r="AE121" i="1"/>
  <c r="AD121" i="1"/>
  <c r="AF120" i="1"/>
  <c r="AE120" i="1"/>
  <c r="AD120" i="1"/>
  <c r="AF119" i="1"/>
  <c r="AE119" i="1"/>
  <c r="AD119" i="1"/>
  <c r="AF118" i="1"/>
  <c r="AE118" i="1"/>
  <c r="AD118" i="1"/>
  <c r="AF117" i="1"/>
  <c r="AE117" i="1"/>
  <c r="AD117" i="1"/>
  <c r="AF116" i="1"/>
  <c r="AE116" i="1"/>
  <c r="AD116" i="1"/>
  <c r="AF115" i="1"/>
  <c r="AE115" i="1"/>
  <c r="AD115" i="1"/>
  <c r="AF114" i="1"/>
  <c r="AE114" i="1"/>
  <c r="AD114" i="1"/>
  <c r="AF113" i="1"/>
  <c r="AE113" i="1"/>
  <c r="AD113" i="1"/>
  <c r="AF112" i="1"/>
  <c r="AE112" i="1"/>
  <c r="AD112" i="1"/>
  <c r="AF111" i="1"/>
  <c r="AE111" i="1"/>
  <c r="AD111" i="1"/>
  <c r="AF110" i="1"/>
  <c r="AE110" i="1"/>
  <c r="AD110" i="1"/>
  <c r="AF109" i="1"/>
  <c r="AE109" i="1"/>
  <c r="AD109" i="1"/>
  <c r="AF108" i="1"/>
  <c r="AE108" i="1"/>
  <c r="AD108" i="1"/>
  <c r="AF107" i="1"/>
  <c r="AE107" i="1"/>
  <c r="AD107" i="1"/>
  <c r="AF106" i="1"/>
  <c r="AE106" i="1"/>
  <c r="AD106" i="1"/>
  <c r="AF105" i="1"/>
  <c r="AE105" i="1"/>
  <c r="AD105" i="1"/>
  <c r="AF104" i="1"/>
  <c r="AE104" i="1"/>
  <c r="AD104" i="1"/>
  <c r="AF103" i="1"/>
  <c r="AE103" i="1"/>
  <c r="AD103" i="1"/>
  <c r="AF102" i="1"/>
  <c r="AE102" i="1"/>
  <c r="AD102" i="1"/>
  <c r="AF101" i="1"/>
  <c r="AE101" i="1"/>
  <c r="AD101" i="1"/>
  <c r="AF100" i="1"/>
  <c r="AE100" i="1"/>
  <c r="AD100" i="1"/>
  <c r="AF99" i="1"/>
  <c r="AE99" i="1"/>
  <c r="AD99" i="1"/>
  <c r="AF98" i="1"/>
  <c r="AE98" i="1"/>
  <c r="AD98" i="1"/>
  <c r="AF97" i="1"/>
  <c r="AE97" i="1"/>
  <c r="AD97" i="1"/>
  <c r="AF96" i="1"/>
  <c r="AE96" i="1"/>
  <c r="AD96" i="1"/>
  <c r="AF95" i="1"/>
  <c r="AE95" i="1"/>
  <c r="AD95" i="1"/>
  <c r="AF94" i="1"/>
  <c r="AE94" i="1"/>
  <c r="AD94" i="1"/>
  <c r="AF93" i="1"/>
  <c r="AE93" i="1"/>
  <c r="AD93" i="1"/>
  <c r="AF92" i="1"/>
  <c r="AE92" i="1"/>
  <c r="AD92" i="1"/>
  <c r="AF91" i="1"/>
  <c r="AE91" i="1"/>
  <c r="AD91" i="1"/>
  <c r="AF90" i="1"/>
  <c r="AE90" i="1"/>
  <c r="AD90" i="1"/>
  <c r="AF89" i="1"/>
  <c r="AE89" i="1"/>
  <c r="AD89" i="1"/>
  <c r="AF88" i="1"/>
  <c r="AE88" i="1"/>
  <c r="AD88" i="1"/>
  <c r="AF87" i="1"/>
  <c r="AE87" i="1"/>
  <c r="AD87" i="1"/>
  <c r="AF86" i="1"/>
  <c r="AE86" i="1"/>
  <c r="AD86" i="1"/>
  <c r="AF85" i="1"/>
  <c r="AE85" i="1"/>
  <c r="AD85" i="1"/>
  <c r="AF84" i="1"/>
  <c r="AE84" i="1"/>
  <c r="AD84" i="1"/>
  <c r="AF83" i="1"/>
  <c r="AE83" i="1"/>
  <c r="AD83" i="1"/>
  <c r="AF82" i="1"/>
  <c r="AE82" i="1"/>
  <c r="AD82" i="1"/>
  <c r="AF81" i="1"/>
  <c r="AE81" i="1"/>
  <c r="AD81" i="1"/>
  <c r="AF80" i="1"/>
  <c r="AE80" i="1"/>
  <c r="AD80" i="1"/>
  <c r="AF79" i="1"/>
  <c r="AE79" i="1"/>
  <c r="AD79" i="1"/>
  <c r="AF78" i="1"/>
  <c r="AE78" i="1"/>
  <c r="AD78" i="1"/>
  <c r="AF77" i="1"/>
  <c r="AE77" i="1"/>
  <c r="AD77" i="1"/>
  <c r="AF76" i="1"/>
  <c r="AE76" i="1"/>
  <c r="AD76" i="1"/>
  <c r="AF75" i="1"/>
  <c r="AE75" i="1"/>
  <c r="AD75" i="1"/>
  <c r="AF74" i="1"/>
  <c r="AE74" i="1"/>
  <c r="AD74" i="1"/>
  <c r="AF73" i="1"/>
  <c r="AE73" i="1"/>
  <c r="AD73" i="1"/>
  <c r="AF72" i="1"/>
  <c r="AE72" i="1"/>
  <c r="AD72" i="1"/>
  <c r="AF70" i="1"/>
  <c r="AE70" i="1"/>
  <c r="AD70" i="1"/>
  <c r="AF69" i="1"/>
  <c r="AE69" i="1"/>
  <c r="AD69" i="1"/>
  <c r="AF68" i="1"/>
  <c r="AE68" i="1"/>
  <c r="AD68" i="1"/>
  <c r="AF67" i="1"/>
  <c r="AE67" i="1"/>
  <c r="AD67" i="1"/>
  <c r="AF66" i="1"/>
  <c r="AE66" i="1"/>
  <c r="AD66" i="1"/>
  <c r="AF65" i="1"/>
  <c r="AE65" i="1"/>
  <c r="AD65" i="1"/>
  <c r="AF64" i="1"/>
  <c r="AE64" i="1"/>
  <c r="AD64" i="1"/>
  <c r="AF63" i="1"/>
  <c r="AE63" i="1"/>
  <c r="AD63" i="1"/>
  <c r="AF62" i="1"/>
  <c r="AE62" i="1"/>
  <c r="AD62" i="1"/>
  <c r="AF61" i="1"/>
  <c r="AE61" i="1"/>
  <c r="AD61" i="1"/>
  <c r="AF60" i="1"/>
  <c r="AE60" i="1"/>
  <c r="AD60" i="1"/>
  <c r="AF59" i="1"/>
  <c r="AE59" i="1"/>
  <c r="AD59" i="1"/>
  <c r="AF58" i="1"/>
  <c r="AE58" i="1"/>
  <c r="AD58" i="1"/>
  <c r="AF57" i="1"/>
  <c r="AE57" i="1"/>
  <c r="AD57" i="1"/>
  <c r="AF56" i="1"/>
  <c r="AE56" i="1"/>
  <c r="AD56" i="1"/>
  <c r="AF53" i="1"/>
  <c r="AE53" i="1"/>
  <c r="AD53" i="1"/>
  <c r="AF52" i="1"/>
  <c r="AE52" i="1"/>
  <c r="AD52" i="1"/>
  <c r="AF51" i="1"/>
  <c r="AE51" i="1"/>
  <c r="AD51" i="1"/>
  <c r="AF50" i="1"/>
  <c r="AE50" i="1"/>
  <c r="AD50" i="1"/>
  <c r="AF49" i="1"/>
  <c r="AE49" i="1"/>
  <c r="AD49" i="1"/>
  <c r="AF46" i="1"/>
  <c r="AE46" i="1"/>
  <c r="AD46" i="1"/>
  <c r="AF44" i="1"/>
  <c r="AE44" i="1"/>
  <c r="AD44" i="1"/>
  <c r="AF42" i="1"/>
  <c r="AE42" i="1"/>
  <c r="AD42" i="1"/>
  <c r="AF41" i="1"/>
  <c r="AE41" i="1"/>
  <c r="AD41" i="1"/>
  <c r="AF40" i="1"/>
  <c r="AE40" i="1"/>
  <c r="AD40" i="1"/>
  <c r="AF39" i="1"/>
  <c r="AE39" i="1"/>
  <c r="AD39" i="1"/>
  <c r="AF38" i="1"/>
  <c r="AE38" i="1"/>
  <c r="AD38" i="1"/>
  <c r="AF37" i="1"/>
  <c r="AE37" i="1"/>
  <c r="AD37" i="1"/>
  <c r="AF36" i="1"/>
  <c r="AE36" i="1"/>
  <c r="AD36" i="1"/>
  <c r="AF35" i="1"/>
  <c r="AE35" i="1"/>
  <c r="AD35" i="1"/>
  <c r="AF33" i="1"/>
  <c r="AD33" i="1"/>
  <c r="AB65" i="1"/>
  <c r="AG86" i="1" l="1"/>
  <c r="AH86" i="1" s="1"/>
  <c r="AG51" i="1"/>
  <c r="AH51" i="1" s="1"/>
  <c r="AG98" i="1"/>
  <c r="AH98" i="1" s="1"/>
  <c r="AG114" i="1"/>
  <c r="AH114" i="1" s="1"/>
  <c r="AG130" i="1"/>
  <c r="AH130" i="1" s="1"/>
  <c r="AG146" i="1"/>
  <c r="AH146" i="1" s="1"/>
  <c r="AG178" i="1"/>
  <c r="AH178" i="1" s="1"/>
  <c r="AG91" i="1"/>
  <c r="AH91" i="1" s="1"/>
  <c r="AG107" i="1"/>
  <c r="AH107" i="1" s="1"/>
  <c r="AG123" i="1"/>
  <c r="AH123" i="1" s="1"/>
  <c r="AG139" i="1"/>
  <c r="AH139" i="1" s="1"/>
  <c r="AG147" i="1"/>
  <c r="AH147" i="1" s="1"/>
  <c r="AG35" i="1"/>
  <c r="AH35" i="1" s="1"/>
  <c r="AG210" i="1"/>
  <c r="AH210" i="1" s="1"/>
  <c r="AG40" i="1"/>
  <c r="AH40" i="1" s="1"/>
  <c r="AG39" i="1"/>
  <c r="AH39" i="1" s="1"/>
  <c r="AG226" i="1"/>
  <c r="AH226" i="1" s="1"/>
  <c r="AG96" i="1"/>
  <c r="AH96" i="1" s="1"/>
  <c r="AG160" i="1"/>
  <c r="AH160" i="1" s="1"/>
  <c r="AG168" i="1"/>
  <c r="AH168" i="1" s="1"/>
  <c r="AG184" i="1"/>
  <c r="AH184" i="1" s="1"/>
  <c r="AG216" i="1"/>
  <c r="AH216" i="1" s="1"/>
  <c r="AG206" i="1"/>
  <c r="AH206" i="1" s="1"/>
  <c r="AG41" i="1"/>
  <c r="AH41" i="1" s="1"/>
  <c r="AG49" i="1"/>
  <c r="AH49" i="1" s="1"/>
  <c r="AG74" i="1"/>
  <c r="AH74" i="1" s="1"/>
  <c r="AG174" i="1"/>
  <c r="AH174" i="1" s="1"/>
  <c r="AG152" i="1"/>
  <c r="AH152" i="1" s="1"/>
  <c r="AG200" i="1"/>
  <c r="AH200" i="1" s="1"/>
  <c r="AG44" i="1"/>
  <c r="AH44" i="1" s="1"/>
  <c r="AG186" i="1"/>
  <c r="AH186" i="1" s="1"/>
  <c r="AG64" i="1"/>
  <c r="AH64" i="1" s="1"/>
  <c r="AG104" i="1"/>
  <c r="AH104" i="1" s="1"/>
  <c r="AG120" i="1"/>
  <c r="AH120" i="1" s="1"/>
  <c r="AG128" i="1"/>
  <c r="AH128" i="1" s="1"/>
  <c r="AG136" i="1"/>
  <c r="AH136" i="1" s="1"/>
  <c r="AG88" i="1"/>
  <c r="AH88" i="1" s="1"/>
  <c r="AG135" i="1"/>
  <c r="AH135" i="1" s="1"/>
  <c r="AG101" i="1"/>
  <c r="AH101" i="1" s="1"/>
  <c r="AG116" i="1"/>
  <c r="AH116" i="1" s="1"/>
  <c r="AG140" i="1"/>
  <c r="AH140" i="1" s="1"/>
  <c r="AG72" i="1"/>
  <c r="AH72" i="1" s="1"/>
  <c r="AI72" i="1" s="1"/>
  <c r="AG119" i="1"/>
  <c r="AH119" i="1" s="1"/>
  <c r="AG58" i="1"/>
  <c r="AH58" i="1" s="1"/>
  <c r="AG75" i="1"/>
  <c r="AH75" i="1" s="1"/>
  <c r="AG83" i="1"/>
  <c r="AH83" i="1" s="1"/>
  <c r="AG106" i="1"/>
  <c r="AH106" i="1" s="1"/>
  <c r="AG183" i="1"/>
  <c r="AH183" i="1" s="1"/>
  <c r="AG61" i="1"/>
  <c r="AH61" i="1" s="1"/>
  <c r="AG133" i="1"/>
  <c r="AH133" i="1" s="1"/>
  <c r="AG56" i="1"/>
  <c r="AH56" i="1" s="1"/>
  <c r="AG67" i="1"/>
  <c r="AH67" i="1" s="1"/>
  <c r="AG84" i="1"/>
  <c r="AH84" i="1" s="1"/>
  <c r="AG46" i="1"/>
  <c r="AH46" i="1" s="1"/>
  <c r="AG57" i="1"/>
  <c r="AH57" i="1" s="1"/>
  <c r="AG65" i="1"/>
  <c r="AH65" i="1" s="1"/>
  <c r="AI65" i="1" s="1"/>
  <c r="AG118" i="1"/>
  <c r="AH118" i="1" s="1"/>
  <c r="AG150" i="1"/>
  <c r="AH150" i="1" s="1"/>
  <c r="AG155" i="1"/>
  <c r="AH155" i="1" s="1"/>
  <c r="AG171" i="1"/>
  <c r="AH171" i="1" s="1"/>
  <c r="AG179" i="1"/>
  <c r="AH179" i="1" s="1"/>
  <c r="AG187" i="1"/>
  <c r="AH187" i="1" s="1"/>
  <c r="AG195" i="1"/>
  <c r="AH195" i="1" s="1"/>
  <c r="AG203" i="1"/>
  <c r="AH203" i="1" s="1"/>
  <c r="AG59" i="1"/>
  <c r="AH59" i="1" s="1"/>
  <c r="AG138" i="1"/>
  <c r="AH138" i="1" s="1"/>
  <c r="AG148" i="1"/>
  <c r="AH148" i="1" s="1"/>
  <c r="AG172" i="1"/>
  <c r="AH172" i="1" s="1"/>
  <c r="AG182" i="1"/>
  <c r="AH182" i="1" s="1"/>
  <c r="AG85" i="1"/>
  <c r="AH85" i="1" s="1"/>
  <c r="AG87" i="1"/>
  <c r="AH87" i="1" s="1"/>
  <c r="AG170" i="1"/>
  <c r="AH170" i="1" s="1"/>
  <c r="AG192" i="1"/>
  <c r="AH192" i="1" s="1"/>
  <c r="AG37" i="1"/>
  <c r="AH37" i="1" s="1"/>
  <c r="AG50" i="1"/>
  <c r="AH50" i="1" s="1"/>
  <c r="AG102" i="1"/>
  <c r="AH102" i="1" s="1"/>
  <c r="AG112" i="1"/>
  <c r="AH112" i="1" s="1"/>
  <c r="AG117" i="1"/>
  <c r="AH117" i="1" s="1"/>
  <c r="AG129" i="1"/>
  <c r="AH129" i="1" s="1"/>
  <c r="AG33" i="1"/>
  <c r="AH33" i="1" s="1"/>
  <c r="AG63" i="1"/>
  <c r="AH63" i="1" s="1"/>
  <c r="AG110" i="1"/>
  <c r="AH110" i="1" s="1"/>
  <c r="AG166" i="1"/>
  <c r="AH166" i="1" s="1"/>
  <c r="AG176" i="1"/>
  <c r="AH176" i="1" s="1"/>
  <c r="AG38" i="1"/>
  <c r="AH38" i="1" s="1"/>
  <c r="AG68" i="1"/>
  <c r="AH68" i="1" s="1"/>
  <c r="AG76" i="1"/>
  <c r="AH76" i="1" s="1"/>
  <c r="AG142" i="1"/>
  <c r="AH142" i="1" s="1"/>
  <c r="AG154" i="1"/>
  <c r="AH154" i="1" s="1"/>
  <c r="AG164" i="1"/>
  <c r="AH164" i="1" s="1"/>
  <c r="AG188" i="1"/>
  <c r="AH188" i="1" s="1"/>
  <c r="AG208" i="1"/>
  <c r="AH208" i="1" s="1"/>
  <c r="AG218" i="1"/>
  <c r="AH218" i="1" s="1"/>
  <c r="AG89" i="1"/>
  <c r="AH89" i="1" s="1"/>
  <c r="AG94" i="1"/>
  <c r="AH94" i="1" s="1"/>
  <c r="AG99" i="1"/>
  <c r="AH99" i="1" s="1"/>
  <c r="AG165" i="1"/>
  <c r="AH165" i="1" s="1"/>
  <c r="AG209" i="1"/>
  <c r="AH209" i="1" s="1"/>
  <c r="AG214" i="1"/>
  <c r="AH214" i="1" s="1"/>
  <c r="AG42" i="1"/>
  <c r="AH42" i="1" s="1"/>
  <c r="AG52" i="1"/>
  <c r="AH52" i="1" s="1"/>
  <c r="AG62" i="1"/>
  <c r="AH62" i="1" s="1"/>
  <c r="AG80" i="1"/>
  <c r="AH80" i="1" s="1"/>
  <c r="AG126" i="1"/>
  <c r="AH126" i="1" s="1"/>
  <c r="AG180" i="1"/>
  <c r="AH180" i="1" s="1"/>
  <c r="AG197" i="1"/>
  <c r="AH197" i="1" s="1"/>
  <c r="AG204" i="1"/>
  <c r="AH204" i="1" s="1"/>
  <c r="AG212" i="1"/>
  <c r="AH212" i="1" s="1"/>
  <c r="AG92" i="1"/>
  <c r="AH92" i="1" s="1"/>
  <c r="AG158" i="1"/>
  <c r="AH158" i="1" s="1"/>
  <c r="AG163" i="1"/>
  <c r="AH163" i="1" s="1"/>
  <c r="AG202" i="1"/>
  <c r="AH202" i="1" s="1"/>
  <c r="AG207" i="1"/>
  <c r="AH207" i="1" s="1"/>
  <c r="AG222" i="1"/>
  <c r="AH222" i="1" s="1"/>
  <c r="AG78" i="1"/>
  <c r="AH78" i="1" s="1"/>
  <c r="AG90" i="1"/>
  <c r="AH90" i="1" s="1"/>
  <c r="AG100" i="1"/>
  <c r="AH100" i="1" s="1"/>
  <c r="AG124" i="1"/>
  <c r="AH124" i="1" s="1"/>
  <c r="AG132" i="1"/>
  <c r="AH132" i="1" s="1"/>
  <c r="AG144" i="1"/>
  <c r="AH144" i="1" s="1"/>
  <c r="AG149" i="1"/>
  <c r="AH149" i="1" s="1"/>
  <c r="AG151" i="1"/>
  <c r="AH151" i="1" s="1"/>
  <c r="AG190" i="1"/>
  <c r="AH190" i="1" s="1"/>
  <c r="AG215" i="1"/>
  <c r="AH215" i="1" s="1"/>
  <c r="AG70" i="1"/>
  <c r="AH70" i="1" s="1"/>
  <c r="AG115" i="1"/>
  <c r="AH115" i="1" s="1"/>
  <c r="AG122" i="1"/>
  <c r="AH122" i="1" s="1"/>
  <c r="AG156" i="1"/>
  <c r="AH156" i="1" s="1"/>
  <c r="AG181" i="1"/>
  <c r="AH181" i="1" s="1"/>
  <c r="AG213" i="1"/>
  <c r="AH213" i="1" s="1"/>
  <c r="AG82" i="1"/>
  <c r="AH82" i="1" s="1"/>
  <c r="AG108" i="1"/>
  <c r="AH108" i="1" s="1"/>
  <c r="AG162" i="1"/>
  <c r="AH162" i="1" s="1"/>
  <c r="AG194" i="1"/>
  <c r="AH194" i="1" s="1"/>
  <c r="AG196" i="1"/>
  <c r="AH196" i="1" s="1"/>
  <c r="AG69" i="1"/>
  <c r="AH69" i="1" s="1"/>
  <c r="AG103" i="1"/>
  <c r="AH103" i="1" s="1"/>
  <c r="AG36" i="1"/>
  <c r="AH36" i="1" s="1"/>
  <c r="AG199" i="1"/>
  <c r="AH199" i="1" s="1"/>
  <c r="AG211" i="1"/>
  <c r="AH211" i="1" s="1"/>
  <c r="AG53" i="1"/>
  <c r="AH53" i="1" s="1"/>
  <c r="AG131" i="1"/>
  <c r="AH131" i="1" s="1"/>
  <c r="AG66" i="1"/>
  <c r="AH66" i="1" s="1"/>
  <c r="AG134" i="1"/>
  <c r="AH134" i="1" s="1"/>
  <c r="AG167" i="1"/>
  <c r="AH167" i="1" s="1"/>
  <c r="AG111" i="1"/>
  <c r="AH111" i="1" s="1"/>
  <c r="AG157" i="1"/>
  <c r="AH157" i="1" s="1"/>
  <c r="AG175" i="1"/>
  <c r="AH175" i="1" s="1"/>
  <c r="AG113" i="1"/>
  <c r="AH113" i="1" s="1"/>
  <c r="AG225" i="1"/>
  <c r="AH225" i="1" s="1"/>
  <c r="AG95" i="1"/>
  <c r="AH95" i="1" s="1"/>
  <c r="AG97" i="1"/>
  <c r="AH97" i="1" s="1"/>
  <c r="AG161" i="1"/>
  <c r="AH161" i="1" s="1"/>
  <c r="AG79" i="1"/>
  <c r="AH79" i="1" s="1"/>
  <c r="AG105" i="1"/>
  <c r="AH105" i="1" s="1"/>
  <c r="AG81" i="1"/>
  <c r="AH81" i="1" s="1"/>
  <c r="AG145" i="1"/>
  <c r="AH145" i="1" s="1"/>
  <c r="AG191" i="1"/>
  <c r="AH191" i="1" s="1"/>
  <c r="AG193" i="1"/>
  <c r="AH193" i="1" s="1"/>
  <c r="AG198" i="1"/>
  <c r="AH198" i="1" s="1"/>
  <c r="AG73" i="1"/>
  <c r="AH73" i="1" s="1"/>
  <c r="AG93" i="1"/>
  <c r="AH93" i="1" s="1"/>
  <c r="AG137" i="1"/>
  <c r="AH137" i="1" s="1"/>
  <c r="AG221" i="1"/>
  <c r="AH221" i="1" s="1"/>
  <c r="AG177" i="1"/>
  <c r="AH177" i="1" s="1"/>
  <c r="AG223" i="1"/>
  <c r="AH223" i="1" s="1"/>
  <c r="AG77" i="1"/>
  <c r="AH77" i="1" s="1"/>
  <c r="AG121" i="1"/>
  <c r="AH121" i="1" s="1"/>
  <c r="AG141" i="1"/>
  <c r="AH141" i="1" s="1"/>
  <c r="AG159" i="1"/>
  <c r="AH159" i="1" s="1"/>
  <c r="AG60" i="1"/>
  <c r="AH60" i="1" s="1"/>
  <c r="AG125" i="1"/>
  <c r="AH125" i="1" s="1"/>
  <c r="AG143" i="1"/>
  <c r="AH143" i="1" s="1"/>
  <c r="AG169" i="1"/>
  <c r="AH169" i="1" s="1"/>
  <c r="AG189" i="1"/>
  <c r="AH189" i="1" s="1"/>
  <c r="AG109" i="1"/>
  <c r="AH109" i="1" s="1"/>
  <c r="AG127" i="1"/>
  <c r="AH127" i="1" s="1"/>
  <c r="AG153" i="1"/>
  <c r="AH153" i="1" s="1"/>
  <c r="AG173" i="1"/>
  <c r="AH173" i="1" s="1"/>
  <c r="AG205" i="1"/>
  <c r="AH205" i="1" s="1"/>
  <c r="AG185" i="1"/>
  <c r="AH185" i="1" s="1"/>
  <c r="AG201" i="1"/>
  <c r="AH201" i="1" s="1"/>
  <c r="AG217" i="1"/>
  <c r="AH217" i="1" s="1"/>
  <c r="C39" i="3"/>
  <c r="C38" i="3"/>
  <c r="C37" i="3"/>
  <c r="C36" i="3"/>
  <c r="C35" i="3"/>
  <c r="C34" i="3"/>
  <c r="C33" i="3"/>
  <c r="AD71" i="1"/>
  <c r="E56" i="3"/>
  <c r="F56" i="3"/>
  <c r="F59" i="3" s="1"/>
  <c r="G56" i="3" l="1"/>
  <c r="F62" i="3"/>
  <c r="E59" i="3"/>
  <c r="E62" i="3" s="1"/>
  <c r="E65" i="3" s="1"/>
  <c r="H32" i="10"/>
  <c r="H30" i="10"/>
  <c r="H36" i="10"/>
  <c r="H24" i="10"/>
  <c r="I24" i="10" s="1"/>
  <c r="J25" i="10"/>
  <c r="G36" i="10"/>
  <c r="H29" i="10" s="1"/>
  <c r="J24" i="10"/>
  <c r="H31" i="10" l="1"/>
  <c r="H33" i="10"/>
  <c r="H34" i="10"/>
  <c r="H25" i="10"/>
  <c r="I25" i="10" s="1"/>
  <c r="I26" i="10" s="1"/>
  <c r="I27" i="10" s="1"/>
  <c r="I28" i="10" s="1"/>
  <c r="I29" i="10" s="1"/>
  <c r="I30" i="10" s="1"/>
  <c r="I31" i="10" s="1"/>
  <c r="I32" i="10" s="1"/>
  <c r="I33" i="10" s="1"/>
  <c r="I34" i="10" s="1"/>
  <c r="I35" i="10" s="1"/>
  <c r="H26" i="10"/>
  <c r="H27" i="10"/>
  <c r="H35" i="10"/>
  <c r="H28" i="10"/>
  <c r="G62" i="3"/>
  <c r="G59" i="3"/>
  <c r="W227" i="1" l="1"/>
  <c r="L3" i="10"/>
  <c r="L4" i="10" s="1"/>
  <c r="L5" i="10" s="1"/>
  <c r="L6" i="10" s="1"/>
  <c r="L7" i="10" s="1"/>
  <c r="L8" i="10" s="1"/>
  <c r="L9" i="10" s="1"/>
  <c r="L10" i="10" s="1"/>
  <c r="L11" i="10" s="1"/>
  <c r="L12" i="10" s="1"/>
  <c r="L13" i="10" s="1"/>
  <c r="L14" i="10" s="1"/>
  <c r="G89" i="1" l="1"/>
  <c r="G192" i="1"/>
  <c r="G191" i="1"/>
  <c r="G196" i="1"/>
  <c r="G195" i="1"/>
  <c r="G197" i="1"/>
  <c r="G194" i="1"/>
  <c r="G119" i="1"/>
  <c r="G123" i="1"/>
  <c r="G125" i="1"/>
  <c r="G122" i="1"/>
  <c r="G124" i="1"/>
  <c r="AB191" i="1"/>
  <c r="AB123" i="1"/>
  <c r="AB197" i="1"/>
  <c r="AB125" i="1"/>
  <c r="AB194" i="1"/>
  <c r="AB119" i="1"/>
  <c r="AB124" i="1"/>
  <c r="AB122" i="1"/>
  <c r="AB89" i="1"/>
  <c r="AB195" i="1"/>
  <c r="AB196" i="1"/>
  <c r="AI194" i="1" l="1"/>
  <c r="AI125" i="1"/>
  <c r="AI195" i="1"/>
  <c r="AI196" i="1"/>
  <c r="AI191" i="1"/>
  <c r="AI123" i="1"/>
  <c r="AI119" i="1"/>
  <c r="AI89" i="1"/>
  <c r="AI124" i="1"/>
  <c r="AI197" i="1"/>
  <c r="AI122" i="1"/>
  <c r="AC89" i="1"/>
  <c r="AC191" i="1"/>
  <c r="AC196" i="1"/>
  <c r="AC195" i="1"/>
  <c r="AC197" i="1"/>
  <c r="AC194" i="1"/>
  <c r="AC119" i="1"/>
  <c r="AC123" i="1"/>
  <c r="AC125" i="1"/>
  <c r="AC122" i="1"/>
  <c r="AC124" i="1"/>
  <c r="G225" i="1"/>
  <c r="G226" i="1"/>
  <c r="G224" i="1"/>
  <c r="G223" i="1"/>
  <c r="AB225" i="1"/>
  <c r="AB223" i="1"/>
  <c r="AB224" i="1"/>
  <c r="AI225" i="1" l="1"/>
  <c r="AI223" i="1"/>
  <c r="AC225" i="1"/>
  <c r="AC224" i="1"/>
  <c r="AC223" i="1"/>
  <c r="G221" i="1"/>
  <c r="G218" i="1"/>
  <c r="G222" i="1"/>
  <c r="AB221" i="1"/>
  <c r="AB226" i="1"/>
  <c r="AB218" i="1"/>
  <c r="AI218" i="1" l="1"/>
  <c r="AI226" i="1"/>
  <c r="AI221" i="1"/>
  <c r="AC226" i="1"/>
  <c r="AC221" i="1"/>
  <c r="AC218" i="1"/>
  <c r="B36" i="10"/>
  <c r="C35" i="10" s="1"/>
  <c r="E24" i="10"/>
  <c r="C4" i="10"/>
  <c r="C5" i="10" s="1"/>
  <c r="C6" i="10" s="1"/>
  <c r="C7" i="10" s="1"/>
  <c r="C8" i="10" s="1"/>
  <c r="C9" i="10" s="1"/>
  <c r="C10" i="10" s="1"/>
  <c r="C11" i="10" s="1"/>
  <c r="C12" i="10" s="1"/>
  <c r="C13" i="10" s="1"/>
  <c r="C14" i="10" s="1"/>
  <c r="G3" i="10"/>
  <c r="G4" i="10" s="1"/>
  <c r="G5" i="10" s="1"/>
  <c r="G6" i="10" s="1"/>
  <c r="G7" i="10" s="1"/>
  <c r="G8" i="10" s="1"/>
  <c r="G9" i="10" s="1"/>
  <c r="G10" i="10" s="1"/>
  <c r="G11" i="10" s="1"/>
  <c r="G12" i="10" s="1"/>
  <c r="G13" i="10" s="1"/>
  <c r="G14" i="10" s="1"/>
  <c r="AF251" i="1"/>
  <c r="AF241" i="1"/>
  <c r="C24" i="10" l="1"/>
  <c r="D24" i="10" s="1"/>
  <c r="C28" i="10"/>
  <c r="C32" i="10"/>
  <c r="C36" i="10"/>
  <c r="C25" i="10"/>
  <c r="C29" i="10"/>
  <c r="C33" i="10"/>
  <c r="C26" i="10"/>
  <c r="C30" i="10"/>
  <c r="C34" i="10"/>
  <c r="C27" i="10"/>
  <c r="C31" i="10"/>
  <c r="AF254" i="1"/>
  <c r="D25" i="10" l="1"/>
  <c r="D26" i="10" s="1"/>
  <c r="D27" i="10" s="1"/>
  <c r="D28" i="10" s="1"/>
  <c r="D29" i="10" s="1"/>
  <c r="D30" i="10" s="1"/>
  <c r="D31" i="10" s="1"/>
  <c r="D32" i="10" s="1"/>
  <c r="D33" i="10" s="1"/>
  <c r="D34" i="10" s="1"/>
  <c r="D35" i="10" s="1"/>
  <c r="B37" i="3" l="1"/>
  <c r="B36" i="3"/>
  <c r="B35" i="3"/>
  <c r="B33" i="3"/>
  <c r="B29" i="3"/>
  <c r="D21" i="3"/>
  <c r="D22" i="3"/>
  <c r="D23" i="3"/>
  <c r="D24" i="3"/>
  <c r="D25" i="3"/>
  <c r="D26" i="3"/>
  <c r="D27" i="3"/>
  <c r="D28" i="3"/>
  <c r="C29" i="3"/>
  <c r="B34" i="3"/>
  <c r="B38" i="3"/>
  <c r="B39" i="3"/>
  <c r="C40" i="3"/>
  <c r="D40" i="3"/>
  <c r="E40" i="3"/>
  <c r="F40" i="3"/>
  <c r="G40" i="3"/>
  <c r="H40" i="3"/>
  <c r="C41" i="3"/>
  <c r="D41" i="3"/>
  <c r="E41" i="3"/>
  <c r="F41" i="3"/>
  <c r="G41" i="3"/>
  <c r="H41" i="3"/>
  <c r="G217" i="1"/>
  <c r="G216" i="1"/>
  <c r="G213" i="1"/>
  <c r="G215" i="1"/>
  <c r="G214" i="1"/>
  <c r="G212" i="1"/>
  <c r="G211" i="1"/>
  <c r="G209" i="1"/>
  <c r="G210" i="1"/>
  <c r="G208" i="1"/>
  <c r="G205" i="1"/>
  <c r="G206" i="1"/>
  <c r="G207" i="1"/>
  <c r="G204" i="1"/>
  <c r="G202" i="1"/>
  <c r="G203" i="1"/>
  <c r="G201" i="1"/>
  <c r="G200" i="1"/>
  <c r="G199" i="1"/>
  <c r="G198" i="1"/>
  <c r="G185" i="1"/>
  <c r="G188" i="1"/>
  <c r="G190" i="1"/>
  <c r="G189" i="1"/>
  <c r="G187" i="1"/>
  <c r="G186" i="1"/>
  <c r="G184" i="1"/>
  <c r="G183" i="1"/>
  <c r="G182" i="1"/>
  <c r="G181" i="1"/>
  <c r="G179" i="1"/>
  <c r="G176" i="1"/>
  <c r="G178" i="1"/>
  <c r="G177" i="1"/>
  <c r="G175" i="1"/>
  <c r="G193" i="1"/>
  <c r="G174" i="1"/>
  <c r="G173" i="1"/>
  <c r="G172" i="1"/>
  <c r="G170" i="1"/>
  <c r="G171" i="1"/>
  <c r="G164" i="1"/>
  <c r="G166" i="1"/>
  <c r="G165" i="1"/>
  <c r="G163" i="1"/>
  <c r="G162" i="1"/>
  <c r="G161" i="1"/>
  <c r="G180" i="1"/>
  <c r="G158" i="1"/>
  <c r="G159" i="1"/>
  <c r="G156" i="1"/>
  <c r="G149" i="1"/>
  <c r="G153" i="1"/>
  <c r="G155" i="1"/>
  <c r="G154" i="1"/>
  <c r="G152" i="1"/>
  <c r="G151" i="1"/>
  <c r="G150" i="1"/>
  <c r="G147" i="1"/>
  <c r="G148" i="1"/>
  <c r="G146" i="1"/>
  <c r="G168" i="1"/>
  <c r="G157" i="1"/>
  <c r="G160" i="1"/>
  <c r="G142" i="1"/>
  <c r="G141" i="1"/>
  <c r="G143" i="1"/>
  <c r="G169" i="1"/>
  <c r="G167" i="1"/>
  <c r="G139" i="1"/>
  <c r="G138" i="1"/>
  <c r="G136" i="1"/>
  <c r="G135" i="1"/>
  <c r="G137" i="1"/>
  <c r="G134" i="1"/>
  <c r="G133" i="1"/>
  <c r="G132" i="1"/>
  <c r="G140" i="1"/>
  <c r="G128" i="1"/>
  <c r="G145" i="1"/>
  <c r="G144" i="1"/>
  <c r="G116" i="1"/>
  <c r="G118" i="1"/>
  <c r="G126" i="1"/>
  <c r="G120" i="1"/>
  <c r="G117" i="1"/>
  <c r="G121" i="1"/>
  <c r="G115" i="1"/>
  <c r="G114" i="1"/>
  <c r="G113" i="1"/>
  <c r="G112" i="1"/>
  <c r="G131" i="1"/>
  <c r="G110" i="1"/>
  <c r="G127" i="1"/>
  <c r="G130" i="1"/>
  <c r="G129" i="1"/>
  <c r="G220" i="1"/>
  <c r="G102" i="1"/>
  <c r="G107" i="1"/>
  <c r="G105" i="1"/>
  <c r="G108" i="1"/>
  <c r="G104" i="1"/>
  <c r="G106" i="1"/>
  <c r="G103" i="1"/>
  <c r="G111" i="1"/>
  <c r="G101" i="1"/>
  <c r="G100" i="1"/>
  <c r="G97" i="1"/>
  <c r="G95" i="1"/>
  <c r="G94" i="1"/>
  <c r="G98" i="1"/>
  <c r="G93" i="1"/>
  <c r="G92" i="1"/>
  <c r="G91" i="1"/>
  <c r="G90" i="1"/>
  <c r="G88" i="1"/>
  <c r="G87" i="1"/>
  <c r="G84" i="1"/>
  <c r="G83" i="1"/>
  <c r="G109" i="1"/>
  <c r="G77" i="1"/>
  <c r="G79" i="1"/>
  <c r="G78" i="1"/>
  <c r="G82" i="1"/>
  <c r="G96" i="1"/>
  <c r="G75" i="1"/>
  <c r="G74" i="1"/>
  <c r="G73" i="1"/>
  <c r="G72" i="1"/>
  <c r="G86" i="1"/>
  <c r="G99" i="1"/>
  <c r="G81" i="1"/>
  <c r="G85" i="1"/>
  <c r="G71" i="1"/>
  <c r="G70" i="1"/>
  <c r="G68" i="1"/>
  <c r="G69" i="1"/>
  <c r="G219" i="1"/>
  <c r="G80" i="1"/>
  <c r="G76" i="1"/>
  <c r="G65" i="1"/>
  <c r="G64" i="1"/>
  <c r="G63" i="1"/>
  <c r="G62" i="1"/>
  <c r="G61" i="1"/>
  <c r="G55" i="1"/>
  <c r="G59" i="1"/>
  <c r="G60" i="1"/>
  <c r="G58" i="1"/>
  <c r="G57" i="1"/>
  <c r="G56" i="1"/>
  <c r="G54" i="1"/>
  <c r="G53" i="1"/>
  <c r="G51" i="1"/>
  <c r="G52" i="1"/>
  <c r="G50" i="1"/>
  <c r="G48" i="1"/>
  <c r="G49" i="1"/>
  <c r="G47" i="1"/>
  <c r="G45" i="1"/>
  <c r="G46" i="1"/>
  <c r="G44" i="1"/>
  <c r="G43" i="1"/>
  <c r="G67" i="1"/>
  <c r="G42" i="1"/>
  <c r="G38" i="1"/>
  <c r="G66" i="1"/>
  <c r="G41" i="1"/>
  <c r="G37" i="1"/>
  <c r="G26" i="1"/>
  <c r="G25" i="1"/>
  <c r="G36" i="1"/>
  <c r="G31" i="1"/>
  <c r="G30" i="1"/>
  <c r="G40" i="1"/>
  <c r="G35" i="1"/>
  <c r="G34" i="1"/>
  <c r="G32" i="1"/>
  <c r="G28" i="1"/>
  <c r="G27" i="1"/>
  <c r="G29" i="1"/>
  <c r="G39" i="1"/>
  <c r="G33" i="1"/>
  <c r="G24" i="1"/>
  <c r="G22" i="1"/>
  <c r="G23" i="1"/>
  <c r="G21" i="1"/>
  <c r="G19" i="1"/>
  <c r="AE71" i="1"/>
  <c r="AF71" i="1"/>
  <c r="AB101" i="1"/>
  <c r="AB184" i="1"/>
  <c r="AB203" i="1"/>
  <c r="AB144" i="1"/>
  <c r="AB147" i="1"/>
  <c r="AB157" i="1"/>
  <c r="AB192" i="1"/>
  <c r="AB92" i="1"/>
  <c r="AB175" i="1"/>
  <c r="AB127" i="1"/>
  <c r="AB212" i="1"/>
  <c r="AB163" i="1"/>
  <c r="AB145" i="1"/>
  <c r="AB120" i="1"/>
  <c r="AB219" i="1"/>
  <c r="AB162" i="1"/>
  <c r="AB95" i="1"/>
  <c r="AB151" i="1"/>
  <c r="AB181" i="1"/>
  <c r="AB91" i="1"/>
  <c r="AB94" i="1"/>
  <c r="AB198" i="1"/>
  <c r="AB129" i="1"/>
  <c r="AB167" i="1"/>
  <c r="AB193" i="1"/>
  <c r="AB115" i="1"/>
  <c r="AB204" i="1"/>
  <c r="AB134" i="1"/>
  <c r="AB90" i="1"/>
  <c r="AB130" i="1"/>
  <c r="AB93" i="1"/>
  <c r="AB82" i="1"/>
  <c r="AB168" i="1"/>
  <c r="AB126" i="1"/>
  <c r="AB169" i="1"/>
  <c r="AB180" i="1"/>
  <c r="AB137" i="1"/>
  <c r="AB160" i="1"/>
  <c r="AB140" i="1"/>
  <c r="AI90" i="1" l="1"/>
  <c r="AI140" i="1"/>
  <c r="AI193" i="1"/>
  <c r="AI203" i="1"/>
  <c r="AI168" i="1"/>
  <c r="AI144" i="1"/>
  <c r="AI180" i="1"/>
  <c r="AI147" i="1"/>
  <c r="AI120" i="1"/>
  <c r="AI91" i="1"/>
  <c r="AI115" i="1"/>
  <c r="AI157" i="1"/>
  <c r="AI82" i="1"/>
  <c r="AI167" i="1"/>
  <c r="AI129" i="1"/>
  <c r="AI192" i="1"/>
  <c r="AI93" i="1"/>
  <c r="AI151" i="1"/>
  <c r="AI198" i="1"/>
  <c r="AI95" i="1"/>
  <c r="AI94" i="1"/>
  <c r="AI162" i="1"/>
  <c r="AI184" i="1"/>
  <c r="AI169" i="1"/>
  <c r="AI160" i="1"/>
  <c r="AI212" i="1"/>
  <c r="AI134" i="1"/>
  <c r="AI126" i="1"/>
  <c r="AI175" i="1"/>
  <c r="AI204" i="1"/>
  <c r="AI92" i="1"/>
  <c r="AI130" i="1"/>
  <c r="AI163" i="1"/>
  <c r="AI145" i="1"/>
  <c r="AI181" i="1"/>
  <c r="AI101" i="1"/>
  <c r="AI127" i="1"/>
  <c r="AI137" i="1"/>
  <c r="B41" i="3"/>
  <c r="B40" i="3"/>
  <c r="D29" i="3"/>
  <c r="AC193" i="1"/>
  <c r="AC167" i="1"/>
  <c r="AC169" i="1"/>
  <c r="AC168" i="1"/>
  <c r="AC157" i="1"/>
  <c r="AC145" i="1"/>
  <c r="AC144" i="1"/>
  <c r="AC192" i="1"/>
  <c r="AC180" i="1"/>
  <c r="AC126" i="1"/>
  <c r="AC130" i="1"/>
  <c r="AC129" i="1"/>
  <c r="AC120" i="1"/>
  <c r="AC212" i="1"/>
  <c r="AC204" i="1"/>
  <c r="AC203" i="1"/>
  <c r="AC198" i="1"/>
  <c r="AC184" i="1"/>
  <c r="AC175" i="1"/>
  <c r="AC163" i="1"/>
  <c r="AC162" i="1"/>
  <c r="AC147" i="1"/>
  <c r="AC134" i="1"/>
  <c r="AC115" i="1"/>
  <c r="AC101" i="1"/>
  <c r="AC160" i="1"/>
  <c r="AC140" i="1"/>
  <c r="AC127" i="1"/>
  <c r="AC82" i="1"/>
  <c r="AC181" i="1"/>
  <c r="AC219" i="1"/>
  <c r="AC151" i="1"/>
  <c r="AG71" i="1"/>
  <c r="AH71" i="1" s="1"/>
  <c r="AC137" i="1"/>
  <c r="AC92" i="1"/>
  <c r="AC93" i="1"/>
  <c r="AC95" i="1"/>
  <c r="AC90" i="1"/>
  <c r="AC94" i="1"/>
  <c r="AC91" i="1"/>
  <c r="G20" i="1" l="1"/>
  <c r="AB217" i="1"/>
  <c r="AB114" i="1"/>
  <c r="AI114" i="1" l="1"/>
  <c r="AI217" i="1"/>
  <c r="AC114" i="1"/>
  <c r="AC217" i="1"/>
  <c r="AB201" i="1"/>
  <c r="AB211" i="1"/>
  <c r="AB133" i="1"/>
  <c r="AB174" i="1"/>
  <c r="AB66" i="1"/>
  <c r="AB161" i="1"/>
  <c r="AB202" i="1"/>
  <c r="AI202" i="1" l="1"/>
  <c r="AI201" i="1"/>
  <c r="AI161" i="1"/>
  <c r="AI133" i="1"/>
  <c r="AI174" i="1"/>
  <c r="AI66" i="1"/>
  <c r="AI211" i="1"/>
  <c r="AC201" i="1"/>
  <c r="AC161" i="1"/>
  <c r="AC133" i="1"/>
  <c r="AC211" i="1"/>
  <c r="AC202" i="1"/>
  <c r="AC66" i="1"/>
  <c r="AC174" i="1"/>
  <c r="AB107" i="1"/>
  <c r="AI107" i="1" l="1"/>
  <c r="AC107" i="1"/>
  <c r="AH227" i="1" l="1"/>
  <c r="K16" i="1" l="1"/>
  <c r="B109" i="2"/>
  <c r="B110" i="2" s="1"/>
  <c r="B111"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C91" i="2"/>
  <c r="B82" i="2"/>
  <c r="C77" i="2"/>
  <c r="B68" i="2"/>
  <c r="B69" i="2" s="1"/>
  <c r="B70" i="2" s="1"/>
  <c r="B71" i="2" s="1"/>
  <c r="B72" i="2" s="1"/>
  <c r="B73" i="2" s="1"/>
  <c r="B74" i="2" s="1"/>
  <c r="B75" i="2" s="1"/>
  <c r="B76" i="2" s="1"/>
  <c r="C63" i="2"/>
  <c r="B60" i="2"/>
  <c r="B61" i="2" s="1"/>
  <c r="C55" i="2"/>
  <c r="B51" i="2"/>
  <c r="B52" i="2" s="1"/>
  <c r="C48" i="2"/>
  <c r="B34" i="2"/>
  <c r="U15" i="1"/>
  <c r="T15" i="1"/>
  <c r="S15" i="1"/>
  <c r="Q15" i="1"/>
  <c r="P15" i="1"/>
  <c r="M15" i="1"/>
  <c r="L15" i="1"/>
  <c r="B117" i="2"/>
  <c r="B108" i="2"/>
  <c r="B95" i="2"/>
  <c r="B81" i="2"/>
  <c r="B67" i="2"/>
  <c r="B59" i="2"/>
  <c r="B50" i="2"/>
  <c r="B33" i="2"/>
  <c r="AB222" i="1"/>
  <c r="AB23" i="1"/>
  <c r="AI23" i="1" l="1"/>
  <c r="AI222" i="1"/>
  <c r="AC222" i="1"/>
  <c r="B53" i="2"/>
  <c r="B83" i="2"/>
  <c r="B84" i="2" s="1"/>
  <c r="B85" i="2" s="1"/>
  <c r="B86" i="2" s="1"/>
  <c r="B87" i="2" s="1"/>
  <c r="B88" i="2" s="1"/>
  <c r="B89" i="2" s="1"/>
  <c r="B90" i="2" s="1"/>
  <c r="AC23" i="1"/>
  <c r="B101" i="2"/>
  <c r="B62" i="2"/>
  <c r="B112" i="2"/>
  <c r="B35" i="2"/>
  <c r="B36" i="2" s="1"/>
  <c r="B37" i="2" s="1"/>
  <c r="B38" i="2" s="1"/>
  <c r="B123" i="2"/>
  <c r="B124" i="2" s="1"/>
  <c r="B125" i="2" s="1"/>
  <c r="B126" i="2" s="1"/>
  <c r="B54" i="2"/>
  <c r="AB55" i="1"/>
  <c r="AB29" i="1"/>
  <c r="AB27" i="1"/>
  <c r="AB62" i="1"/>
  <c r="AB108" i="1"/>
  <c r="AB61" i="1"/>
  <c r="AB43" i="1"/>
  <c r="AB76" i="1"/>
  <c r="AB26" i="1"/>
  <c r="AB75" i="1"/>
  <c r="AB74" i="1"/>
  <c r="AI43" i="1" l="1"/>
  <c r="AI27" i="1"/>
  <c r="AI26" i="1"/>
  <c r="AI29" i="1"/>
  <c r="AI55" i="1"/>
  <c r="AC76" i="1"/>
  <c r="AI76" i="1"/>
  <c r="AI75" i="1"/>
  <c r="AC75" i="1"/>
  <c r="AI62" i="1"/>
  <c r="AC62" i="1"/>
  <c r="AC27" i="1"/>
  <c r="AC74" i="1"/>
  <c r="AI74" i="1"/>
  <c r="AC61" i="1"/>
  <c r="AI61" i="1"/>
  <c r="AI108" i="1"/>
  <c r="AC55" i="1"/>
  <c r="AC29" i="1"/>
  <c r="AC26" i="1"/>
  <c r="B102" i="2"/>
  <c r="B103" i="2" s="1"/>
  <c r="B39" i="2"/>
  <c r="AC108" i="1"/>
  <c r="AC43" i="1"/>
  <c r="AB88" i="1"/>
  <c r="AB97" i="1"/>
  <c r="AB48" i="1"/>
  <c r="AB171" i="1"/>
  <c r="AB170" i="1"/>
  <c r="AB69" i="1"/>
  <c r="AB128" i="1"/>
  <c r="AB21" i="1"/>
  <c r="AB183" i="1"/>
  <c r="AB176" i="1"/>
  <c r="AB216" i="1"/>
  <c r="AB44" i="1"/>
  <c r="AB172" i="1"/>
  <c r="AB209" i="1"/>
  <c r="AB56" i="1"/>
  <c r="AB71" i="1"/>
  <c r="AB207" i="1"/>
  <c r="AB173" i="1"/>
  <c r="AB60" i="1"/>
  <c r="AB190" i="1"/>
  <c r="AB205" i="1"/>
  <c r="AB80" i="1"/>
  <c r="AB178" i="1"/>
  <c r="AB179" i="1"/>
  <c r="AB153" i="1"/>
  <c r="AB139" i="1"/>
  <c r="AB73" i="1"/>
  <c r="AB135" i="1"/>
  <c r="AB210" i="1"/>
  <c r="AB177" i="1"/>
  <c r="AB141" i="1"/>
  <c r="AB24" i="1"/>
  <c r="AB111" i="1"/>
  <c r="AB32" i="1"/>
  <c r="AB20" i="1"/>
  <c r="AB136" i="1"/>
  <c r="AB150" i="1"/>
  <c r="AB70" i="1"/>
  <c r="AB81" i="1"/>
  <c r="AB40" i="1"/>
  <c r="AB200" i="1"/>
  <c r="AB188" i="1"/>
  <c r="AB99" i="1"/>
  <c r="AB102" i="1"/>
  <c r="AB46" i="1"/>
  <c r="AB189" i="1"/>
  <c r="AB34" i="1"/>
  <c r="AB116" i="1"/>
  <c r="AB68" i="1"/>
  <c r="AB149" i="1"/>
  <c r="AB25" i="1"/>
  <c r="AB84" i="1"/>
  <c r="AB143" i="1"/>
  <c r="AB57" i="1"/>
  <c r="AB112" i="1"/>
  <c r="AB165" i="1"/>
  <c r="AB33" i="1"/>
  <c r="AB47" i="1"/>
  <c r="AB52" i="1"/>
  <c r="AB31" i="1"/>
  <c r="AB96" i="1"/>
  <c r="AB213" i="1"/>
  <c r="AB154" i="1"/>
  <c r="AB103" i="1"/>
  <c r="AB164" i="1"/>
  <c r="AB22" i="1"/>
  <c r="AB132" i="1"/>
  <c r="AB19" i="1"/>
  <c r="AB77" i="1"/>
  <c r="AB67" i="1"/>
  <c r="AB42" i="1"/>
  <c r="AB83" i="1"/>
  <c r="AB49" i="1"/>
  <c r="AB53" i="1"/>
  <c r="AB41" i="1"/>
  <c r="AB64" i="1"/>
  <c r="AB142" i="1"/>
  <c r="AB100" i="1"/>
  <c r="AB63" i="1"/>
  <c r="AI20" i="1" l="1"/>
  <c r="AI31" i="1"/>
  <c r="AI32" i="1"/>
  <c r="AI25" i="1"/>
  <c r="AI21" i="1"/>
  <c r="AI47" i="1"/>
  <c r="AI24" i="1"/>
  <c r="AI22" i="1"/>
  <c r="AI48" i="1"/>
  <c r="AI19" i="1"/>
  <c r="AI88" i="1"/>
  <c r="AC88" i="1"/>
  <c r="AI71" i="1"/>
  <c r="AC71" i="1"/>
  <c r="AC24" i="1"/>
  <c r="AC49" i="1"/>
  <c r="AI49" i="1"/>
  <c r="AC20" i="1"/>
  <c r="AI177" i="1"/>
  <c r="AI102" i="1"/>
  <c r="AI103" i="1"/>
  <c r="AI205" i="1"/>
  <c r="AI170" i="1"/>
  <c r="AI77" i="1"/>
  <c r="AI210" i="1"/>
  <c r="AI189" i="1"/>
  <c r="AI111" i="1"/>
  <c r="AI188" i="1"/>
  <c r="AI141" i="1"/>
  <c r="AI143" i="1"/>
  <c r="AI46" i="1"/>
  <c r="AI172" i="1"/>
  <c r="AI112" i="1"/>
  <c r="AI33" i="1"/>
  <c r="AI40" i="1"/>
  <c r="AI63" i="1"/>
  <c r="AI173" i="1"/>
  <c r="AI135" i="1"/>
  <c r="AI183" i="1"/>
  <c r="AI44" i="1"/>
  <c r="AI139" i="1"/>
  <c r="AI179" i="1"/>
  <c r="AI79" i="1"/>
  <c r="AI64" i="1"/>
  <c r="AI200" i="1"/>
  <c r="AI116" i="1"/>
  <c r="AI154" i="1"/>
  <c r="AI80" i="1"/>
  <c r="AI69" i="1"/>
  <c r="AI165" i="1"/>
  <c r="AI100" i="1"/>
  <c r="AI164" i="1"/>
  <c r="AI136" i="1"/>
  <c r="AI190" i="1"/>
  <c r="AI52" i="1"/>
  <c r="AI57" i="1"/>
  <c r="AI81" i="1"/>
  <c r="AI83" i="1"/>
  <c r="AI153" i="1"/>
  <c r="AI70" i="1"/>
  <c r="AI60" i="1"/>
  <c r="AI35" i="1"/>
  <c r="AI84" i="1"/>
  <c r="AI97" i="1"/>
  <c r="AI96" i="1"/>
  <c r="AI149" i="1"/>
  <c r="AI216" i="1"/>
  <c r="AI128" i="1"/>
  <c r="AI213" i="1"/>
  <c r="AI132" i="1"/>
  <c r="AI171" i="1"/>
  <c r="AI207" i="1"/>
  <c r="AI99" i="1"/>
  <c r="AI209" i="1"/>
  <c r="AI56" i="1"/>
  <c r="AI73" i="1"/>
  <c r="AI41" i="1"/>
  <c r="AI67" i="1"/>
  <c r="AI142" i="1"/>
  <c r="AI176" i="1"/>
  <c r="AI178" i="1"/>
  <c r="AI150" i="1"/>
  <c r="AI53" i="1"/>
  <c r="AI42" i="1"/>
  <c r="AI68" i="1"/>
  <c r="AC52" i="1"/>
  <c r="B40" i="2"/>
  <c r="B41" i="2" s="1"/>
  <c r="B42" i="2" s="1"/>
  <c r="B43" i="2" s="1"/>
  <c r="B44" i="2" s="1"/>
  <c r="B45" i="2" s="1"/>
  <c r="AC68" i="1"/>
  <c r="AC41" i="1"/>
  <c r="AC96" i="1"/>
  <c r="AC102" i="1"/>
  <c r="AC97" i="1"/>
  <c r="AC65" i="1"/>
  <c r="AC139" i="1"/>
  <c r="AC64" i="1"/>
  <c r="AC32" i="1"/>
  <c r="AC83" i="1"/>
  <c r="AC176" i="1"/>
  <c r="AC60" i="1"/>
  <c r="AC142" i="1"/>
  <c r="AC207" i="1"/>
  <c r="AC80" i="1"/>
  <c r="AC136" i="1"/>
  <c r="AC19" i="1"/>
  <c r="AC25" i="1"/>
  <c r="AC34" i="1"/>
  <c r="AC188" i="1"/>
  <c r="AC35" i="1"/>
  <c r="AC209" i="1"/>
  <c r="AC128" i="1"/>
  <c r="AC216" i="1"/>
  <c r="AC79" i="1"/>
  <c r="AC48" i="1"/>
  <c r="AC81" i="1"/>
  <c r="AC33" i="1"/>
  <c r="AC44" i="1"/>
  <c r="AC22" i="1"/>
  <c r="AC183" i="1"/>
  <c r="AC69" i="1"/>
  <c r="AC165" i="1"/>
  <c r="AC170" i="1"/>
  <c r="AC77" i="1"/>
  <c r="AC164" i="1"/>
  <c r="AC135" i="1"/>
  <c r="AC150" i="1"/>
  <c r="AC31" i="1"/>
  <c r="AC46" i="1"/>
  <c r="AC189" i="1"/>
  <c r="AC67" i="1"/>
  <c r="AC21" i="1"/>
  <c r="AC154" i="1"/>
  <c r="AC143" i="1"/>
  <c r="AC57" i="1"/>
  <c r="AC178" i="1"/>
  <c r="AC116" i="1"/>
  <c r="AC73" i="1"/>
  <c r="AC84" i="1"/>
  <c r="AC100" i="1"/>
  <c r="AC200" i="1"/>
  <c r="AC63" i="1"/>
  <c r="AC56" i="1"/>
  <c r="AC42" i="1"/>
  <c r="AC47" i="1"/>
  <c r="AC112" i="1"/>
  <c r="AC103" i="1"/>
  <c r="AC173" i="1"/>
  <c r="AC99" i="1"/>
  <c r="AC153" i="1"/>
  <c r="AC53" i="1"/>
  <c r="AC177" i="1"/>
  <c r="AC205" i="1"/>
  <c r="AC179" i="1"/>
  <c r="AC111" i="1"/>
  <c r="AC190" i="1"/>
  <c r="AC40" i="1"/>
  <c r="AC132" i="1"/>
  <c r="AC70" i="1"/>
  <c r="AC210" i="1"/>
  <c r="AC171" i="1"/>
  <c r="AC213" i="1"/>
  <c r="AC172" i="1"/>
  <c r="AC141" i="1"/>
  <c r="AC149" i="1"/>
  <c r="AB215" i="1"/>
  <c r="AB152" i="1"/>
  <c r="AB45" i="1"/>
  <c r="AB87" i="1"/>
  <c r="AB104" i="1"/>
  <c r="AB110" i="1"/>
  <c r="AB85" i="1"/>
  <c r="AB54" i="1"/>
  <c r="AB199" i="1"/>
  <c r="AB58" i="1"/>
  <c r="AB78" i="1"/>
  <c r="AB28" i="1"/>
  <c r="AB86" i="1"/>
  <c r="AB208" i="1"/>
  <c r="AB118" i="1"/>
  <c r="AB187" i="1"/>
  <c r="AB206" i="1"/>
  <c r="AB59" i="1"/>
  <c r="AB138" i="1"/>
  <c r="AB146" i="1"/>
  <c r="AB106" i="1"/>
  <c r="AB109" i="1"/>
  <c r="AB98" i="1"/>
  <c r="AB220" i="1"/>
  <c r="AB117" i="1"/>
  <c r="AB131" i="1"/>
  <c r="AB185" i="1"/>
  <c r="AB155" i="1"/>
  <c r="AB186" i="1"/>
  <c r="AB113" i="1"/>
  <c r="AB51" i="1"/>
  <c r="AB158" i="1"/>
  <c r="AB121" i="1"/>
  <c r="AB159" i="1"/>
  <c r="AB166" i="1"/>
  <c r="AB105" i="1"/>
  <c r="AB148" i="1"/>
  <c r="AB214" i="1"/>
  <c r="AI28" i="1" l="1"/>
  <c r="AI54" i="1"/>
  <c r="AI45" i="1"/>
  <c r="AI104" i="1"/>
  <c r="AI208" i="1"/>
  <c r="AI148" i="1"/>
  <c r="AI86" i="1"/>
  <c r="AI131" i="1"/>
  <c r="AI117" i="1"/>
  <c r="AI59" i="1"/>
  <c r="AI106" i="1"/>
  <c r="AI186" i="1"/>
  <c r="AI51" i="1"/>
  <c r="AI146" i="1"/>
  <c r="AI166" i="1"/>
  <c r="AI121" i="1"/>
  <c r="AI85" i="1"/>
  <c r="AI37" i="1"/>
  <c r="AI215" i="1"/>
  <c r="AI109" i="1"/>
  <c r="AI199" i="1"/>
  <c r="AI113" i="1"/>
  <c r="AI118" i="1"/>
  <c r="AI105" i="1"/>
  <c r="AI158" i="1"/>
  <c r="AI138" i="1"/>
  <c r="AI58" i="1"/>
  <c r="AI38" i="1"/>
  <c r="AI159" i="1"/>
  <c r="AI78" i="1"/>
  <c r="AI214" i="1"/>
  <c r="AI185" i="1"/>
  <c r="AI187" i="1"/>
  <c r="AI152" i="1"/>
  <c r="AI36" i="1"/>
  <c r="AI87" i="1"/>
  <c r="AI206" i="1"/>
  <c r="AI155" i="1"/>
  <c r="AI98" i="1"/>
  <c r="AI110" i="1"/>
  <c r="AC158" i="1"/>
  <c r="AC148" i="1"/>
  <c r="AC72" i="1"/>
  <c r="AC159" i="1"/>
  <c r="AC187" i="1"/>
  <c r="AC106" i="1"/>
  <c r="AC186" i="1"/>
  <c r="AC220" i="1"/>
  <c r="AC113" i="1"/>
  <c r="AC185" i="1"/>
  <c r="AC121" i="1"/>
  <c r="AC131" i="1"/>
  <c r="AC85" i="1"/>
  <c r="AC87" i="1"/>
  <c r="AC86" i="1"/>
  <c r="B46" i="2"/>
  <c r="B47" i="2" s="1"/>
  <c r="AC118" i="1"/>
  <c r="AC105" i="1"/>
  <c r="AC104" i="1"/>
  <c r="AC98" i="1"/>
  <c r="AC152" i="1"/>
  <c r="AC59" i="1"/>
  <c r="AC37" i="1"/>
  <c r="AC199" i="1"/>
  <c r="AC214" i="1"/>
  <c r="AC155" i="1"/>
  <c r="AC117" i="1"/>
  <c r="AC58" i="1"/>
  <c r="AC208" i="1"/>
  <c r="AC38" i="1"/>
  <c r="AC166" i="1"/>
  <c r="AC78" i="1"/>
  <c r="AC206" i="1"/>
  <c r="AC54" i="1"/>
  <c r="AC215" i="1"/>
  <c r="AC138" i="1"/>
  <c r="AC36" i="1"/>
  <c r="AC28" i="1"/>
  <c r="AC51" i="1"/>
  <c r="AC45" i="1"/>
  <c r="AC109" i="1"/>
  <c r="AC146" i="1"/>
  <c r="AC110" i="1"/>
  <c r="AB50" i="1"/>
  <c r="AB182" i="1"/>
  <c r="AB39" i="1"/>
  <c r="AB30" i="1"/>
  <c r="AB156" i="1"/>
  <c r="AI30" i="1" l="1"/>
  <c r="AI50" i="1"/>
  <c r="AI39" i="1"/>
  <c r="AI156" i="1"/>
  <c r="AI182" i="1"/>
  <c r="AC156" i="1"/>
  <c r="AC50" i="1"/>
  <c r="AB227" i="1"/>
  <c r="AC182" i="1"/>
  <c r="AC39" i="1"/>
  <c r="AC30" i="1"/>
  <c r="AC227" i="1" l="1"/>
</calcChain>
</file>

<file path=xl/comments1.xml><?xml version="1.0" encoding="utf-8"?>
<comments xmlns="http://schemas.openxmlformats.org/spreadsheetml/2006/main">
  <authors>
    <author>Hewlett-Packard Company</author>
    <author>Ivonne Andrea Torres Cruz</author>
    <author>Manuel Andres Farias Pinzon</author>
  </authors>
  <commentList>
    <comment ref="I44" authorId="0" shapeId="0">
      <text>
        <r>
          <rPr>
            <b/>
            <sz val="9"/>
            <color indexed="81"/>
            <rFont val="Tahoma"/>
            <family val="2"/>
          </rPr>
          <t>IATC:</t>
        </r>
        <r>
          <rPr>
            <sz val="9"/>
            <color indexed="81"/>
            <rFont val="Tahoma"/>
            <family val="2"/>
          </rPr>
          <t xml:space="preserve">
Debido a que no fue posible contar con la información en el tiempo previsto y que posteriormente el profesional se dedicó a la cuenta mensual y anual de la contraloría y luego al informe de evaluación del sistema de control interno contable, es necesario reprogramar el informe del 22Feb al 26Feb</t>
        </r>
      </text>
    </comment>
    <comment ref="I46" authorId="0" shapeId="0">
      <text>
        <r>
          <rPr>
            <b/>
            <sz val="9"/>
            <color indexed="81"/>
            <rFont val="Tahoma"/>
            <charset val="1"/>
          </rPr>
          <t>IATC:</t>
        </r>
        <r>
          <rPr>
            <sz val="9"/>
            <color indexed="81"/>
            <rFont val="Tahoma"/>
            <charset val="1"/>
          </rPr>
          <t xml:space="preserve">
Debido a que a la contratista se le terminó el contrato el 18Ene y que está en proceso de contratación y que primero es necesario realizar el seguimiento al PM por procesos, la evaluación se corre del 19Feb al 26Mar</t>
        </r>
      </text>
    </comment>
    <comment ref="I50" authorId="0" shapeId="0">
      <text>
        <r>
          <rPr>
            <b/>
            <sz val="9"/>
            <color rgb="FF000000"/>
            <rFont val="Tahoma"/>
            <charset val="1"/>
          </rPr>
          <t>IATC:</t>
        </r>
        <r>
          <rPr>
            <sz val="9"/>
            <color rgb="FF000000"/>
            <rFont val="Tahoma"/>
            <family val="2"/>
          </rPr>
          <t xml:space="preserve"> Se corrió la fecha del 09Feb al 12Mar en razón a que el contrato de Marcela se inició el 09Feb y se retrasó la evaluación del sistema de control interno contable</t>
        </r>
      </text>
    </comment>
    <comment ref="I51"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I52" authorId="0" shapeId="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H69" authorId="0" shapeId="0">
      <text>
        <r>
          <rPr>
            <b/>
            <sz val="9"/>
            <color indexed="81"/>
            <rFont val="Tahoma"/>
            <family val="2"/>
          </rPr>
          <t>IATC:</t>
        </r>
        <r>
          <rPr>
            <sz val="9"/>
            <color indexed="81"/>
            <rFont val="Tahoma"/>
            <family val="2"/>
          </rPr>
          <t xml:space="preserve"> Se corrió la fecha del 03Feb al 10Feb en razón a que el contrato de Carlos Andrés se inició el 10Feb y se dio inicio a la etapa de planeación del trabajo el 10Feb</t>
        </r>
      </text>
    </comment>
    <comment ref="I69" authorId="0" shapeId="0">
      <text>
        <r>
          <rPr>
            <b/>
            <sz val="9"/>
            <color indexed="81"/>
            <rFont val="Tahoma"/>
            <family val="2"/>
          </rPr>
          <t>IATC:</t>
        </r>
        <r>
          <rPr>
            <sz val="9"/>
            <color indexed="81"/>
            <rFont val="Tahoma"/>
            <family val="2"/>
          </rPr>
          <t xml:space="preserve"> Se corrió la fecha del 22Feb al 24Feb en razón a que el contrato de Carlos Andrés se inició el 10Feb y el trabajo de campo no se inició el 10Feb, sino el 16Feb</t>
        </r>
      </text>
    </comment>
    <comment ref="H70" authorId="0" shapeId="0">
      <text>
        <r>
          <rPr>
            <b/>
            <sz val="9"/>
            <color indexed="81"/>
            <rFont val="Tahoma"/>
            <family val="2"/>
          </rPr>
          <t>IATC:</t>
        </r>
        <r>
          <rPr>
            <sz val="9"/>
            <color indexed="81"/>
            <rFont val="Tahoma"/>
            <family val="2"/>
          </rPr>
          <t xml:space="preserve"> Se corrió la fecha del 03Feb al 10Feb en razón a que el contrato de Marcela se inició el 09Feb y se dio inicio a la etapa de planeación del trabajo el 10Feb</t>
        </r>
      </text>
    </comment>
    <comment ref="I70" authorId="0" shapeId="0">
      <text>
        <r>
          <rPr>
            <b/>
            <sz val="9"/>
            <color rgb="FF000000"/>
            <rFont val="Tahoma"/>
            <family val="2"/>
          </rPr>
          <t>IATC:</t>
        </r>
        <r>
          <rPr>
            <sz val="9"/>
            <color rgb="FF000000"/>
            <rFont val="Tahoma"/>
            <family val="2"/>
          </rPr>
          <t xml:space="preserve"> Se corrió la fecha del 22Feb al 24Feb en razón a que el contrato de Marcela se inició el 09Feb y el trabajo de campo no se inició el 10Feb, sino el 16Feb</t>
        </r>
      </text>
    </comment>
    <comment ref="H76" authorId="0" shapeId="0">
      <text>
        <r>
          <rPr>
            <b/>
            <sz val="9"/>
            <color indexed="81"/>
            <rFont val="Tahoma"/>
            <family val="2"/>
          </rPr>
          <t xml:space="preserve">IATC: </t>
        </r>
        <r>
          <rPr>
            <sz val="9"/>
            <color indexed="81"/>
            <rFont val="Tahoma"/>
            <family val="2"/>
          </rPr>
          <t>Con la Circular 100-003 del 05Feb2021 el DAFP modificó las fechas de reporte del furag del 22Feb al 23Mar, sin embargo, el aplicativo no está abierto y modificaron de nuevo las fechas del 25Feb al 25Mar</t>
        </r>
      </text>
    </comment>
    <comment ref="I76" authorId="0" shapeId="0">
      <text>
        <r>
          <rPr>
            <b/>
            <sz val="9"/>
            <color indexed="81"/>
            <rFont val="Tahoma"/>
            <family val="2"/>
          </rPr>
          <t>IATC:</t>
        </r>
        <r>
          <rPr>
            <sz val="9"/>
            <color indexed="81"/>
            <rFont val="Tahoma"/>
            <family val="2"/>
          </rPr>
          <t xml:space="preserve"> Con la Circular 100-003 del 05Feb2021 el DAFP modificó las fechas de reporte del furag del 22Feb al 23Mar, sin embargo, el aplicativo no está abierto y modificaron de nuevo las fechas del 25Feb al 25Mar</t>
        </r>
      </text>
    </comment>
    <comment ref="H80" authorId="0" shapeId="0">
      <text>
        <r>
          <rPr>
            <b/>
            <sz val="9"/>
            <color indexed="81"/>
            <rFont val="Tahoma"/>
            <charset val="1"/>
          </rPr>
          <t xml:space="preserve">IATC: </t>
        </r>
        <r>
          <rPr>
            <sz val="9"/>
            <color indexed="81"/>
            <rFont val="Tahoma"/>
            <charset val="1"/>
          </rPr>
          <t>Ya que la contratista se quedó sin contrato desde el 29Ene y que inició contrato el 01Mar, se reprograma la fecha de inicio del 01Feb al 02Mar</t>
        </r>
      </text>
    </comment>
    <comment ref="I80" authorId="0" shapeId="0">
      <text>
        <r>
          <rPr>
            <b/>
            <sz val="9"/>
            <color indexed="81"/>
            <rFont val="Tahoma"/>
            <charset val="1"/>
          </rPr>
          <t xml:space="preserve">IATC: </t>
        </r>
        <r>
          <rPr>
            <sz val="9"/>
            <color indexed="81"/>
            <rFont val="Tahoma"/>
            <family val="2"/>
          </rPr>
          <t>Ya que la contratista se quedó sin contrato desde el 29Ene y que inició contrato el 01Mar, se reprograma la fecha de finalización del 12Feb al 17Mar</t>
        </r>
      </text>
    </comment>
    <comment ref="H81" authorId="0" shapeId="0">
      <text>
        <r>
          <rPr>
            <b/>
            <sz val="9"/>
            <color indexed="81"/>
            <rFont val="Tahoma"/>
            <family val="2"/>
          </rPr>
          <t xml:space="preserve">IATC: </t>
        </r>
        <r>
          <rPr>
            <sz val="9"/>
            <color indexed="81"/>
            <rFont val="Tahoma"/>
            <family val="2"/>
          </rPr>
          <t>Debido a que la contratista quedó sin contrato el 28Ene y que inició contrato el 01Mar, se reprograma la fecha de inicio de la actividad del 15Feb al 02Mar, sin reprogramar la fecha de terminación que permanece igual</t>
        </r>
      </text>
    </comment>
    <comment ref="H85" authorId="0" shapeId="0">
      <text>
        <r>
          <rPr>
            <b/>
            <sz val="9"/>
            <color indexed="81"/>
            <rFont val="Tahoma"/>
            <family val="2"/>
          </rPr>
          <t>IATC:</t>
        </r>
        <r>
          <rPr>
            <sz val="9"/>
            <color indexed="81"/>
            <rFont val="Tahoma"/>
            <family val="2"/>
          </rPr>
          <t xml:space="preserve"> Debido a que la contratista inició contrato el 01Mar, la actividad se reprograma iniciando el 15Mar y no el 15Feb y finalizando el 25Mar y no el 26Feb como estabe previsto inicialmente</t>
        </r>
      </text>
    </comment>
    <comment ref="I85" authorId="0" shapeId="0">
      <text>
        <r>
          <rPr>
            <b/>
            <sz val="9"/>
            <color indexed="81"/>
            <rFont val="Tahoma"/>
            <family val="2"/>
          </rPr>
          <t>IATC:</t>
        </r>
        <r>
          <rPr>
            <sz val="9"/>
            <color indexed="81"/>
            <rFont val="Tahoma"/>
            <family val="2"/>
          </rPr>
          <t xml:space="preserve"> Debido a que la contratista inciió contrato el 01Mar, la actividad se reprograma iniciando el 15Mar y no el 15Feb y finalizando el 25Mar y no el 26Feb como estabe previsto inicialmente</t>
        </r>
      </text>
    </comment>
    <comment ref="H86"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I86" authorId="0" shapeId="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H87"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8" authorId="0" shapeId="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9"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I89" authorId="0" shapeId="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B96" authorId="1" shapeId="0">
      <text>
        <r>
          <rPr>
            <b/>
            <sz val="9"/>
            <color indexed="81"/>
            <rFont val="Tahoma"/>
            <charset val="1"/>
          </rPr>
          <t xml:space="preserve">IATC: </t>
        </r>
        <r>
          <rPr>
            <sz val="9"/>
            <color indexed="81"/>
            <rFont val="Tahoma"/>
            <charset val="1"/>
          </rPr>
          <t>Se modificó la actividad incluyendo solamente el cierre de la caja menor, ya que al 09Mar no se había constituido la caja menor del 2021</t>
        </r>
      </text>
    </comment>
    <comment ref="H96"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I96" authorId="0" shapeId="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H98"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I98" authorId="0" shapeId="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H99"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inicio de la actividad del 22Feb al 26Mar</t>
        </r>
      </text>
    </comment>
    <comment ref="I99"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finalización de la actividad del 29Mar al 03May</t>
        </r>
      </text>
    </comment>
    <comment ref="H107" authorId="1" shapeId="0">
      <text>
        <r>
          <rPr>
            <b/>
            <sz val="9"/>
            <color indexed="81"/>
            <rFont val="Tahoma"/>
            <charset val="1"/>
          </rPr>
          <t>IATC:</t>
        </r>
        <r>
          <rPr>
            <sz val="9"/>
            <color indexed="81"/>
            <rFont val="Tahoma"/>
            <charset val="1"/>
          </rPr>
          <t xml:space="preserve">
Actividad reprogramada porque la tercera sesión se modificó del 25MAr al 08Abr</t>
        </r>
      </text>
    </comment>
    <comment ref="I107" authorId="1" shapeId="0">
      <text>
        <r>
          <rPr>
            <b/>
            <sz val="9"/>
            <color indexed="81"/>
            <rFont val="Tahoma"/>
            <charset val="1"/>
          </rPr>
          <t>IATC:</t>
        </r>
        <r>
          <rPr>
            <sz val="9"/>
            <color indexed="81"/>
            <rFont val="Tahoma"/>
            <charset val="1"/>
          </rPr>
          <t xml:space="preserve">
Actividad reprogramada porque la tercera sesión se modificó del 25MAr al 08Abr</t>
        </r>
      </text>
    </comment>
    <comment ref="H109"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I109" authorId="0" shapeId="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H111" authorId="0" shapeId="0">
      <text>
        <r>
          <rPr>
            <b/>
            <sz val="9"/>
            <color indexed="81"/>
            <rFont val="Tahoma"/>
            <family val="2"/>
          </rPr>
          <t>IATC:</t>
        </r>
        <r>
          <rPr>
            <sz val="9"/>
            <color indexed="81"/>
            <rFont val="Tahoma"/>
            <family val="2"/>
          </rPr>
          <t xml:space="preserve"> Debido a que la contratista inició contrato el 01Mar, la actividad se reprograma iniciando el 21Abr y no el 30Mar y finalizando el 30Abr y no el 14Abr como estaba previsto inicialmente</t>
        </r>
      </text>
    </comment>
    <comment ref="I111" authorId="0" shapeId="0">
      <text>
        <r>
          <rPr>
            <b/>
            <sz val="9"/>
            <color indexed="81"/>
            <rFont val="Tahoma"/>
            <family val="2"/>
          </rPr>
          <t>IATC:</t>
        </r>
        <r>
          <rPr>
            <sz val="9"/>
            <color indexed="81"/>
            <rFont val="Tahoma"/>
            <family val="2"/>
          </rPr>
          <t xml:space="preserve"> Debido a que la contratista inició contrato el 01Mar, la actividad se reprograma iniciando el 21Abr y no el 30Mar y finalizando el 30Abr y no el 14Abr como estaba previsto inicialmente</t>
        </r>
      </text>
    </comment>
    <comment ref="H127"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12Abr al 04May y de igual manera se reprograma la fecha de finalización del 14May al 09Jun</t>
        </r>
      </text>
    </comment>
    <comment ref="I127"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12Abr al 04May y de igual manera se reprograma la fecha de finalización del 14May al 09Jun</t>
        </r>
      </text>
    </comment>
    <comment ref="H140"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40" authorId="0" shapeId="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H160"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el inicio de la auditoría del 24Jun al 19Jul y de igual manera se reprograma la fecha de finalización del 30Jul al 24Ago</t>
        </r>
      </text>
    </comment>
    <comment ref="I160" authorId="0" shapeId="0">
      <text>
        <r>
          <rPr>
            <b/>
            <sz val="9"/>
            <color indexed="81"/>
            <rFont val="Tahoma"/>
            <family val="2"/>
          </rPr>
          <t xml:space="preserve">IATC: </t>
        </r>
        <r>
          <rPr>
            <sz val="9"/>
            <color indexed="81"/>
            <rFont val="Tahoma"/>
            <family val="2"/>
          </rPr>
          <t>Debido a que la contratista quedó sin contrato el 18ene y que está en proceso de contratación, se reprograma el inicio de la auditoría del 24Jun al 19Jul y de igual manera se reprograma la fecha de finalización del 30Jul al 24Ago</t>
        </r>
      </text>
    </comment>
    <comment ref="H219"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19" authorId="0" shapeId="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H220" authorId="0" shapeId="0">
      <text>
        <r>
          <rPr>
            <b/>
            <sz val="9"/>
            <color indexed="81"/>
            <rFont val="Tahoma"/>
            <charset val="1"/>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0" authorId="0" shapeId="0">
      <text>
        <r>
          <rPr>
            <b/>
            <sz val="9"/>
            <color indexed="81"/>
            <rFont val="Tahoma"/>
            <charset val="1"/>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1" authorId="0" shapeId="0">
      <text>
        <r>
          <rPr>
            <b/>
            <sz val="9"/>
            <color indexed="81"/>
            <rFont val="Tahoma"/>
            <family val="2"/>
          </rPr>
          <t>IATC:</t>
        </r>
        <r>
          <rPr>
            <sz val="9"/>
            <color indexed="81"/>
            <rFont val="Tahoma"/>
            <family val="2"/>
          </rPr>
          <t xml:space="preserve"> Actividad nueva</t>
        </r>
      </text>
    </comment>
    <comment ref="I222" authorId="0" shapeId="0">
      <text>
        <r>
          <rPr>
            <b/>
            <sz val="9"/>
            <color indexed="81"/>
            <rFont val="Tahoma"/>
            <family val="2"/>
          </rPr>
          <t>IATC:</t>
        </r>
        <r>
          <rPr>
            <sz val="9"/>
            <color indexed="81"/>
            <rFont val="Tahoma"/>
            <family val="2"/>
          </rPr>
          <t xml:space="preserve"> Actividad nueva cuya fecha de finalización se reprogramó del 26-Mar al 09-Abr</t>
        </r>
      </text>
    </comment>
    <comment ref="I223" authorId="0" shapeId="0">
      <text>
        <r>
          <rPr>
            <b/>
            <sz val="9"/>
            <color indexed="81"/>
            <rFont val="Tahoma"/>
            <family val="2"/>
          </rPr>
          <t>IATC:</t>
        </r>
        <r>
          <rPr>
            <sz val="9"/>
            <color indexed="81"/>
            <rFont val="Tahoma"/>
            <family val="2"/>
          </rPr>
          <t xml:space="preserve"> Actividad nueva</t>
        </r>
      </text>
    </comment>
    <comment ref="I224" authorId="0" shapeId="0">
      <text>
        <r>
          <rPr>
            <b/>
            <sz val="9"/>
            <color indexed="81"/>
            <rFont val="Tahoma"/>
            <family val="2"/>
          </rPr>
          <t>IATC:</t>
        </r>
        <r>
          <rPr>
            <sz val="9"/>
            <color indexed="81"/>
            <rFont val="Tahoma"/>
            <family val="2"/>
          </rPr>
          <t xml:space="preserve"> Actividad nueva</t>
        </r>
      </text>
    </comment>
    <comment ref="I225" authorId="0" shapeId="0">
      <text>
        <r>
          <rPr>
            <b/>
            <sz val="9"/>
            <color indexed="81"/>
            <rFont val="Tahoma"/>
            <family val="2"/>
          </rPr>
          <t>IATC:</t>
        </r>
        <r>
          <rPr>
            <sz val="9"/>
            <color indexed="81"/>
            <rFont val="Tahoma"/>
            <family val="2"/>
          </rPr>
          <t xml:space="preserve"> Actividad nueva</t>
        </r>
      </text>
    </comment>
    <comment ref="I226" authorId="0" shapeId="0">
      <text>
        <r>
          <rPr>
            <b/>
            <sz val="9"/>
            <color indexed="81"/>
            <rFont val="Tahoma"/>
            <family val="2"/>
          </rPr>
          <t>IATC:</t>
        </r>
        <r>
          <rPr>
            <sz val="9"/>
            <color indexed="81"/>
            <rFont val="Tahoma"/>
            <family val="2"/>
          </rPr>
          <t xml:space="preserve"> Actividad nueva</t>
        </r>
      </text>
    </comment>
    <comment ref="Y245" authorId="2" shapeId="0">
      <text>
        <r>
          <rPr>
            <b/>
            <sz val="9"/>
            <color indexed="81"/>
            <rFont val="Tahoma"/>
            <family val="2"/>
          </rPr>
          <t>total del "Aporte al Avance del  PAA"
Se suma el avance de la cumplida (columna AB) más el avance de las que están en desarrollo (columna AB)</t>
        </r>
      </text>
    </comment>
  </commentList>
</comments>
</file>

<file path=xl/sharedStrings.xml><?xml version="1.0" encoding="utf-8"?>
<sst xmlns="http://schemas.openxmlformats.org/spreadsheetml/2006/main" count="2246" uniqueCount="551">
  <si>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</si>
  <si>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</si>
  <si>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</si>
  <si>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</si>
  <si>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</si>
  <si>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</si>
  <si>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</si>
  <si>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</si>
  <si>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</si>
  <si>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</si>
  <si>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</si>
  <si>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</si>
  <si>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</si>
  <si>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</si>
  <si>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</si>
  <si>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</si>
  <si>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</si>
  <si>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</si>
  <si>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</si>
  <si>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</si>
  <si>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</si>
  <si>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</si>
  <si>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</si>
  <si>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</si>
  <si>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</si>
  <si>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</si>
  <si>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</si>
  <si>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</si>
  <si>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</si>
  <si>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</si>
  <si>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</si>
  <si>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</si>
  <si>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</si>
  <si>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</si>
  <si>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</si>
  <si>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</si>
  <si>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</si>
  <si>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</si>
  <si>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</si>
  <si>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</si>
  <si>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</si>
  <si>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</si>
  <si>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</si>
  <si>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</si>
  <si>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</si>
  <si>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</si>
  <si>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</si>
  <si>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</si>
  <si>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</si>
  <si>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</si>
  <si>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</si>
  <si>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</si>
  <si>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</si>
  <si>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</si>
  <si>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</si>
  <si>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</si>
  <si>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</si>
  <si>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</si>
  <si>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</si>
  <si>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</si>
  <si>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</si>
  <si>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</si>
  <si>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</si>
  <si>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</si>
  <si>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</si>
  <si>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</si>
  <si>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</si>
  <si>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</si>
  <si>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</si>
  <si>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</si>
  <si>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</si>
  <si>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</si>
  <si>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</si>
  <si>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</si>
  <si>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</si>
  <si>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</si>
  <si>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</si>
  <si>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</si>
  <si>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</si>
  <si>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</si>
  <si>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</si>
  <si>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</si>
  <si>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</si>
  <si>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</si>
  <si>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</si>
  <si>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</si>
  <si>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</si>
  <si>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</si>
  <si>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</si>
  <si>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</si>
  <si>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</si>
  <si>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</si>
  <si>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</si>
  <si>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</si>
  <si>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</si>
  <si>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</si>
  <si>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</si>
  <si>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</si>
  <si>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</si>
  <si>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</si>
  <si>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</si>
  <si>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</si>
  <si>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</si>
  <si>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</si>
  <si>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</si>
  <si>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</si>
  <si>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</si>
  <si>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</si>
  <si>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</si>
  <si>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</si>
  <si>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</si>
  <si>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</si>
  <si>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</si>
  <si>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</si>
  <si>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</si>
  <si>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</si>
  <si>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</si>
  <si>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</si>
  <si>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</si>
  <si>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</si>
  <si>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</si>
  <si>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</si>
  <si>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</si>
  <si>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</si>
  <si>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</si>
  <si>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</si>
  <si>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</si>
  <si>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</si>
  <si>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</si>
  <si>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</si>
  <si>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</si>
  <si>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</si>
  <si>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</si>
  <si>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</si>
  <si>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</si>
  <si>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</si>
  <si>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</si>
  <si>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</si>
  <si>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</si>
  <si>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</si>
  <si>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</si>
  <si>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</si>
  <si>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</si>
  <si>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</si>
  <si>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</si>
  <si>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</si>
  <si>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</si>
  <si>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</si>
  <si>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</si>
  <si>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</si>
  <si>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</si>
  <si>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</si>
  <si>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</si>
  <si>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</si>
  <si>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</si>
  <si>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</si>
  <si>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</si>
  <si>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</si>
  <si>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</si>
  <si>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</si>
  <si>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</si>
  <si>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</si>
  <si>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</si>
  <si>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</si>
  <si>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</si>
  <si>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</si>
  <si>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</si>
  <si>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</si>
  <si>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</si>
  <si>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</si>
  <si>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</si>
  <si>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</si>
  <si>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</si>
  <si>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</si>
  <si>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</si>
  <si>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</si>
  <si>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</si>
  <si>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</si>
  <si>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</si>
  <si>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</si>
  <si>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</si>
  <si>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</si>
  <si>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</si>
  <si>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</si>
  <si>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</si>
  <si>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</si>
  <si>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</si>
  <si>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diferencia</t>
  </si>
  <si>
    <t>Total general</t>
  </si>
  <si>
    <t>Suma de Aporte al Avance del  PAA</t>
  </si>
  <si>
    <t>Suma de Ponderación</t>
  </si>
  <si>
    <t>roles Dec 648 de 2017</t>
  </si>
  <si>
    <t>Asesoría en la formulación de planes de mejoramiento internos y en la modificación de las acciones ya propuestas</t>
  </si>
  <si>
    <t>Valores</t>
  </si>
  <si>
    <t>Rótulos de fila</t>
  </si>
  <si>
    <t>Rol Control Interno</t>
  </si>
  <si>
    <t>Avance al</t>
  </si>
  <si>
    <t xml:space="preserve">Auditoría </t>
  </si>
  <si>
    <t xml:space="preserve">Enfoque hacia la Prevención </t>
  </si>
  <si>
    <t xml:space="preserve">Adicionales </t>
  </si>
  <si>
    <t>TOTAL</t>
  </si>
  <si>
    <t>Evaluación y Seguimiento
(informes de ley y PM)</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</si>
  <si>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</si>
  <si>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</si>
  <si>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</si>
  <si>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</si>
  <si>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</si>
  <si>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</si>
  <si>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</si>
  <si>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</si>
  <si>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</si>
  <si>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</si>
  <si>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</si>
  <si>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</si>
  <si>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</si>
  <si>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</si>
  <si>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</si>
  <si>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</si>
  <si>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</si>
  <si>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</si>
  <si>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Eficacia</t>
  </si>
  <si>
    <t>Etiquetas de fila</t>
  </si>
  <si>
    <t>Enero</t>
  </si>
  <si>
    <t>Febrero</t>
  </si>
  <si>
    <t>Trim</t>
  </si>
  <si>
    <t>I Trim</t>
  </si>
  <si>
    <t>II Trim</t>
  </si>
  <si>
    <t>III Trim</t>
  </si>
  <si>
    <t>IV Trim</t>
  </si>
  <si>
    <t>% Acumulado Planeado por Trimestre - para el PAG</t>
  </si>
  <si>
    <t>% Acumulado Ejecutado por Trimestre - para el PAG</t>
  </si>
  <si>
    <t>%</t>
  </si>
  <si>
    <t>Mes</t>
  </si>
  <si>
    <t>NUEVA QUE SE INCLUYE</t>
  </si>
  <si>
    <t>SE DEBE ELIMINAR</t>
  </si>
  <si>
    <t>CUMPLIDA</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</si>
  <si>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</si>
  <si>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</si>
  <si>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</si>
  <si>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</si>
  <si>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</si>
  <si>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</si>
  <si>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SE ELIMINA</t>
  </si>
  <si>
    <t>TERMINA MES</t>
  </si>
  <si>
    <t>lo que debería llevar</t>
  </si>
  <si>
    <t>julio</t>
  </si>
  <si>
    <t>agosto</t>
  </si>
  <si>
    <t>septiembre</t>
  </si>
  <si>
    <t>octubre</t>
  </si>
  <si>
    <t>noviembre</t>
  </si>
  <si>
    <t>diciembre</t>
  </si>
  <si>
    <t>junio</t>
  </si>
  <si>
    <t>prog</t>
  </si>
  <si>
    <t>Prog =</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</si>
  <si>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</si>
  <si>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</si>
  <si>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</si>
  <si>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</si>
  <si>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</si>
  <si>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</si>
  <si>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</si>
  <si>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</si>
  <si>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</si>
  <si>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</si>
  <si>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</si>
  <si>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enero</t>
  </si>
  <si>
    <t>febrero</t>
  </si>
  <si>
    <t>marzo</t>
  </si>
  <si>
    <t>abril</t>
  </si>
  <si>
    <t>mayo</t>
  </si>
  <si>
    <t>Prog acumulado</t>
  </si>
  <si>
    <t>días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</si>
  <si>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</si>
  <si>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</si>
  <si>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</si>
  <si>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Memorando 202111200000873 con el cual se hizo entrega del informe.
Informe publicado el 12Ene21 en la página web.</t>
  </si>
  <si>
    <t>Se recopiló la información, se elaboró el reporte y se remitió por correo electrónico. Se ubicó en la carpeta compartida en el servidor y se solicitó la publicación en la página web</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</si>
  <si>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</si>
  <si>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</si>
  <si>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</si>
  <si>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</si>
  <si>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</si>
  <si>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</si>
  <si>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</si>
  <si>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 revisó y ajustó el nomograma según las nuevas normas o modificatorias y se entregó cono oportunidad a la OAP</t>
  </si>
  <si>
    <t>1. Ruta seguimiento PAA 2020 con corte a 31Dic2020: \\10.216.160.201\control interno\2020\PAA
2. Matriz 208-CI-Ft-04 PAA 2020 V2.0 Seg2020 (Corte 31Dic2020) diligenciada</t>
  </si>
  <si>
    <t>Se realizó el último seguimiento del PAA del 2020 dando cumplimiento al 99,54% a sus actividades pactadas por cada uno de sus integrantes. También se solicitó su publicación en la página web</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</si>
  <si>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</si>
  <si>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</si>
  <si>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</si>
  <si>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</si>
  <si>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Informe entregado con el memorando 202111200000603 del 06Ene2021. Se encuentra en la ruta: \\10.216.160.201\control interno\2020\02.01 ACTAS COMITE C. I\08. Informe cumplimiento PT CICCI</t>
  </si>
  <si>
    <t xml:space="preserve">Con base en el plan de trabajo del comité, se elaboró y comunicó el informe de los resultados obtenidos en el seguimiento al Plan de Trabajo del Comité Institucional de Coordinación de Control Interno para la vigencia 2020. El informe está publicado en la página web
</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</si>
  <si>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</si>
  <si>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</si>
  <si>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</si>
  <si>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</si>
  <si>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</si>
  <si>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</si>
  <si>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</si>
  <si>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</si>
  <si>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Programación 2021</t>
  </si>
  <si>
    <t>Tabla para el PAG - Sumatoria del avance de las actividades que deberian estar cumplidas en cada trimestre (Avance Planificado)
Actualizar tabla dinamica - Actualizada al</t>
  </si>
  <si>
    <t>Cuenta de Actividad</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</si>
  <si>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</si>
  <si>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</si>
  <si>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</si>
  <si>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</si>
  <si>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</si>
  <si>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</si>
  <si>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</si>
  <si>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</si>
  <si>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</si>
  <si>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</si>
  <si>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</si>
  <si>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</si>
  <si>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</si>
  <si>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</si>
  <si>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</si>
  <si>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</si>
  <si>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</si>
  <si>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</si>
  <si>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</si>
  <si>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</si>
  <si>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</si>
  <si>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</si>
  <si>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</si>
  <si>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</si>
  <si>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</si>
  <si>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</si>
  <si>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</si>
  <si>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</si>
  <si>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</si>
  <si>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</si>
  <si>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</si>
  <si>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</si>
  <si>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</si>
  <si>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</si>
  <si>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</si>
  <si>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</si>
  <si>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</si>
  <si>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</si>
  <si>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</si>
  <si>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</si>
  <si>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</si>
  <si>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</si>
  <si>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Se revisó la caracterización y se modificó, se revisaron los riesgos desde el contexto y también fueron actualizados, se propusieron nuevas actividades de tratamiento de riesgos y en el PAAC</t>
  </si>
  <si>
    <t>Informe de gestión judicial entregado en la Secretaría Jurídica Distrital con radicado 202116000001371 del 07ene2021</t>
  </si>
  <si>
    <t>Se solicitó la información a la OAP, quien la entregó de manera oportuna y se elaboró el cuadro con las fechas de la oportunidad. Esta información se presentó en la evaluación del PAAC y se empleará también para la evaluación anual por dependencias</t>
  </si>
  <si>
    <t>Se remitió la información en dos correos el 07Ene2021 a los destinatarios solicitados por la SHD</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</si>
  <si>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</si>
  <si>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</si>
  <si>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</si>
  <si>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</si>
  <si>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</si>
  <si>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</si>
  <si>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</si>
  <si>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</si>
  <si>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</si>
  <si>
    <t>No se tienen en cuenta las actividades que deberían llevar algún grado de ejecución, es decir aquellas que iniciaron antes del corte, pero cuya fecha de finalización es posterior  al corte de medición</t>
  </si>
  <si>
    <t>Únicamente se tienen en cuenta las actividades que deberían haberse finalizado al corte de medición</t>
  </si>
  <si>
    <t>Correo Electrónico del 21Ene2021 de entrega del PAAC y mapa de riesgos formulado</t>
  </si>
  <si>
    <t>Se realizó el trámite de cuentas de cobro de contratistas de ACI, del 21 al 30 de diciembre de 2020, donde dicha actividad quedó cumplida en su totalidad de la siguiente manera:
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t>
  </si>
  <si>
    <t>El cuadro se encuentra en al siguiente ruta: \\10.216.160.201\control interno\2021\19.04 INF.  DE GESTIÓN\EVALUACIÓN POR DEPENDENCIAS 2020\05. Mapa de Riesgos</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</si>
  <si>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</si>
  <si>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Ruta: \\10.216.160.201\control interno\2021\02.01 ACTAS COMITE C. I\00. Plan de trabajo CICCI</t>
  </si>
  <si>
    <t>Ruta: \\10.216.160.201\control interno\2021\28.03 PAA
202111200003413 memorando del 22ene2021
Acta de aprobación del PAA</t>
  </si>
  <si>
    <t>Se elaboró el FUSS y se entregó el 21Ene2021, se realizó un ajuste en la programación el 27Ene2021, en atención al PAA aprobado el 26ene2021 por los miembros del comité CICCI. Ruta: \\10.216.160.201\control interno\2021\19.04 INF.  DE GESTIÓN\HERRAMIENTAS\FUSS- P I 7696
Los indicadores se formularon y fueron enviados por correo electrónico a la OAP el 26Ene2021, en los términos solicitados en el memorando  202111300003303 del 21Ene2021. Ruta: \\10.216.160.201\control interno\2021\19.04 INF.  DE GESTIÓN\HERRAMIENTAS\INDICADORES</t>
  </si>
  <si>
    <t>Ruta: \\10.216.160.201\control interno\2021\02.01 ACTAS COMITE C. I\01. 26Ene2021</t>
  </si>
  <si>
    <t>Ruta: \\10.216.160.201\control interno\2021\19.04 INF.  DE GESTIÓN\EVALUACIÓN POR DEPENDENCIAS 2020</t>
  </si>
  <si>
    <t>Ruta: \\10.216.160.201\control interno\2021\19.04 INF.  DE GESTIÓN\COM CONCILIACIÓN</t>
  </si>
  <si>
    <t>Ruta: \\10.216.160.201\control interno\2021\00. APOYO\03. Contratación</t>
  </si>
  <si>
    <t>Ruta: \\10.216.160.201\control interno\2021\19.01 INF.  A  ENTID. DE CONTROL Y VIG\SIVICOF\CUENTA ANUAL</t>
  </si>
  <si>
    <t>1. DP de exfuncionaria, que se le contestó el 31Dic2020, ella dio respuesta el 21ene2021 entregando documentos que están para trámite de entrega en la Subdirección Administrativa. Ruta: \\10.216.160.201\control interno\2020\00. APOYO\10. DP\73. Graciela</t>
  </si>
  <si>
    <t>Ruta: \\10.216.160.201\control interno\2021\19.01 INF.  A  ENTID. DE CONTROL Y VIG\CGR SIRECI\02. Ene</t>
  </si>
  <si>
    <t>Cantidad de informes de ley a entregar en el año</t>
  </si>
  <si>
    <t>202111200000613 del 06ene2021 Solicitud Información
202111200005403 del 29Ene2021 entrega del informe y publicación en la página web de la entidad
Ruta: \\10.216.160.201\control interno\2021\19.04 INF.  DE GESTIÓN\AUSTERIDAD\IV TRIM 2020</t>
  </si>
  <si>
    <t>Informe elaborado y entregado por el profesional el 18Ene2021.
Informe entregado al Director General con memorando 202111200005423 del 31Ene2021 y verificada su publicación en la página web de la entidad
Ruta: \\10.216.160.201\control interno\2021\19.04 INF.  DE GESTIÓN\DIRECTORES ASESORES Y JEFES\IVONNE ANDREA TORRES CRUZ</t>
  </si>
  <si>
    <t>Se planeó el seguimiento, se realizaron las visitas, se diligenció la matriz y el informe se elaboró y revisó y se entregó el 31Ene2021 con el memorando 202111200005443 del 31Ene2021</t>
  </si>
  <si>
    <t>Ruta: \\10.216.160.201\control interno\2021\28.05 PM\EXTERNO\CONTRALORÍA\01. IV SEG 2020
El informe se entregó el 31Ene2021 con el memorando 202111200005443 del 31Ene2021 y se verificó su publicación en la página web, junto con la matriz de detalle de seguimiento</t>
  </si>
  <si>
    <t>04Ene: Comité directivo
29Ene: Comité directivo donde se aprobaron los 12 planes del Dec 612</t>
  </si>
  <si>
    <t>\\10.216.160.201\control interno\2021\19.04 INF.  DE GESTIÓN\EVALUACION SCI\II sem 2020
Informe publicado en página web el 01Feb2021
Se entregó el informe con el memorando 202111200005453 el 31Ene2021</t>
  </si>
  <si>
    <t>Avance real</t>
  </si>
  <si>
    <t>CONVENCIONES</t>
  </si>
  <si>
    <t>Informes de ley que se reportan en indicador de oportunidad de entrega en informes de ley</t>
  </si>
  <si>
    <t>VERSIÓN 1 - FUSS</t>
  </si>
  <si>
    <t>VERSIÓN 2 - FUSS</t>
  </si>
  <si>
    <t>Ejecutado</t>
  </si>
  <si>
    <t>Indicador de oportunidad en la entrega de los informes de ley</t>
  </si>
  <si>
    <t>Corresponden al color verde de la celda: Roles Decreto 948 de 2017</t>
  </si>
  <si>
    <t>Revisión del tema del embargo de la UGPP - tema del comité financiero</t>
  </si>
  <si>
    <t>Apoyar la disposición final de las chaquetas de BMPT</t>
  </si>
  <si>
    <t>Atención Auditoría de Regularidad: Cód 55: EEvaluar la gestión fiscal vigencia 2020</t>
  </si>
  <si>
    <t>Soporte de Aprobación Versión 2</t>
  </si>
  <si>
    <t>ESTADO</t>
  </si>
  <si>
    <t>Se compiló la información de los 4 trimestres de 2020 y se subió al sistema sivicof.</t>
  </si>
  <si>
    <t>Ruta del FUSS: \\10.216.160.201\control interno\2021\19.04 INF.  DE GESTIÓN\HERRAMIENTAS\FUSS- P I 7696
Ruta del PAA: \\10.216.160.201\control interno\2021\28.03 PAA</t>
  </si>
  <si>
    <t>Se formuló el PAA, se aprobó el 26ene2021 por el comité CICCI y se alimenta la matriz con el seguimiento semanal para entregar a tiempo la información.
Se reprogramaron los porcentajes del FUSS y fueron entregados nuevamente con el memorando 202111200004633 del 27ene2021. Se realizó el primer seguimiento con corte al 31Ene y se envió por correo electrónico el 03Feb</t>
  </si>
  <si>
    <t>Se revisó la información y no se encontraron obras inconclusas, ni recursos del SGP, ni de regalías y tampoco hay suscrito PM con la CGN, por lo que se elaboró el reporte y se dejó programado para su envío el 02Feb2021. Se incluyó correo en la carpeta compartida.</t>
  </si>
  <si>
    <t>Cuentas radicadas en el drive de la Subdirección Financiera y en proceso de pago, siendo que al 26 de enero de 2021, ya les habían girado a 6 de los siete contratistas. El 08Feb le giraron a Carlos Andrés por inconvenientes con la planilla de pago en la que iba su giro</t>
  </si>
  <si>
    <t>Cuentas radicadas en el drive de la Subdirección Financiera y en proceso de pago, siendo que al 22Feb, ya les habían girado a los seis contratistas.</t>
  </si>
  <si>
    <t>Se realizó el trámite de cuentas de cobro de contratistas de ACI, del 01 al 18 de enero de 2021, Carlos Andrés hasta el 27Ene y Kelly hasta el 28Ene, donde dicha actividad quedó cumplida en su totalidad de la siguiente manera:
Cuentas de cobro de contratistas: Andrea Sierra, Marcela Urrea, Joan Gaitán, Carlos Vargas, Kelly Serrano y Andrés Farias del mes de enero 2021 radicadas en carpeta compartida en DRIVE establecida por la Subdirección Financiera.</t>
  </si>
  <si>
    <t>Ruta de evidencias del cargue de información de la cuenta mensual del mes de diciembre: \\10.216.160.201\control interno\2021\19.01 INF.  A  ENTID. DE CONTROL Y VIG\SIVICOF\CUENTA MENSUAL\01. DICIEMBRE 2021</t>
  </si>
  <si>
    <t>Ruta de evidencias del cargue de información de la cuenta mensual del mes de diciembre: \\10.216.160.201\control interno\2021\19.01 INF.  A  ENTID. DE CONTROL Y VIG\SIVICOF\CUENTA MENSUAL\01. ENERO</t>
  </si>
  <si>
    <t>Oficio 202111200003991 - Informe Presupuestal diciembre 2020 enviado por correo electrónico a la Personería el 15Ene</t>
  </si>
  <si>
    <t>Oficio 202111200016231 - Informe Presupuestal enero 2021 enviado por correo electrónico a la Personería el 10Feb</t>
  </si>
  <si>
    <t>Se realizó evaluación de los compromisos del 01Feb2020 al 31Ene2021 en el aplicativo destinado de la CNSC para tal fin.
Se elaboró memorando de entrega a la Subdirección Administrativa
Se realizó concertación de los compromisos del 01Feb2021 al 31Ene2022 en el aplicativo destinado de la CNSC para tal fin.
Se elaboró memorando de entrega a la Subdirección Administrativa</t>
  </si>
  <si>
    <t>Ruta: \\10.216.160.201\control interno\2021\19.04 INF.  DE GESTIÓN\FURAG</t>
  </si>
  <si>
    <t>EN EJECUCIÓN</t>
  </si>
  <si>
    <t>Ruta: \\10.216.160.201\control interno\2021\19.04 INF.  DE GESTIÓN\CONTROL INTERNO CONTABLE</t>
  </si>
  <si>
    <t>Ruta: \\10.216.160.201\control interno\2021\19.01 INF.  A  ENTID. DE CONTROL Y VIG\SIVICOF\CUENTA ANUAL\06. Control Fiscal</t>
  </si>
  <si>
    <t>El informe fue realizado en diciembre y primera semana de enero de 2021 y fue entregado al Director General y a la Subdirección Financiera, este informe contiene 1 observación (hallazgo menor que no requiere formulación de plan de mejoramiento) y 2 recomendaciones para la mejora</t>
  </si>
  <si>
    <t>Con memorando 202111200001853 del 14Ene21 se hizo entrega del informe de evaluación y la matriz con el detalle del seguimiento.
El informe y la matriz fueron publicados en la página web el 15Ene2021</t>
  </si>
  <si>
    <t>Planeación: revisión de las actividades a realizar seguimiento, revisión de los cambios aprobados, alistamiento de archivos, elaboración de cronograma de seguimiento, memorando y agendas.
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
Informe: con las evidencias, matriz diligenciada y actas de reunión se elaboró el informe con las recomendaciones para la mejora. Se entregó el informe, la matriz de seguimiento y ésta se publicó en la página web el 15Ene2021.</t>
  </si>
  <si>
    <t>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t>
  </si>
  <si>
    <t>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t>
  </si>
  <si>
    <t>la Dirección Jurídica remitió el informe para revisión y Vo.Bo., se revisó, se pidieron ajustes y aclaraciones que fueron tenidas en cuenta y se remitió el informe</t>
  </si>
  <si>
    <t>El normograma actualizado fue remitido el 08Ene2021 por correo electrónico a la OAP</t>
  </si>
  <si>
    <t>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t>
  </si>
  <si>
    <t>1. DP: La veeduría solicitó diligenciar encuesta sobre los temas a capacitar a los jefes OCI en 2021. Elizabeth e IATC diligenciaron el formulario de google con la información que dieron todos los auditores.</t>
  </si>
  <si>
    <t>Se solicitó la información a la cual dieron respuesta y el informe se elaboró y fue entregado al los destinatarios con el memorando 202111200005403 del 29Ene2021. Se verificó su publicación en la página web de la entidad</t>
  </si>
  <si>
    <t>*. Se revisó la norma, se preparó la información a solicitar, se solicitó la información (202111200002383 Solicitud Cuenta anual 2020 del 18Ene2021).
*. Se solicitó información de Hurtos y pérdidas (202111200002763 del 20Ene2021 para Administrativa) y (202111200002783 del 20Ene2021 para DGC).
*. Se solicitó información de auditorías externas o seguimientos externos 202111200002743 del 20ene2021.
*. Se solicitó Plan de Contingencia 202111200002773 del 20Ene2021.
*. Se organizó la carpeta compartida con la información que se recibió.
*. Se elaboraron los informes responsabilidad de control interno.
*. Se ajustaron los informes de Excel que así lo requirieron, se validaron en el storm user, se generó el archivo STR respectivo y se firmaron los formatos electrónicos.
*. Se subieron los informes de la cuenta anual y se generó el respectivo certificado.</t>
  </si>
  <si>
    <t>El PAA se elaboró y se envió por memorando 202111200003413 y por correo el 24ene2021 para revisión de los miembros del comité CICCI. El 26ene2021 fue aprobado por todos los miembros del comité y se solicitó su publicación en la página web el 27Ene2021</t>
  </si>
  <si>
    <t>*. Matriz de seguimiento al PM contraloría con corte al 31Dic2020 elaborada.
*. Se elaboró y ajustó el informe de Excel, se validó en el storm user, se generó el archivo STR respectivo y se firmó el formato electrónico.
*. Se subió el archivo al sivicof y se generó el certificado de recepción de información en el sistema.</t>
  </si>
  <si>
    <t>. Se solicitó información a los responsables para luego compilar las respuestas. Se solicitó información de Hurtos y pérdidas (202111200002763 del 20Ene2021 para Administrativa) y (202111200002783 del 20Ene2021 para DGC).
*. Se revisó la información, se compiló y se elaboró el informe.
*. Se subió el sistema sivicof.</t>
  </si>
  <si>
    <t>*. Se solicitó información a los responsables para luego compilar las respuestas. Se solicitó información de auditorías externas o seguimientos externos 202111200002743 del 20ene2021.
*. Se revisó la información, se compiló y se elaboró el informe.
*. Se subió el sistema sivicof.</t>
  </si>
  <si>
    <t>*. Se solicitó información a los responsables para luego compilar las respuestas. Se solicitó Plan de Contingencia 202111200002773 del 20Ene2021.
*. Se revisó la información, se compiló y se elaboró el informe.
*. Se subió el sistema sivicof.</t>
  </si>
  <si>
    <t>Se solicitó la información, se recibió, revisó y cargó al sistema sivicof. Se solicitó prórroga de un día porque la internet se fue en la entidad el último día del cargue. Se solicitó la publicación en la página web del certificado</t>
  </si>
  <si>
    <t>01. 202111200008883 Rta a rad. 202117200006473 - Concertación 2021
02. 202111200008843 Rta a rad. 202117200006473 - Evaluación 2021</t>
  </si>
  <si>
    <t>Ruta: \\10.216.160.201\control interno\2021\19.01 INF.  A  ENTID. DE CONTROL Y VIG\CGR SIRECI\03. Feb
01. 202111200008903 solicitud contratos de obra</t>
  </si>
  <si>
    <t>ATRASADA</t>
  </si>
  <si>
    <t>Ruta: \\10.216.160.201\control interno\2021\02.01 ACTAS COMITE C. I\02. 24Feb2021</t>
  </si>
  <si>
    <t>Actividades que se encuentran en el plan de sostenibilidad del MIPG</t>
  </si>
  <si>
    <t>Realizar evaluación parcial 2021 por retiro del jefe inmediato planta fija</t>
  </si>
  <si>
    <t>Realizar evaluación parcial 2021 de mitad de año planta fija</t>
  </si>
  <si>
    <t>Auditoría Proceso de Mejoramiento de Vivienda
Recursos del Convenio con la SDHT</t>
  </si>
  <si>
    <t>AUDITORÍA</t>
  </si>
  <si>
    <t>Inicio</t>
  </si>
  <si>
    <t>Fin</t>
  </si>
  <si>
    <t>Feb</t>
  </si>
  <si>
    <t>Mar</t>
  </si>
  <si>
    <t>Abr</t>
  </si>
  <si>
    <t>May</t>
  </si>
  <si>
    <t>Jun</t>
  </si>
  <si>
    <t>Jul</t>
  </si>
  <si>
    <t>Ago</t>
  </si>
  <si>
    <t>Sep</t>
  </si>
  <si>
    <t>Oct</t>
  </si>
  <si>
    <t>Nov</t>
  </si>
  <si>
    <t>Dic</t>
  </si>
  <si>
    <t>Procesos judiciales - del 01Ene2020 al 28Feb2021</t>
  </si>
  <si>
    <t>Caja menor - cierre 2020 - constitución 2021</t>
  </si>
  <si>
    <t>Auditoría de Regularidad Cód 55: gestión 2020</t>
  </si>
  <si>
    <t>Auditoría de Desempeño Cód 60: Arboleda Santa Teresita</t>
  </si>
  <si>
    <t>Plan de adecuación y sostenibilidad del MIPG</t>
  </si>
  <si>
    <t>Auditoría de Desempeño Cód 64: Convenio 044 de 2014</t>
  </si>
  <si>
    <t>*. Se planificaron y se enviaron las necesidades de contratación para control interno (202111200003803 del 25Ene2021).
*. Se solicitaron los documentos a los contratistas para poder elaborar el contrato.
*. Se solicitaron las viabilidades y CDP's (202111200004443 del 27Ene2021), donde expidieron 3 viabilidades por 5 meses (Marcela y Carlos Andrés), Joan por 3 meses.
*. Andrés le está entregando sus actividades a Joan.
*. Se elaboraron y entregaron los certificados de inclusión en expediente electrónico de los contratistas de Control Interno, correspondientes a los periodos de octubre, noviembre, diciembre de 2020 y enero de 2021 de los contratistas que finalizaron contrato en enero de 2021.
*. Andrea revisó carpetas y todas se ajustaron.
*. Estudios previos elaborados y entregados a la DGC.
*. Se solicitaron las insuficiencias de personal a la Subdir Adm.
*. Se solicitaron las viabilidades y CDP's (202111200008733 del 18Feb2021), donde expidieron 2 viabilidades por 6 meses (Andrea y Kelly).
*. Se realizaron los trámites de la contratación de las 2 profesionales restantes, cuyos contratos se sucribieron el 25Feb con acta de incio del 01Mar</t>
  </si>
  <si>
    <t>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t>
  </si>
  <si>
    <t>Auditoría a la cartera generada por el Proceso de Urbanizaciones y Titulación</t>
  </si>
  <si>
    <t>Auditoría Proceso de Gestión del Talento Humano
Cobro de las Incapacidades reportadas por los funcionarios del proceso de Urbanizaciones y Titulación</t>
  </si>
  <si>
    <t>Auditoría a los inventarios de bienes inmuebles reportados por el Proceso de Urbanizaciones y Titulación</t>
  </si>
  <si>
    <t>Auditoría a la aplicación de las políticas contables por parte de los procesos de Gestión Financiera y de Urbanizaciones y Titulación</t>
  </si>
  <si>
    <t>Auditoría a la cartera generada por el Proceso de Reasentamientos Humanos</t>
  </si>
  <si>
    <t>Auditoría Proceso de Gestión del Talento Humano
Cobro de las Incapacidades reportadas por los funcionarios del proceso de Reasentamientos Humanos</t>
  </si>
  <si>
    <t>Auditoría a los inventarios de bienes inmuebles reportados por el Proceso de Reasentamientos Humanos</t>
  </si>
  <si>
    <t>Auditoría a la aplicación de las políticas contables por parte de los procesos de Gestión Financiera y de Reasentamientos Humanos</t>
  </si>
  <si>
    <t>25Ene: Comité de conciliación ficha 260
29Ene: Comité con lineamientos sobre la estabilidad laboral reforzada de mujeres embarazadas
23Feb: Comité para presentar la mesa de trabajo del 20May con la Secretaría Jurídica Distrital
26Feb: Comité para presentar d enuevo los criterios de selección de los abogados</t>
  </si>
  <si>
    <t>28Ene: Comité de seguimiento financiero donde expusieron estados de Tesorería de dic2020; rendimientos financieros bancos; Informe de gestión del comité año 2020; Avance embargo UGPP y cronograma de reuniones CSF 2021.
18Feb: Comité de seguimiento financiero donde expusieron el caso del embargo de la UGPP, estado de tesorería y el informe de excedentes financieros</t>
  </si>
  <si>
    <t>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
Se cumplió con la misma información de la evaluación del sistema de control interno contable, informe qiue fue entregado al director general y Subdirectora Financiera el 26Feb (202111200010613)</t>
  </si>
  <si>
    <t>Ruta: \\10.216.160.201\control interno\2021\19.04 INF.  DE GESTIÓN\MNC\4to Trim 2020
Ruta: \\10.216.160.201\control interno\2021\19.04 INF.  DE GESTIÓN\CONTROL INTERNO CONTABLE\05. Informes</t>
  </si>
  <si>
    <t>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t>
  </si>
  <si>
    <t>VERSIÓN 2 - FUSS REPORGRAMACIÓN POR MODIFICACIÓN PAA V2 DEL 24FEB2021</t>
  </si>
  <si>
    <t>(Varios elementos)</t>
  </si>
  <si>
    <t>formulado</t>
  </si>
  <si>
    <t>Avance</t>
  </si>
  <si>
    <t>Dato fijo de cada mes</t>
  </si>
  <si>
    <t>Servicio al ciudadano - atención de PQRS 01jul2002 al 30jun2021</t>
  </si>
  <si>
    <t>Ene</t>
  </si>
  <si>
    <t>12-Ene
01-Jul</t>
  </si>
  <si>
    <t>12-Mar
28-Jul</t>
  </si>
  <si>
    <t>Gestión del Talento Humano - cobro incapacidades</t>
  </si>
  <si>
    <t>03-May
01-Oct</t>
  </si>
  <si>
    <t>30-Jun
16-Nov</t>
  </si>
  <si>
    <t>09-Abr
10-Jun</t>
  </si>
  <si>
    <t>20-Abr
30-Sep</t>
  </si>
  <si>
    <t>26-Mar
03-May</t>
  </si>
  <si>
    <t>08-Abr
30-Jun</t>
  </si>
  <si>
    <t>21-Abr
19-Jul</t>
  </si>
  <si>
    <t>30-Abr
16-Nov</t>
  </si>
  <si>
    <t>Verificar el cierre de 2020 de la caja menor de la Caja de la Vivienda Popular, en lo relacionado con la delegación de gastos y el manejo de los mismos.</t>
  </si>
  <si>
    <t>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t>
  </si>
  <si>
    <t>Se modifica la programación por la V2 del PAA del 10Mar</t>
  </si>
  <si>
    <t xml:space="preserve">Se solicitó la información, la cual fue entregada con oportunidad. La contratista quedó sin contrato, por lo que la elaboración del informe se reanudó el 10Feb, actualmente el informe está en elaboración.
Se elaboró informe de seg. a las PQRSD atendiendo el art. 76 de la Ley 1474 y art. 3 del Decreto 371 de 2010; de la misma manera, el informe incluyó los RESULTADOS DE LA AUDITORÍA ESP. A LA PREST DEL SERV AL CIUD EN EL MARCO DE LA SITUAC DE CALAMIDAD PÚBLICA EN BTÁ, D.C. ORDENADA EN  DEC 087 2020 DE LA ALCALDÍA MYR BtÁ PARA EL PERÍODO COMPRENDIDO ENTRE EL 17 DE MAR Y 31 DE AGOST DE 2020.
El informe fue remitido a los lideres de los procesos con memorando 202111200018773 del 23Mar2021 y publicado en la página web de la Entidad. </t>
  </si>
  <si>
    <t xml:space="preserve">Durante el marzo no se presentaron acrtividades relacionadas con esta actividad. </t>
  </si>
  <si>
    <t xml:space="preserve">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Consecutivamente se está realizando el trabajo de campo y las conclusiones de auditoría, que consiste en la verificación de los cinco (05) expedientes seleccionados en la muestra, las pqrsd de enero y febrero y lo relacionado con la racionalización de trámites. </t>
  </si>
  <si>
    <t xml:space="preserve">Esta actividad no se desarrollo durante el mes de marzo </t>
  </si>
  <si>
    <t xml:space="preserve">Esta actividad no fue desarrollada durante el mes de marzo </t>
  </si>
  <si>
    <t>18Ene: Instancia técnica de bienes inmuebles
28Ene: Comité de seguimiento financiero donde expusieron estados de Tesorería de dic2020; rendimientos financieros bancos; Informe de gestión del comité año 2020; Avance embargo UGPP y cronograma de reuniones CSF 2021.
04Feb: Mesa de trabajo para la gestión de bienes muebles. Temas: Socialización marco normativo de operación de la instancia de apoyo técnico y Presentación del informe de indicios de deterioro de bienes muebles
18Feb: Comité de seguimiento financiero donde expusieron el caso del embargo de la UGPP, estado de tesorería y el informe de excedentes financieros
26Feb: Comité Distrital de Auditoría - CDA : Revisión, priorización y definición de temas a abordar en los CDA durante la vigencia 2021
18Mar: Comité de seguimiento financiero donde se realizó seg a los compromisos adquiridos, se presentó el estado de tesorería de feb e  Info sobre rend finan (comport Tasas de int).</t>
  </si>
  <si>
    <t>Ruta: https://drive.google.com/drive/u/1/folders/0AK5YY03jEsvoUk9PVA</t>
  </si>
  <si>
    <t>Se tramitsron las cuentas de tres de los contratistas de la Asesorìa de Control Interno relacionado con el mes de febrero. Se realizaron los SISCOS de cada uno de los contratistas y se radicaron en la carpeta compartida de la Subdirecciòn Financiera.</t>
  </si>
  <si>
    <t>Se asistió a la charla del 08Feb, se verificó la circular que modifica las fechas, se recibió nueva notificación de sesión de preguntas, se solicitó el usuario, ya que el actual no se sabe si funciona.
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t>
  </si>
  <si>
    <t>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t>
  </si>
  <si>
    <t>Oficio 202111200027481- Informe Presupuestal febrero 2021 enviado por correo electrónico a la Personería el 09Marzo2021</t>
  </si>
  <si>
    <t>\\10.216.160.201\control interno\2021\19.04 INF.  DE GESTIÓN\DNDA</t>
  </si>
  <si>
    <t>Ruta: \\10.216.160.201\control interno\2021\28.05 PM\INTERNO\02. I_Seg_2021 corte 28 feb\3. Informe
El informe se entregó el 26mar2021 con el memorando 202111200019723 del 26mar2021 y se verificó su publicación en la página web, junto con la matriz de detalle de seguimiento</t>
  </si>
  <si>
    <t>Se inició la auditoría, se realizaron pruebas sustantivas en sitio, como se observa en el acta, se inició con la consolidación del informe Preliminar, se aplazó debido a la elaboración de otros informes, el plazo quedó ajustado para entrega del informe final el 13abr2021</t>
  </si>
  <si>
    <t>Ruta: \\10.216.160.201\control interno\2021\19.03 INF. AUDITORIAS C. I\INTERNAS\01. DUT\01. Controles riesgos\3. Resultados</t>
  </si>
  <si>
    <r>
      <rPr>
        <b/>
        <i/>
        <sz val="9"/>
        <color theme="1"/>
        <rFont val="Arial"/>
        <family val="2"/>
      </rPr>
      <t>Al 31Ene2021:</t>
    </r>
    <r>
      <rPr>
        <sz val="9"/>
        <color theme="1"/>
        <rFont val="Arial"/>
        <family val="2"/>
      </rPr>
      <t xml:space="preserve"> 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
</t>
    </r>
    <r>
      <rPr>
        <b/>
        <i/>
        <sz val="9"/>
        <color theme="1"/>
        <rFont val="Arial"/>
        <family val="2"/>
      </rPr>
      <t>Al 28Feb2021:</t>
    </r>
    <r>
      <rPr>
        <sz val="9"/>
        <color theme="1"/>
        <rFont val="Arial"/>
        <family val="2"/>
      </rPr>
      <t xml:space="preserve"> Falta que la OAP haga entrega de los reportes de segplan del anterior PDD y que la contratista sea vinculada de nuevo a la entidad, la cual inició actividades el 01Mar2021.
</t>
    </r>
    <r>
      <rPr>
        <b/>
        <i/>
        <sz val="9"/>
        <color theme="1"/>
        <rFont val="Arial"/>
        <family val="2"/>
      </rPr>
      <t>Al 31Mar2021:</t>
    </r>
    <r>
      <rPr>
        <sz val="9"/>
        <color theme="1"/>
        <rFont val="Arial"/>
        <family val="2"/>
      </rPr>
      <t>, se imprimió y analizó la información entregada por las diferentes dependencias. Se realizó el seguimiento al PM por procesos y fue entregado con memorando el 29Mar2021, lo cual permitió incluir la nformación en la evaluación de dependencias. Se terminó el ejercicio de evaluación de cada uno de los procesos, dejando listas las correspondientes evaluaciones y los memorandos a remitir a cada una de las dependencias, a la Subdirección Administrativa y a la Dirección General.</t>
    </r>
  </si>
  <si>
    <t>VENCIDA</t>
  </si>
  <si>
    <t xml:space="preserve">Ruta: \\10.216.160.201\control interno\2021\19.04 INF.  DE GESTIÓN\PQRDS\01. II Sem 2020
Ruta: \\10.216.160.201\control interno\2021\19.04 INF.  DE GESTIÓN\PQRDS\01. II Sem 2020\03. Inf. y memorando rem y publicado en:
https://www.cajaviviendapopular.gov.co/sites/default/files/Informe%20PQRSD%202do%20semestre%202020_0.pdf
El informe fue remitido a los lÍderes de los procesos con memorando 202111200018773 del 23Mar2021 y publicado en la página web de la Entidad. </t>
  </si>
  <si>
    <t>Se revisó el botón de transparencia número 7 y se planificó la revisión correspondiente.</t>
  </si>
  <si>
    <t>Mediante memorando de radicado 202111200011463 de fecha 02 de marzo de 2021, se solicitó a la Direccion General (teniendo en cuenta que no hay jefe TIC) la información que servirá de insumo para la presentación del informe de la DNDA.
* con Memorando de radicado N° 202111600015753 de fecha 12 de marzo de 2021, el jefe Encargado de la oficina TIC remitió la información requerida para el informe DNDA
* El día 15 de marzo de 2021 se cargó en la página de la Dirección Nacional de Derechos de Autor, el informe de conformidad con lo establecido en la circular 017 de 2011,</t>
  </si>
  <si>
    <t>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
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está y sus anexos están en proceso de publicación en la carpeta compartida de calidad</t>
  </si>
  <si>
    <t>Ruta de evidencias del cargue de información de la cuenta mensual del mes de febrero: \\10.216.160.201\control interno\2021\19.01 INF.  A  ENTID. DE CONTROL Y VIG\SIVICOF\CUENTA MENSUAL\01. febrero</t>
  </si>
  <si>
    <t>Se solicitó la información, se recibió, revisó y cargó al sistema sivicof. Se solicitó la publicación en la página web del certificado</t>
  </si>
  <si>
    <t>Ruta: \\10.216.160.201\control interno\2021\28.05 PM\EXTERNO\CONTRALORÍA\Modificación</t>
  </si>
  <si>
    <t>1. Con memo 202116000007863 del 15Feb2021 se realizó solicitud de modificación de acción de la Dir. Jurídica, la cual se tramitó y subió al sivicof el 19Feb2021.
2. Con memo 202112000010013 del 24Feb2021 se realizó solicitud de modificación de 2 acciones de la Dirección de Reasentamientos cód Aud 56 y 70, la cual se tramitó y subió al sivicof el 05Mar2021.
3. Con memo 202112000016473 del 15Mar2021 se realizó solicitud de modificación de 2 acciones de la Dirección de Reasentamientos, la cual se tramitó y subió al sivicof el 19Mar2021.
Todas las evidencias se encuentran en la carpeta compartida en el servidor.</t>
  </si>
  <si>
    <t>l. informe se realizó solicitando información, consolidación y seguimiento del mismo a dos cortes 31/12/2020 y 28/02/2021. 
• Para Corte 31/12/2020, se contaba en el plan de mejoramiento con 172  cciones, de las cuales  136 quedaron cerradas (79%), 10 quedaron en ejecución oportuna (6%), 24 quedaron en  ejecución vencida (14%) y 2 sin  eguimiento (1%). Con una eficacia de ejecución del 85,44%.
• Para Corte 28/02/2021, se contaba en el plan de mejoramiento con 172 acciones, de las cuales  144 quedaron cerradas (84%), 9 quedaron en ejecución oportuna (5%) y 19  uedaron en  ejecución vencida (11%). Con una eficacia de ejecución del 88.27%.
• Se solicitó la publicación en la páguna web y en la carpeta compartida.</t>
  </si>
  <si>
    <t>Ruta: \\10.216.160.201\control interno\2021\00. APOYO\01. Corr. Interna\202111200012533 Solic.inf. - UPGG</t>
  </si>
  <si>
    <t xml:space="preserve">Se realizó solicitud de información a la Subdirección Administrativa y Dirección Jurídica con mem 202111200012533 del 05Mar2021.
Se recibió respuesta de la Dirección Jurídica - memorando 202116000018193 del 19Mar2021 y de la Subdirección Administrativa con memorando 202117200019183 del 24 de marzo de 2021. 
Pendiente realizar el analisis de la información. </t>
  </si>
  <si>
    <t>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9. Sol 202117000031722 del 16Mar Traslado por  compet.  solicitud  No. 1-2021-06460  DPC-529-21. Se trasladó por orfeo a CID</t>
  </si>
  <si>
    <t>1. DP: traslado de la Contraloría Dir sectorial Gob sobre líneas de crédito. Se solicitó información a Reas, Vivienda, Financiera y OAP para dar rta el 03Feb2021. 202111200005383 lineas de crédito. Rta Oficio 202111200016191 del 10Feb
2. DP: Solicitud urgencia manifiesta 202117000007502 del 21Ene. Rta 202111200008751 del 25Ene
3. DP: Solicitud urgencia manifiesta 202117000001762 del 07Ene. Rta 202111200002291 del 12Ene
4. DP: Solicitud urgencia manifiesta 202117000003862 del 14Ene. Rta 202111200004361 del 14Ene
5. DP: Solicitud urgencia manifiesta 202117000018762 del 18Feb. Rta 202111200020651 del 19Feb
6. DP: Solicitud urgencia manifiesta 202117000021492 del 15Feb. Rta 202111200023071 del 25Feb
7. DP: 202117000019902 fecha entrega Arbolea Santa Teresita del 22Feb - no se ha contestado
8. DP: Solicitud urgencia manifiesta 202117000026072 del 05Mar. Rta 202111200026231 del 08Mar
9. DP: Solicitud urgencia manifiesta 202117000032542 del 15Mar. Rta 202111200033351 del 18Mar
10. DP: Sol info por correo electrónico sobre el cto 459-2014 San Martín de Loba, La Contraloría hace otra solicitud con oficio  202117000029772 del 12Mar. Se solicita prórroga 202111200029991 y se da Rta con oficio 202115000032861 del 17Mar.
11. Sol por correo electrónico del 10Mar HV ctos Arboleda. COn Rta de mismo modo el 17Mar
12. Sol 202117000034112 del 23Mar preguntas sobre Arboleda. Se solicitó prórroga 202111200034911. Se dio Rta Oficio 202111200038151 del 29Mar
13. Sol por correo electrónico del 25Mar cuadro para la AGR enviado por la contraloría. Se dio Rta del mismo modo el 25Mar</t>
  </si>
  <si>
    <t>10. DP: Sol info por correo electrónico sobre el cto 459-2014 San Martín de Loba, La Contraloría hace otra solicitud con oficio  202117000029772 del 12Mar. Se solicita prórroga 202111200029991 y se da Rta con oficio 202115000032861 del 17Mar.</t>
  </si>
  <si>
    <t>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t>
  </si>
  <si>
    <t>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t>
  </si>
  <si>
    <t>Ruta de calidad: \\10.216.160.201\control interno\2021\19.03 INF. AUDITORIAS C. I\INTERNAS\01. DUT\03. Dto 371 Art.3 y Proced\2. Ejecución
De acuerdo con el Plan de Auditoria se encuentra en ejecución la etapa de trabajo de campo y conclusiones de auditoría programadas para entre el 18 y 31 de marzo de 2021.
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t>
  </si>
  <si>
    <t xml:space="preserve">Toda la información de la auditoría se encuentra en la ruta: \\10.216.160.201\control interno\2021\19.03 INF. AUDITORIAS C. I\INTERNAS\02. CAJA MENOR cierre 2020
1. PAA con programación de la auditoría
2. Correo de designación de auditor del 10Mar
3. Acta de reunión de designación de auditores
4. Plan de auditoría elaborado, revisado y aprobado
5. 202111200017253 del 17Mar comunicación de reunión de apertura
6. Carta de representación de Administrativa
7. FALTA acta de reunión de apertura firmada en original, ya qure fue enviada por correo electrónico el 19Mar
8. 202111200017313 Solicitud info cierre de caja menor vigencia 2020
9. Rta a sol de info por correo electrónico del 24Mar
</t>
  </si>
  <si>
    <t xml:space="preserve">Toda la información de la auditoría se encuentra en la ruta: \\10.216.160.201\control interno\2021\19.03 INF. AUDITORIAS C. I\INTERNAS\02. CAJA MENOR cierre 2020
1. PAA con programación de la auditoría
2. Correo de designación de auditor del 10Mar
3. Acta de reunión de designación de auditores
4. Plan de auditoría elaborado, revisado y aprobado
5. 202111200017253 del 17Mar comunicación de reunión de apertura
6. Carta de representación de Administrativa
7. FALTA acta de reunión de apertura firmada en original, ya qure fue enviada por correo electrónico el 19Mar
8. 202111200017313 Solicitud info cierre de caja menor vigencia 2020
9. Rta a sol de info por correo electrónico del 24Mar
Está en en análisis de la información
</t>
  </si>
  <si>
    <t>NO HA INICIADO - ESTÁ SÚPER ATRASADA</t>
  </si>
  <si>
    <t>Toda la información de la auditoría se encuentra en la ruta: \\10.216.160.201\control interno\2021\19.03 INF. AUDITORIAS C. I\INTERNAS\03. SIPROJ
1. PAA con programación de la auditoría
2. Correo de designación de auditor del 10Mar. FALTA
3. Acta de reunión de designación de auditores
4. Plan de auditoría elaborado, revisado y aprobado, FALTA APROBAR
5. Comunicación de reunión de apertura, FALTA APROBAR
6. Carta de representación de Administrativa, FALTA APROBAR
7. FALTA acta de reunión de apertura</t>
  </si>
  <si>
    <t>Ruta de la información: \\10.216.160.201\control interno\2021\28.03 PAA
Se solicitó por correo el diligenciamiento del archivo del PAA</t>
  </si>
  <si>
    <t>Actividad en desarrollo</t>
  </si>
  <si>
    <t>Ruta interna: \\10.216.160.201\control interno\2021\19.04 INF.  DE GESTIÓN\RENDICIÓN DE CUENTAS</t>
  </si>
  <si>
    <t>Se han venido realizando actividades de revisión de la página web y de la información publicada por la OAP disponible para las partes interesadas. La audiencia de rendición de cuentas se llevó a cabo el 26Mar y el informe se elaborará a partir del 15Abr</t>
  </si>
  <si>
    <t>Ruta: \\10.216.160.201\control interno\2021\02.01 ACTAS COMITE C. I\03. 08Abr2021
Correo de convocatoria
2021112000200 Sol de info de ejecución pptal
Evidencias de cumplimiento de compromisos
Presentación para el comité</t>
  </si>
  <si>
    <t>Se convocó al tercera sesión ordinaria el 17Mar para el 25Mar. Fecha que fue reprogramada por el Director General para el 07Abr y de nuevo el 05Abr reprogramó para el 08Abr, por loq ue se espera tener el acta firmada el 23Abr.</t>
  </si>
  <si>
    <t>(en blanco)</t>
  </si>
  <si>
    <t>Ruta: \\10.216.160.201\control interno\2021\19.03 INF. AUDITORIAS C. I\EXTERNAS\01. REG. PAD 2021 - CÓD 55
1. 202111200005433 Memo com DG auditorias 2021 del 31Ene
2. Correo solicitud contraloría plan de acción de auditoría del 19Feb
3. 202117000036272 Present. Equipo Auditor, PVCF-B 2021 - Código N° 55 del 26Mar
4. 202117000036282 solicitud de info auditoría No. 1 del 26Mar. Se realizó reviisón y correo de reparto</t>
  </si>
  <si>
    <t>Del total de actividades del PAA al 31Mar2021 (204), deberían estar cumplidas 55</t>
  </si>
  <si>
    <t>Están finalizadas 50 de las 55 actividades; están vencidas 5</t>
  </si>
  <si>
    <t>Las 55 acciones cuando estén cumplidas, deberán sumar el 30,775% del total del plan = 100% (en valor absoluto)</t>
  </si>
  <si>
    <t>Las 50 actividades cumplidas suman = 27,65%</t>
  </si>
  <si>
    <t>Las 5 actividades vencidas tienen un avance del 2,14%, siendo que debería ser del 3,125%</t>
  </si>
  <si>
    <r>
      <t xml:space="preserve">El avance total de las 55 actividades es de </t>
    </r>
    <r>
      <rPr>
        <sz val="11"/>
        <color theme="9"/>
        <rFont val="Arial"/>
        <family val="2"/>
      </rPr>
      <t>27,65%</t>
    </r>
    <r>
      <rPr>
        <sz val="11"/>
        <color theme="1"/>
        <rFont val="Arial"/>
        <family val="2"/>
      </rPr>
      <t xml:space="preserve"> +</t>
    </r>
    <r>
      <rPr>
        <sz val="11"/>
        <color theme="6" tint="-0.249977111117893"/>
        <rFont val="Arial"/>
        <family val="2"/>
      </rPr>
      <t xml:space="preserve"> 2,14%</t>
    </r>
    <r>
      <rPr>
        <sz val="11"/>
        <color theme="1"/>
        <rFont val="Arial"/>
        <family val="2"/>
      </rPr>
      <t xml:space="preserve"> = 29,79% </t>
    </r>
  </si>
  <si>
    <t>Existen otras 30 actividades que se iniciaron entre enero, febrero y marzo, pero su fecha de finalización es posterior al 31Mar2021, siendo que de estas 30, no se ha finalizado ninguna.</t>
  </si>
  <si>
    <t>El avance que deberían llevar esas 30 actividades que están en ejecución, corresponde al tiempo transcurrido desde la fecha de inicio de cada una, hasta el 31Mar2021, posteriormente ese tiempo se divide entre el tiempo total de cada actividad. Después, ese porcentaje se multiplicó por el valor de la actividad ponderada. Este valor correspondió al 2,78% del total del PAA (Es el total de lo que debería llevar a la fecha - columna AH) + el % que debería llevar la actividad que ya finalizó (en este periodo ninguna).</t>
  </si>
  <si>
    <t>El avance de estas 30 actividades al 31Mar2021 fue del 2,78% (Aporte al avance del PAA, total de la columna AB)</t>
  </si>
  <si>
    <r>
      <t>Así las cosas, el avance total del PAA al 31Mar2021 debería ser del</t>
    </r>
    <r>
      <rPr>
        <sz val="11"/>
        <color rgb="FF00B050"/>
        <rFont val="Arial"/>
        <family val="2"/>
      </rPr>
      <t xml:space="preserve"> 30,775% </t>
    </r>
    <r>
      <rPr>
        <sz val="11"/>
        <color theme="1"/>
        <rFont val="Arial"/>
        <family val="2"/>
      </rPr>
      <t>+</t>
    </r>
    <r>
      <rPr>
        <sz val="11"/>
        <color rgb="FF0070C0"/>
        <rFont val="Arial"/>
        <family val="2"/>
      </rPr>
      <t xml:space="preserve"> 2,78%</t>
    </r>
    <r>
      <rPr>
        <sz val="11"/>
        <color theme="1"/>
        <rFont val="Arial"/>
        <family val="2"/>
      </rPr>
      <t xml:space="preserve"> = 33,555</t>
    </r>
    <r>
      <rPr>
        <sz val="11"/>
        <rFont val="Arial"/>
        <family val="2"/>
      </rPr>
      <t>%</t>
    </r>
  </si>
  <si>
    <r>
      <t>El avance Real total del PAA al 31Mar2021 es del</t>
    </r>
    <r>
      <rPr>
        <sz val="11"/>
        <color theme="9"/>
        <rFont val="Arial"/>
        <family val="2"/>
      </rPr>
      <t xml:space="preserve"> 27,65% </t>
    </r>
    <r>
      <rPr>
        <sz val="11"/>
        <color theme="1"/>
        <rFont val="Arial"/>
        <family val="2"/>
      </rPr>
      <t>+</t>
    </r>
    <r>
      <rPr>
        <sz val="11"/>
        <color theme="6" tint="-0.249977111117893"/>
        <rFont val="Arial"/>
        <family val="2"/>
      </rPr>
      <t xml:space="preserve"> 2,14%</t>
    </r>
    <r>
      <rPr>
        <sz val="11"/>
        <color theme="1"/>
        <rFont val="Arial"/>
        <family val="2"/>
      </rPr>
      <t xml:space="preserve"> </t>
    </r>
    <r>
      <rPr>
        <sz val="11"/>
        <rFont val="Arial"/>
        <family val="2"/>
      </rPr>
      <t>+</t>
    </r>
    <r>
      <rPr>
        <sz val="11"/>
        <color rgb="FFFF0000"/>
        <rFont val="Arial"/>
        <family val="2"/>
      </rPr>
      <t xml:space="preserve"> 2,78% </t>
    </r>
    <r>
      <rPr>
        <sz val="11"/>
        <color theme="1"/>
        <rFont val="Arial"/>
        <family val="2"/>
      </rPr>
      <t>= 32,575%</t>
    </r>
  </si>
  <si>
    <t>debería llevar</t>
  </si>
  <si>
    <r>
      <t>La eficacia del PAA es del (Avance Real)</t>
    </r>
    <r>
      <rPr>
        <b/>
        <sz val="11"/>
        <color theme="1"/>
        <rFont val="Arial"/>
        <family val="2"/>
      </rPr>
      <t xml:space="preserve"> 32,575%</t>
    </r>
    <r>
      <rPr>
        <sz val="11"/>
        <color theme="1"/>
        <rFont val="Arial"/>
        <family val="2"/>
      </rPr>
      <t xml:space="preserve"> / (lo que debería llevar)</t>
    </r>
    <r>
      <rPr>
        <b/>
        <sz val="11"/>
        <color theme="1"/>
        <rFont val="Arial"/>
        <family val="2"/>
      </rPr>
      <t xml:space="preserve"> 33,555%</t>
    </r>
    <r>
      <rPr>
        <sz val="11"/>
        <color theme="1"/>
        <rFont val="Arial"/>
        <family val="2"/>
      </rPr>
      <t xml:space="preserve"> =</t>
    </r>
    <r>
      <rPr>
        <b/>
        <sz val="11"/>
        <color theme="1"/>
        <rFont val="Arial"/>
        <family val="2"/>
      </rPr>
      <t xml:space="preserve"> 97,04%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</si>
</sst>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dd\-mmm\-yyyy"/>
    <numFmt numFmtId="170" formatCode="dd\-mmm"/>
    <numFmt numFmtId="171" formatCode="0.000%"/>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sz val="11"/>
      <color theme="9"/>
      <name val="Arial"/>
      <family val="2"/>
    </font>
    <font>
      <sz val="11"/>
      <color rgb="FF7030A0"/>
      <name val="Arial"/>
      <family val="2"/>
    </font>
    <font>
      <sz val="11"/>
      <color theme="6" tint="-0.499984740745262"/>
      <name val="Arial"/>
      <family val="2"/>
    </font>
    <font>
      <sz val="11"/>
      <color rgb="FFFF0000"/>
      <name val="Calibri"/>
      <family val="2"/>
      <scheme val="minor"/>
    </font>
    <font>
      <sz val="8"/>
      <name val="Calibri"/>
      <family val="2"/>
      <scheme val="minor"/>
    </font>
    <font>
      <sz val="9"/>
      <color theme="1"/>
      <name val="Arial Narrow"/>
      <family val="2"/>
    </font>
    <font>
      <sz val="11"/>
      <color theme="6" tint="-0.249977111117893"/>
      <name val="Arial"/>
      <family val="2"/>
    </font>
    <font>
      <sz val="11"/>
      <color rgb="FF0070C0"/>
      <name val="Arial"/>
      <family val="2"/>
    </font>
    <font>
      <b/>
      <sz val="9"/>
      <color indexed="81"/>
      <name val="Tahoma"/>
      <family val="2"/>
    </font>
    <font>
      <b/>
      <sz val="9"/>
      <color indexed="81"/>
      <name val="Tahoma"/>
      <charset val="1"/>
    </font>
    <font>
      <sz val="9"/>
      <color indexed="81"/>
      <name val="Tahoma"/>
      <family val="2"/>
    </font>
    <font>
      <sz val="9"/>
      <color indexed="81"/>
      <name val="Tahoma"/>
      <charset val="1"/>
    </font>
    <font>
      <b/>
      <sz val="9"/>
      <color rgb="FFFFFF00"/>
      <name val="Arial"/>
      <family val="2"/>
    </font>
    <font>
      <b/>
      <sz val="10"/>
      <color rgb="FF000000"/>
      <name val="Arial"/>
      <family val="2"/>
    </font>
    <font>
      <b/>
      <sz val="9"/>
      <color rgb="FF000000"/>
      <name val="Tahoma"/>
      <charset val="1"/>
    </font>
    <font>
      <sz val="9"/>
      <color rgb="FF000000"/>
      <name val="Tahoma"/>
      <family val="2"/>
    </font>
    <font>
      <b/>
      <sz val="9"/>
      <color rgb="FF000000"/>
      <name val="Tahoma"/>
      <family val="2"/>
    </font>
    <font>
      <b/>
      <i/>
      <sz val="9"/>
      <color theme="1"/>
      <name val="Arial"/>
      <family val="2"/>
    </font>
    <font>
      <b/>
      <sz val="9"/>
      <color theme="0"/>
      <name val="Arial"/>
      <family val="2"/>
    </font>
  </fonts>
  <fills count="43">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47CFFF"/>
        <bgColor indexed="64"/>
      </patternFill>
    </fill>
    <fill>
      <patternFill patternType="solid">
        <fgColor rgb="FFB7EC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rgb="FFCCFFCC"/>
        <bgColor indexed="64"/>
      </patternFill>
    </fill>
    <fill>
      <patternFill patternType="solid">
        <fgColor rgb="FF92D050"/>
        <bgColor indexed="64"/>
      </patternFill>
    </fill>
    <fill>
      <patternFill patternType="solid">
        <fgColor theme="9" tint="-0.249977111117893"/>
        <bgColor indexed="64"/>
      </patternFill>
    </fill>
    <fill>
      <patternFill patternType="solid">
        <fgColor theme="6" tint="0.59999389629810485"/>
        <bgColor rgb="FFD9D9D9"/>
      </patternFill>
    </fill>
    <fill>
      <patternFill patternType="solid">
        <fgColor theme="6" tint="0.59999389629810485"/>
        <bgColor indexed="64"/>
      </patternFill>
    </fill>
    <fill>
      <patternFill patternType="solid">
        <fgColor rgb="FF7030A0"/>
        <bgColor indexed="64"/>
      </patternFill>
    </fill>
    <fill>
      <patternFill patternType="solid">
        <fgColor theme="6" tint="0.79998168889431442"/>
        <bgColor indexed="64"/>
      </patternFill>
    </fill>
    <fill>
      <patternFill patternType="solid">
        <fgColor rgb="FFFF9999"/>
        <bgColor indexed="64"/>
      </patternFill>
    </fill>
    <fill>
      <patternFill patternType="solid">
        <fgColor rgb="FFFFCC99"/>
        <bgColor indexed="64"/>
      </patternFill>
    </fill>
    <fill>
      <patternFill patternType="solid">
        <fgColor rgb="FFCCFF99"/>
        <bgColor indexed="64"/>
      </patternFill>
    </fill>
    <fill>
      <patternFill patternType="solid">
        <fgColor rgb="FF99FFCC"/>
        <bgColor indexed="64"/>
      </patternFill>
    </fill>
    <fill>
      <patternFill patternType="solid">
        <fgColor rgb="FF66FFFF"/>
        <bgColor indexed="64"/>
      </patternFill>
    </fill>
    <fill>
      <patternFill patternType="solid">
        <fgColor rgb="FF66CCFF"/>
        <bgColor indexed="64"/>
      </patternFill>
    </fill>
    <fill>
      <patternFill patternType="solid">
        <fgColor rgb="FFCCCCFF"/>
        <bgColor indexed="64"/>
      </patternFill>
    </fill>
    <fill>
      <patternFill patternType="solid">
        <fgColor rgb="FF99FF99"/>
        <bgColor indexed="64"/>
      </patternFill>
    </fill>
    <fill>
      <patternFill patternType="solid">
        <fgColor rgb="FF99CCFF"/>
        <bgColor indexed="64"/>
      </patternFill>
    </fill>
    <fill>
      <patternFill patternType="solid">
        <fgColor rgb="FFFF99FF"/>
        <bgColor indexed="64"/>
      </patternFill>
    </fill>
    <fill>
      <patternFill patternType="solid">
        <fgColor rgb="FFFF00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
      <left style="dotted">
        <color rgb="FFFFFFFF"/>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style="hair">
        <color auto="1"/>
      </top>
      <bottom style="hair">
        <color auto="1"/>
      </bottom>
      <diagonal/>
    </border>
  </borders>
  <cellStyleXfs count="84">
    <xf numFmtId="0" fontId="0" fillId="0" borderId="0"/>
    <xf numFmtId="9" fontId="8" fillId="0" borderId="0" applyFont="0" applyFill="0" applyBorder="0" applyAlignment="0" applyProtection="0"/>
    <xf numFmtId="0" fontId="10" fillId="0" borderId="0"/>
    <xf numFmtId="9" fontId="10" fillId="0" borderId="0" applyFont="0" applyFill="0" applyBorder="0" applyAlignment="0" applyProtection="0"/>
    <xf numFmtId="0" fontId="13" fillId="0" borderId="0"/>
    <xf numFmtId="165"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0" fontId="8" fillId="0" borderId="0"/>
    <xf numFmtId="0" fontId="14" fillId="0" borderId="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4" fillId="0" borderId="0"/>
    <xf numFmtId="0" fontId="8" fillId="0" borderId="0"/>
    <xf numFmtId="0" fontId="14" fillId="0" borderId="0"/>
    <xf numFmtId="0" fontId="8" fillId="0" borderId="0"/>
    <xf numFmtId="0" fontId="8"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8" fillId="0" borderId="0"/>
    <xf numFmtId="0" fontId="8" fillId="0" borderId="0"/>
    <xf numFmtId="164" fontId="8" fillId="0" borderId="0" applyFont="0" applyFill="0" applyBorder="0" applyAlignment="0" applyProtection="0"/>
    <xf numFmtId="0" fontId="8" fillId="0" borderId="0"/>
    <xf numFmtId="0" fontId="14" fillId="0" borderId="0"/>
    <xf numFmtId="0" fontId="8" fillId="0" borderId="0"/>
    <xf numFmtId="165" fontId="14" fillId="0" borderId="0" applyFont="0" applyFill="0" applyBorder="0" applyAlignment="0" applyProtection="0"/>
    <xf numFmtId="164" fontId="14" fillId="0" borderId="0" applyFont="0" applyFill="0" applyBorder="0" applyAlignment="0" applyProtection="0"/>
    <xf numFmtId="166"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 fillId="0" borderId="0"/>
    <xf numFmtId="0" fontId="8" fillId="0" borderId="0"/>
    <xf numFmtId="0" fontId="8" fillId="0" borderId="0"/>
    <xf numFmtId="0" fontId="14" fillId="0" borderId="0"/>
    <xf numFmtId="0" fontId="8" fillId="0" borderId="0"/>
    <xf numFmtId="9" fontId="14" fillId="0" borderId="0" applyFont="0" applyFill="0" applyBorder="0" applyAlignment="0" applyProtection="0"/>
    <xf numFmtId="9" fontId="14"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0" fontId="13" fillId="0" borderId="0"/>
    <xf numFmtId="43" fontId="8" fillId="0" borderId="0" applyFont="0" applyFill="0" applyBorder="0" applyAlignment="0" applyProtection="0"/>
    <xf numFmtId="0" fontId="13" fillId="0" borderId="0"/>
    <xf numFmtId="165"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9" fontId="13" fillId="0" borderId="0" applyFont="0" applyFill="0" applyBorder="0" applyAlignment="0" applyProtection="0"/>
    <xf numFmtId="9" fontId="1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cellStyleXfs>
  <cellXfs count="313">
    <xf numFmtId="0" fontId="0" fillId="0" borderId="0" xfId="0"/>
    <xf numFmtId="0" fontId="15" fillId="0" borderId="0" xfId="0" applyFont="1"/>
    <xf numFmtId="0" fontId="16" fillId="0" borderId="0" xfId="0" applyFont="1"/>
    <xf numFmtId="0" fontId="11" fillId="0" borderId="0" xfId="0" applyFont="1"/>
    <xf numFmtId="0" fontId="18" fillId="0" borderId="1" xfId="0" applyFont="1" applyBorder="1" applyAlignment="1">
      <alignment horizontal="left" vertical="center" indent="1"/>
    </xf>
    <xf numFmtId="0" fontId="9" fillId="0" borderId="0" xfId="0" applyFont="1"/>
    <xf numFmtId="0" fontId="0" fillId="0" borderId="0" xfId="0" applyAlignment="1">
      <alignment wrapText="1"/>
    </xf>
    <xf numFmtId="9" fontId="0" fillId="0" borderId="0" xfId="0" applyNumberFormat="1"/>
    <xf numFmtId="0" fontId="20" fillId="4" borderId="1" xfId="13" applyFont="1" applyFill="1" applyBorder="1" applyAlignment="1">
      <alignment horizontal="center" vertical="center"/>
    </xf>
    <xf numFmtId="0" fontId="21" fillId="5" borderId="1" xfId="13" applyFont="1" applyFill="1" applyBorder="1" applyAlignment="1">
      <alignment vertical="center" wrapText="1"/>
    </xf>
    <xf numFmtId="0" fontId="21" fillId="6" borderId="1" xfId="13" applyFont="1" applyFill="1" applyBorder="1" applyAlignment="1">
      <alignment horizontal="left" vertical="center" wrapText="1"/>
    </xf>
    <xf numFmtId="0" fontId="21" fillId="6" borderId="1" xfId="13" applyFont="1" applyFill="1" applyBorder="1" applyAlignment="1">
      <alignment horizontal="left" vertical="center" wrapText="1" readingOrder="1"/>
    </xf>
    <xf numFmtId="0" fontId="22" fillId="6" borderId="1" xfId="7" applyFont="1" applyFill="1" applyBorder="1" applyAlignment="1">
      <alignment vertical="center" wrapText="1"/>
    </xf>
    <xf numFmtId="0" fontId="21" fillId="7" borderId="1" xfId="13" applyFont="1" applyFill="1" applyBorder="1" applyAlignment="1">
      <alignment vertical="center" wrapText="1"/>
    </xf>
    <xf numFmtId="0" fontId="21" fillId="8" borderId="1" xfId="13" applyFont="1" applyFill="1" applyBorder="1" applyAlignment="1">
      <alignment horizontal="left" vertical="center" wrapText="1" readingOrder="1"/>
    </xf>
    <xf numFmtId="0" fontId="22" fillId="8" borderId="1" xfId="7" applyFont="1" applyFill="1" applyBorder="1" applyAlignment="1">
      <alignment vertical="center"/>
    </xf>
    <xf numFmtId="0" fontId="22" fillId="8" borderId="1" xfId="7" applyFont="1" applyFill="1" applyBorder="1" applyAlignment="1">
      <alignment vertical="center" wrapText="1"/>
    </xf>
    <xf numFmtId="0" fontId="21" fillId="3" borderId="1" xfId="13" applyFont="1" applyFill="1" applyBorder="1" applyAlignment="1">
      <alignment vertical="center" wrapText="1"/>
    </xf>
    <xf numFmtId="0" fontId="22" fillId="2" borderId="1" xfId="7" applyFont="1" applyFill="1" applyBorder="1" applyAlignment="1">
      <alignment vertical="center"/>
    </xf>
    <xf numFmtId="0" fontId="21" fillId="2" borderId="1" xfId="13" applyFont="1" applyFill="1" applyBorder="1" applyAlignment="1">
      <alignment horizontal="left" vertical="center" wrapText="1" readingOrder="1"/>
    </xf>
    <xf numFmtId="0" fontId="22" fillId="2" borderId="1" xfId="7" applyFont="1" applyFill="1" applyBorder="1" applyAlignment="1">
      <alignment vertical="center" wrapText="1"/>
    </xf>
    <xf numFmtId="0" fontId="23" fillId="0" borderId="1" xfId="0" applyFont="1" applyBorder="1" applyAlignment="1">
      <alignment vertical="center" wrapText="1"/>
    </xf>
    <xf numFmtId="0" fontId="15" fillId="0" borderId="0" xfId="0" applyFont="1" applyFill="1"/>
    <xf numFmtId="0" fontId="15" fillId="0" borderId="0" xfId="0" applyFont="1" applyBorder="1"/>
    <xf numFmtId="0" fontId="25" fillId="0" borderId="9" xfId="0" applyFont="1" applyBorder="1"/>
    <xf numFmtId="0" fontId="0" fillId="0" borderId="0" xfId="0" applyFill="1"/>
    <xf numFmtId="0" fontId="9"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10" fontId="15" fillId="0" borderId="0" xfId="1" applyNumberFormat="1" applyFont="1"/>
    <xf numFmtId="0" fontId="0" fillId="0" borderId="0" xfId="0" pivotButton="1"/>
    <xf numFmtId="0" fontId="0" fillId="0" borderId="0" xfId="0" applyAlignment="1">
      <alignment horizontal="left"/>
    </xf>
    <xf numFmtId="0" fontId="9" fillId="18" borderId="13" xfId="0" applyFont="1" applyFill="1" applyBorder="1" applyAlignment="1">
      <alignment horizontal="left"/>
    </xf>
    <xf numFmtId="0" fontId="0" fillId="0" borderId="0" xfId="0" applyNumberFormat="1"/>
    <xf numFmtId="10" fontId="0" fillId="0" borderId="0" xfId="0" applyNumberFormat="1"/>
    <xf numFmtId="10" fontId="9" fillId="18" borderId="13" xfId="1" applyNumberFormat="1" applyFont="1" applyFill="1" applyBorder="1"/>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0" fontId="24" fillId="17"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14" fontId="11" fillId="0" borderId="1" xfId="0" applyNumberFormat="1" applyFont="1" applyFill="1" applyBorder="1" applyAlignment="1" applyProtection="1">
      <alignment horizontal="center" vertical="center"/>
      <protection locked="0"/>
    </xf>
    <xf numFmtId="0" fontId="9" fillId="18" borderId="14" xfId="0" applyFont="1" applyFill="1" applyBorder="1"/>
    <xf numFmtId="0" fontId="17" fillId="19" borderId="16" xfId="0" applyFont="1" applyFill="1" applyBorder="1" applyAlignment="1">
      <alignment horizontal="center" wrapText="1" readingOrder="1"/>
    </xf>
    <xf numFmtId="16" fontId="17" fillId="19" borderId="17" xfId="0" applyNumberFormat="1" applyFont="1" applyFill="1" applyBorder="1" applyAlignment="1">
      <alignment horizontal="center" wrapText="1" readingOrder="1"/>
    </xf>
    <xf numFmtId="0" fontId="17" fillId="20" borderId="15" xfId="0" applyFont="1" applyFill="1" applyBorder="1" applyAlignment="1">
      <alignment horizontal="center" wrapText="1" readingOrder="1"/>
    </xf>
    <xf numFmtId="10" fontId="17" fillId="20" borderId="15" xfId="0" applyNumberFormat="1" applyFont="1" applyFill="1" applyBorder="1" applyAlignment="1">
      <alignment horizontal="center" wrapText="1" readingOrder="1"/>
    </xf>
    <xf numFmtId="10" fontId="11" fillId="0" borderId="0" xfId="1" applyNumberFormat="1" applyFont="1"/>
    <xf numFmtId="0" fontId="15" fillId="0" borderId="0" xfId="0" applyFont="1" applyBorder="1" applyAlignment="1">
      <alignment vertical="center"/>
    </xf>
    <xf numFmtId="9" fontId="15" fillId="0" borderId="0" xfId="0" applyNumberFormat="1" applyFont="1"/>
    <xf numFmtId="0" fontId="13" fillId="0" borderId="0" xfId="0" applyFont="1"/>
    <xf numFmtId="0" fontId="28" fillId="0" borderId="0" xfId="0" applyFont="1"/>
    <xf numFmtId="0" fontId="17" fillId="11" borderId="1" xfId="2" applyFont="1" applyFill="1" applyBorder="1" applyAlignment="1">
      <alignment vertical="center" wrapText="1"/>
    </xf>
    <xf numFmtId="0" fontId="17" fillId="11" borderId="1" xfId="2" applyFont="1" applyFill="1" applyBorder="1" applyAlignment="1">
      <alignment horizontal="center" vertical="center" wrapText="1"/>
    </xf>
    <xf numFmtId="0" fontId="17" fillId="10" borderId="1" xfId="2" applyFont="1" applyFill="1" applyBorder="1" applyAlignment="1">
      <alignment horizontal="center" vertical="center"/>
    </xf>
    <xf numFmtId="0" fontId="17" fillId="9" borderId="1" xfId="2" applyFont="1" applyFill="1" applyBorder="1" applyAlignment="1">
      <alignment horizontal="center" vertical="center" wrapText="1"/>
    </xf>
    <xf numFmtId="0" fontId="17" fillId="12" borderId="1" xfId="2" applyFont="1" applyFill="1" applyBorder="1" applyAlignment="1">
      <alignment horizontal="center" vertical="center" wrapText="1"/>
    </xf>
    <xf numFmtId="0" fontId="11" fillId="0" borderId="1" xfId="0" applyFont="1" applyFill="1" applyBorder="1" applyAlignment="1" applyProtection="1">
      <alignment horizontal="center" vertical="center"/>
      <protection locked="0"/>
    </xf>
    <xf numFmtId="167" fontId="0" fillId="0" borderId="0" xfId="0" applyNumberFormat="1"/>
    <xf numFmtId="10" fontId="11" fillId="0" borderId="0" xfId="1" applyNumberFormat="1" applyFont="1" applyFill="1"/>
    <xf numFmtId="0" fontId="15" fillId="0" borderId="0" xfId="0" applyFont="1" applyFill="1" applyBorder="1"/>
    <xf numFmtId="10" fontId="0" fillId="0" borderId="0" xfId="1" applyNumberFormat="1" applyFont="1" applyFill="1"/>
    <xf numFmtId="10" fontId="0" fillId="0" borderId="0" xfId="0" applyNumberFormat="1" applyFill="1"/>
    <xf numFmtId="14" fontId="11" fillId="0" borderId="1" xfId="0" applyNumberFormat="1" applyFont="1" applyFill="1" applyBorder="1" applyAlignment="1" applyProtection="1">
      <alignment horizontal="center" vertical="center" wrapText="1"/>
      <protection locked="0"/>
    </xf>
    <xf numFmtId="14" fontId="30" fillId="0" borderId="0" xfId="0" applyNumberFormat="1" applyFont="1"/>
    <xf numFmtId="0" fontId="0" fillId="0" borderId="0" xfId="0" applyFont="1"/>
    <xf numFmtId="10" fontId="11" fillId="0" borderId="1" xfId="1" applyNumberFormat="1" applyFont="1" applyFill="1" applyBorder="1" applyAlignment="1" applyProtection="1">
      <alignment horizontal="center" vertical="center"/>
    </xf>
    <xf numFmtId="0" fontId="15" fillId="0" borderId="0" xfId="0" applyFont="1" applyAlignment="1">
      <alignment wrapText="1"/>
    </xf>
    <xf numFmtId="0" fontId="11" fillId="0" borderId="1" xfId="0" applyFont="1" applyFill="1" applyBorder="1" applyAlignment="1" applyProtection="1">
      <alignment horizontal="justify" vertical="top" wrapText="1"/>
      <protection locked="0"/>
    </xf>
    <xf numFmtId="0" fontId="24" fillId="0" borderId="1" xfId="0" applyFont="1" applyFill="1" applyBorder="1" applyAlignment="1" applyProtection="1">
      <alignment horizontal="justify" vertical="top" wrapText="1"/>
      <protection locked="0"/>
    </xf>
    <xf numFmtId="9" fontId="11" fillId="0" borderId="0" xfId="1" applyFont="1"/>
    <xf numFmtId="10" fontId="15" fillId="0" borderId="0" xfId="1" applyNumberFormat="1" applyFont="1" applyAlignment="1">
      <alignment vertical="center"/>
    </xf>
    <xf numFmtId="10" fontId="25" fillId="0" borderId="0" xfId="1" applyNumberFormat="1" applyFont="1"/>
    <xf numFmtId="0" fontId="15" fillId="0" borderId="0" xfId="0" applyFont="1" applyBorder="1" applyAlignment="1">
      <alignment vertical="center" wrapText="1"/>
    </xf>
    <xf numFmtId="168" fontId="0" fillId="0" borderId="0" xfId="0" applyNumberFormat="1"/>
    <xf numFmtId="0" fontId="11" fillId="0" borderId="1" xfId="0" applyFont="1" applyBorder="1" applyAlignment="1">
      <alignment horizontal="left" vertical="top" wrapText="1"/>
    </xf>
    <xf numFmtId="0" fontId="11" fillId="0" borderId="1" xfId="0" applyFont="1" applyBorder="1" applyAlignment="1">
      <alignment vertical="top" wrapText="1"/>
    </xf>
    <xf numFmtId="0" fontId="11" fillId="13" borderId="1" xfId="0" applyFont="1" applyFill="1" applyBorder="1" applyAlignment="1" applyProtection="1">
      <alignment horizontal="center" vertical="center"/>
      <protection locked="0"/>
    </xf>
    <xf numFmtId="10" fontId="27" fillId="0" borderId="0" xfId="0" applyNumberFormat="1" applyFont="1" applyBorder="1"/>
    <xf numFmtId="0" fontId="0" fillId="0" borderId="0" xfId="0" applyAlignment="1">
      <alignment horizontal="center" vertical="center"/>
    </xf>
    <xf numFmtId="0" fontId="0" fillId="22" borderId="0" xfId="0" applyFill="1" applyAlignment="1">
      <alignment horizontal="left"/>
    </xf>
    <xf numFmtId="0" fontId="29" fillId="19" borderId="16" xfId="0" applyFont="1" applyFill="1" applyBorder="1" applyAlignment="1">
      <alignment horizontal="center" wrapText="1" readingOrder="1"/>
    </xf>
    <xf numFmtId="10" fontId="6" fillId="0" borderId="0" xfId="0" applyNumberFormat="1" applyFont="1"/>
    <xf numFmtId="10" fontId="0" fillId="0" borderId="0" xfId="0" applyNumberFormat="1"/>
    <xf numFmtId="0" fontId="17" fillId="19" borderId="16" xfId="0" applyFont="1" applyFill="1" applyBorder="1" applyAlignment="1">
      <alignment horizontal="center" wrapText="1" readingOrder="1"/>
    </xf>
    <xf numFmtId="0" fontId="0" fillId="0" borderId="0" xfId="0" applyAlignment="1"/>
    <xf numFmtId="0" fontId="0" fillId="0" borderId="0" xfId="0" applyAlignment="1">
      <alignment horizontal="center" vertical="center" wrapText="1"/>
    </xf>
    <xf numFmtId="0" fontId="0" fillId="0" borderId="0" xfId="0" pivotButton="1" applyAlignment="1">
      <alignment horizontal="center" vertical="center"/>
    </xf>
    <xf numFmtId="0" fontId="0" fillId="0" borderId="0" xfId="0" pivotButton="1" applyAlignment="1">
      <alignment horizontal="center" vertical="center" wrapText="1"/>
    </xf>
    <xf numFmtId="0" fontId="0" fillId="6" borderId="0" xfId="0" applyFill="1" applyAlignment="1">
      <alignment horizontal="center" vertical="center" wrapText="1"/>
    </xf>
    <xf numFmtId="10" fontId="0" fillId="6" borderId="0" xfId="0" applyNumberFormat="1" applyFill="1"/>
    <xf numFmtId="0" fontId="0" fillId="15" borderId="0" xfId="0" applyFill="1" applyAlignment="1">
      <alignment horizontal="center" vertical="center" wrapText="1"/>
    </xf>
    <xf numFmtId="10" fontId="0" fillId="15" borderId="0" xfId="0" applyNumberFormat="1" applyFill="1"/>
    <xf numFmtId="0" fontId="5" fillId="0" borderId="0" xfId="0" applyFont="1"/>
    <xf numFmtId="0" fontId="0" fillId="0" borderId="0" xfId="0" applyAlignment="1">
      <alignment vertical="center"/>
    </xf>
    <xf numFmtId="0" fontId="17" fillId="19" borderId="16" xfId="0" applyFont="1" applyFill="1" applyBorder="1" applyAlignment="1">
      <alignment horizontal="center" wrapText="1" readingOrder="1"/>
    </xf>
    <xf numFmtId="0" fontId="11" fillId="0" borderId="0" xfId="0" applyFont="1" applyAlignment="1">
      <alignment vertical="top"/>
    </xf>
    <xf numFmtId="0" fontId="11" fillId="0" borderId="0" xfId="0" applyFont="1" applyBorder="1"/>
    <xf numFmtId="10" fontId="15" fillId="0" borderId="0" xfId="1" applyNumberFormat="1" applyFont="1" applyBorder="1"/>
    <xf numFmtId="10" fontId="31" fillId="0" borderId="0" xfId="1" applyNumberFormat="1" applyFont="1" applyBorder="1"/>
    <xf numFmtId="10" fontId="34" fillId="0" borderId="0" xfId="1" applyNumberFormat="1" applyFont="1" applyBorder="1"/>
    <xf numFmtId="10" fontId="25" fillId="0" borderId="0" xfId="1" applyNumberFormat="1" applyFont="1" applyBorder="1"/>
    <xf numFmtId="10" fontId="15" fillId="0" borderId="0" xfId="0" applyNumberFormat="1" applyFont="1" applyBorder="1"/>
    <xf numFmtId="10" fontId="33" fillId="0" borderId="0" xfId="1" applyNumberFormat="1" applyFont="1" applyBorder="1"/>
    <xf numFmtId="10" fontId="35" fillId="0" borderId="0" xfId="1" applyNumberFormat="1" applyFont="1" applyBorder="1"/>
    <xf numFmtId="10" fontId="32" fillId="0" borderId="0" xfId="1" applyNumberFormat="1" applyFont="1" applyBorder="1"/>
    <xf numFmtId="10" fontId="26" fillId="21" borderId="12" xfId="1" applyNumberFormat="1" applyFont="1" applyFill="1" applyBorder="1" applyAlignment="1" applyProtection="1">
      <alignment horizontal="center" vertical="center"/>
    </xf>
    <xf numFmtId="0" fontId="11" fillId="0" borderId="0" xfId="0" applyFont="1" applyFill="1"/>
    <xf numFmtId="10" fontId="15" fillId="0" borderId="0" xfId="1" applyNumberFormat="1" applyFont="1" applyFill="1"/>
    <xf numFmtId="10" fontId="7" fillId="0" borderId="0" xfId="0" applyNumberFormat="1" applyFont="1" applyAlignment="1">
      <alignment vertical="center" wrapText="1"/>
    </xf>
    <xf numFmtId="0" fontId="15" fillId="0" borderId="0" xfId="0" applyFont="1" applyAlignment="1">
      <alignment vertical="center" wrapText="1"/>
    </xf>
    <xf numFmtId="10" fontId="15" fillId="0" borderId="0" xfId="0" applyNumberFormat="1" applyFont="1" applyFill="1"/>
    <xf numFmtId="0" fontId="15" fillId="0" borderId="0" xfId="0" applyFont="1" applyAlignment="1">
      <alignment vertical="top"/>
    </xf>
    <xf numFmtId="0" fontId="17" fillId="19" borderId="16" xfId="0" applyFont="1" applyFill="1" applyBorder="1" applyAlignment="1">
      <alignment horizontal="center" wrapText="1" readingOrder="1"/>
    </xf>
    <xf numFmtId="0" fontId="4" fillId="0" borderId="0" xfId="0" applyFont="1" applyAlignment="1">
      <alignment vertical="top"/>
    </xf>
    <xf numFmtId="0" fontId="4" fillId="0" borderId="0" xfId="0" applyFont="1"/>
    <xf numFmtId="0" fontId="29" fillId="0" borderId="0" xfId="0" applyFont="1" applyBorder="1" applyAlignment="1">
      <alignment vertical="center" wrapText="1"/>
    </xf>
    <xf numFmtId="0" fontId="15" fillId="0" borderId="9" xfId="0" applyFont="1" applyBorder="1"/>
    <xf numFmtId="0" fontId="17" fillId="11" borderId="11" xfId="2" applyFont="1" applyFill="1" applyBorder="1" applyAlignment="1">
      <alignment horizontal="center" vertical="top" wrapText="1"/>
    </xf>
    <xf numFmtId="0" fontId="17" fillId="11" borderId="11" xfId="2" applyFont="1" applyFill="1" applyBorder="1" applyAlignment="1">
      <alignment vertical="top" wrapText="1"/>
    </xf>
    <xf numFmtId="0" fontId="11" fillId="0" borderId="0" xfId="0" applyFont="1" applyFill="1" applyAlignment="1">
      <alignment vertical="top"/>
    </xf>
    <xf numFmtId="0" fontId="17" fillId="12" borderId="11" xfId="2" applyFont="1" applyFill="1" applyBorder="1" applyAlignment="1">
      <alignment horizontal="center" vertical="top" wrapText="1"/>
    </xf>
    <xf numFmtId="0" fontId="11" fillId="0" borderId="8" xfId="0" applyFont="1" applyBorder="1" applyAlignment="1" applyProtection="1">
      <alignment vertical="center" wrapText="1"/>
      <protection locked="0"/>
    </xf>
    <xf numFmtId="0" fontId="12" fillId="0" borderId="6" xfId="0" applyFont="1" applyBorder="1" applyAlignment="1">
      <alignment vertical="top"/>
    </xf>
    <xf numFmtId="0" fontId="15" fillId="0" borderId="0" xfId="0" applyFont="1" applyFill="1" applyAlignment="1">
      <alignment vertical="center" wrapText="1"/>
    </xf>
    <xf numFmtId="0" fontId="11" fillId="0" borderId="0" xfId="0" applyFont="1" applyAlignment="1">
      <alignment vertical="center" wrapText="1"/>
    </xf>
    <xf numFmtId="0" fontId="15" fillId="0" borderId="10" xfId="0" applyFont="1" applyBorder="1"/>
    <xf numFmtId="0" fontId="0" fillId="24" borderId="0" xfId="0" applyFill="1"/>
    <xf numFmtId="9" fontId="0" fillId="24" borderId="0" xfId="0" applyNumberFormat="1" applyFill="1"/>
    <xf numFmtId="0" fontId="0" fillId="21" borderId="0" xfId="0" applyFill="1"/>
    <xf numFmtId="9" fontId="0" fillId="21" borderId="0" xfId="0" applyNumberFormat="1" applyFill="1"/>
    <xf numFmtId="10" fontId="24" fillId="0" borderId="1" xfId="1" applyNumberFormat="1" applyFont="1" applyFill="1" applyBorder="1" applyAlignment="1" applyProtection="1">
      <alignment horizontal="center" vertical="center"/>
    </xf>
    <xf numFmtId="0" fontId="11" fillId="0" borderId="1" xfId="0" applyFont="1" applyBorder="1" applyAlignment="1" applyProtection="1">
      <alignment horizontal="justify" vertical="center" wrapText="1"/>
      <protection locked="0"/>
    </xf>
    <xf numFmtId="169" fontId="11"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justify" vertical="top" wrapText="1"/>
      <protection locked="0"/>
    </xf>
    <xf numFmtId="169" fontId="11" fillId="0" borderId="2"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0" fillId="0" borderId="0" xfId="0" applyFont="1" applyFill="1"/>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justify" vertical="center" wrapText="1"/>
      <protection locked="0"/>
    </xf>
    <xf numFmtId="0" fontId="24" fillId="17" borderId="1"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11" fillId="25" borderId="1" xfId="0" applyFont="1" applyFill="1" applyBorder="1" applyAlignment="1" applyProtection="1">
      <alignment horizontal="justify" vertical="center" wrapText="1"/>
      <protection locked="0"/>
    </xf>
    <xf numFmtId="10" fontId="11" fillId="26" borderId="1" xfId="1" applyNumberFormat="1" applyFont="1" applyFill="1" applyBorder="1" applyAlignment="1" applyProtection="1">
      <alignment horizontal="center" vertical="center"/>
    </xf>
    <xf numFmtId="10" fontId="0" fillId="0" borderId="0" xfId="1" applyNumberFormat="1" applyFont="1"/>
    <xf numFmtId="0" fontId="38" fillId="0" borderId="0" xfId="0" applyFont="1" applyAlignment="1">
      <alignment horizontal="center" vertical="center" wrapText="1"/>
    </xf>
    <xf numFmtId="0" fontId="27" fillId="0" borderId="0" xfId="0" applyFont="1" applyBorder="1" applyAlignment="1">
      <alignment vertical="center" wrapText="1"/>
    </xf>
    <xf numFmtId="0" fontId="0" fillId="0" borderId="0" xfId="0" applyAlignment="1">
      <alignment vertical="center" wrapText="1"/>
    </xf>
    <xf numFmtId="10" fontId="11" fillId="17" borderId="1" xfId="1" applyNumberFormat="1" applyFont="1" applyFill="1" applyBorder="1" applyAlignment="1" applyProtection="1">
      <alignment horizontal="center" vertical="center"/>
    </xf>
    <xf numFmtId="10" fontId="0" fillId="0" borderId="0" xfId="0" applyNumberFormat="1" applyAlignment="1">
      <alignment vertical="center" wrapText="1"/>
    </xf>
    <xf numFmtId="0" fontId="11" fillId="25" borderId="1" xfId="0" applyFont="1" applyFill="1" applyBorder="1" applyAlignment="1" applyProtection="1">
      <alignment horizontal="center" vertical="center" wrapText="1"/>
      <protection locked="0"/>
    </xf>
    <xf numFmtId="10" fontId="0" fillId="0" borderId="0" xfId="50" applyNumberFormat="1" applyFont="1"/>
    <xf numFmtId="0" fontId="3" fillId="0" borderId="0" xfId="0" applyFont="1" applyAlignment="1">
      <alignment horizontal="left" vertical="top"/>
    </xf>
    <xf numFmtId="0" fontId="3" fillId="0" borderId="0" xfId="0" applyFont="1"/>
    <xf numFmtId="0" fontId="31" fillId="0" borderId="0" xfId="0" applyFont="1" applyAlignment="1">
      <alignment horizontal="left" vertical="center"/>
    </xf>
    <xf numFmtId="0" fontId="33" fillId="0" borderId="0" xfId="0" applyFont="1" applyAlignment="1">
      <alignment horizontal="left" vertical="center"/>
    </xf>
    <xf numFmtId="0" fontId="3" fillId="0" borderId="0" xfId="0" applyFont="1" applyAlignment="1">
      <alignment horizontal="left" vertical="center"/>
    </xf>
    <xf numFmtId="0" fontId="39" fillId="0" borderId="0" xfId="0" applyFont="1" applyAlignment="1">
      <alignment horizontal="left" vertical="center"/>
    </xf>
    <xf numFmtId="10" fontId="3" fillId="0" borderId="0" xfId="1" applyNumberFormat="1" applyFont="1" applyBorder="1"/>
    <xf numFmtId="0" fontId="3" fillId="0" borderId="19" xfId="0" applyFont="1" applyBorder="1"/>
    <xf numFmtId="10" fontId="31" fillId="0" borderId="20" xfId="1" applyNumberFormat="1" applyFont="1" applyBorder="1"/>
    <xf numFmtId="10" fontId="28" fillId="0" borderId="20" xfId="1" applyNumberFormat="1" applyFont="1" applyBorder="1"/>
    <xf numFmtId="10" fontId="40" fillId="0" borderId="20" xfId="1" applyNumberFormat="1" applyFont="1" applyBorder="1"/>
    <xf numFmtId="10" fontId="25" fillId="0" borderId="2" xfId="1" applyNumberFormat="1" applyFont="1" applyBorder="1"/>
    <xf numFmtId="10" fontId="3" fillId="0" borderId="0" xfId="1" applyNumberFormat="1" applyFont="1"/>
    <xf numFmtId="10" fontId="40" fillId="0" borderId="0" xfId="1" applyNumberFormat="1" applyFont="1" applyBorder="1"/>
    <xf numFmtId="10" fontId="3" fillId="0" borderId="0" xfId="0" applyNumberFormat="1" applyFont="1"/>
    <xf numFmtId="0" fontId="0" fillId="0" borderId="7" xfId="0" applyBorder="1"/>
    <xf numFmtId="10" fontId="33" fillId="0" borderId="20" xfId="1" applyNumberFormat="1" applyFont="1" applyBorder="1"/>
    <xf numFmtId="0" fontId="3" fillId="0" borderId="0" xfId="0" applyFont="1" applyAlignment="1">
      <alignment vertical="top"/>
    </xf>
    <xf numFmtId="10" fontId="35" fillId="0" borderId="20" xfId="1" applyNumberFormat="1" applyFont="1" applyBorder="1"/>
    <xf numFmtId="0" fontId="3" fillId="0" borderId="0" xfId="0" applyFont="1" applyAlignment="1">
      <alignment vertical="top" wrapText="1"/>
    </xf>
    <xf numFmtId="10" fontId="34" fillId="0" borderId="20" xfId="1" applyNumberFormat="1" applyFont="1" applyBorder="1"/>
    <xf numFmtId="10" fontId="32" fillId="0" borderId="20" xfId="1" applyNumberFormat="1" applyFont="1" applyBorder="1"/>
    <xf numFmtId="0" fontId="3" fillId="0" borderId="20" xfId="0" applyFont="1" applyBorder="1"/>
    <xf numFmtId="0" fontId="3" fillId="26" borderId="21" xfId="0" applyFont="1" applyFill="1" applyBorder="1"/>
    <xf numFmtId="10" fontId="25" fillId="26" borderId="22" xfId="0" applyNumberFormat="1" applyFont="1" applyFill="1" applyBorder="1"/>
    <xf numFmtId="0" fontId="2" fillId="0" borderId="0" xfId="0" applyFont="1"/>
    <xf numFmtId="0" fontId="2" fillId="25" borderId="0" xfId="0" applyFont="1" applyFill="1" applyAlignment="1">
      <alignment wrapText="1"/>
    </xf>
    <xf numFmtId="10" fontId="27" fillId="0" borderId="0" xfId="0" applyNumberFormat="1" applyFont="1"/>
    <xf numFmtId="169" fontId="11" fillId="21" borderId="1" xfId="0" applyNumberFormat="1" applyFont="1" applyFill="1" applyBorder="1" applyAlignment="1" applyProtection="1">
      <alignment horizontal="center" vertical="center"/>
      <protection locked="0"/>
    </xf>
    <xf numFmtId="0" fontId="17" fillId="28" borderId="1" xfId="2" applyFont="1" applyFill="1" applyBorder="1" applyAlignment="1">
      <alignment horizontal="center" vertical="center" wrapText="1"/>
    </xf>
    <xf numFmtId="0" fontId="11" fillId="26" borderId="1" xfId="0" applyFont="1" applyFill="1" applyBorder="1" applyAlignment="1">
      <alignment horizontal="center" vertical="center" wrapText="1"/>
    </xf>
    <xf numFmtId="169" fontId="12" fillId="29" borderId="1" xfId="0" applyNumberFormat="1" applyFont="1" applyFill="1" applyBorder="1" applyAlignment="1" applyProtection="1">
      <alignment horizontal="center" vertical="center"/>
      <protection locked="0"/>
    </xf>
    <xf numFmtId="0" fontId="11" fillId="17" borderId="1" xfId="0" applyFont="1" applyFill="1" applyBorder="1" applyAlignment="1">
      <alignment horizontal="center" vertical="center" wrapText="1"/>
    </xf>
    <xf numFmtId="10" fontId="11" fillId="0" borderId="0" xfId="0" applyNumberFormat="1" applyFont="1"/>
    <xf numFmtId="0" fontId="11" fillId="27" borderId="1" xfId="0" applyFont="1" applyFill="1" applyBorder="1" applyAlignment="1">
      <alignment horizontal="center" vertical="center" wrapText="1"/>
    </xf>
    <xf numFmtId="16" fontId="15" fillId="0" borderId="0" xfId="0" applyNumberFormat="1" applyFont="1"/>
    <xf numFmtId="9" fontId="1" fillId="0" borderId="0" xfId="0" applyNumberFormat="1" applyFont="1"/>
    <xf numFmtId="0" fontId="45" fillId="30" borderId="1" xfId="0" applyFont="1" applyFill="1" applyBorder="1" applyAlignment="1">
      <alignment horizontal="center" vertical="center" wrapText="1"/>
    </xf>
    <xf numFmtId="0" fontId="0" fillId="0" borderId="0" xfId="0" applyBorder="1"/>
    <xf numFmtId="170" fontId="11" fillId="0" borderId="0" xfId="0" applyNumberFormat="1" applyFont="1" applyFill="1" applyBorder="1" applyAlignment="1" applyProtection="1">
      <alignment horizontal="center" vertical="center"/>
      <protection locked="0"/>
    </xf>
    <xf numFmtId="0" fontId="0" fillId="32" borderId="0" xfId="0" applyFill="1" applyBorder="1"/>
    <xf numFmtId="0" fontId="0" fillId="33" borderId="0" xfId="0" applyFill="1" applyBorder="1"/>
    <xf numFmtId="0" fontId="0" fillId="0" borderId="0" xfId="0" applyFill="1" applyBorder="1"/>
    <xf numFmtId="0" fontId="0" fillId="34" borderId="0" xfId="0" applyFill="1" applyBorder="1"/>
    <xf numFmtId="0" fontId="0" fillId="35" borderId="0" xfId="0" applyFill="1" applyBorder="1"/>
    <xf numFmtId="0" fontId="0" fillId="36" borderId="0" xfId="0" applyFill="1" applyBorder="1"/>
    <xf numFmtId="0" fontId="0" fillId="37" borderId="0" xfId="0" applyFill="1" applyBorder="1"/>
    <xf numFmtId="0" fontId="0" fillId="38" borderId="0" xfId="0" applyFill="1" applyBorder="1"/>
    <xf numFmtId="0" fontId="0" fillId="0" borderId="0" xfId="0" applyAlignment="1">
      <alignment horizontal="center" vertical="center"/>
    </xf>
    <xf numFmtId="0" fontId="17" fillId="19" borderId="16" xfId="0" applyFont="1" applyFill="1" applyBorder="1" applyAlignment="1">
      <alignment horizontal="center" wrapText="1" readingOrder="1"/>
    </xf>
    <xf numFmtId="171" fontId="11" fillId="0" borderId="1" xfId="1" applyNumberFormat="1" applyFont="1" applyFill="1" applyBorder="1" applyAlignment="1" applyProtection="1">
      <alignment horizontal="center" vertical="center"/>
      <protection locked="0"/>
    </xf>
    <xf numFmtId="169" fontId="11" fillId="0" borderId="1" xfId="0" applyNumberFormat="1" applyFont="1" applyFill="1" applyBorder="1" applyAlignment="1" applyProtection="1">
      <alignment horizontal="center" vertical="center" wrapText="1"/>
      <protection locked="0"/>
    </xf>
    <xf numFmtId="171" fontId="11" fillId="0" borderId="1" xfId="0" applyNumberFormat="1" applyFont="1" applyFill="1" applyBorder="1" applyAlignment="1" applyProtection="1">
      <alignment horizontal="center" vertical="center"/>
      <protection locked="0"/>
    </xf>
    <xf numFmtId="171" fontId="26" fillId="21" borderId="12" xfId="1" applyNumberFormat="1" applyFont="1" applyFill="1" applyBorder="1" applyAlignment="1" applyProtection="1">
      <alignment horizontal="center" vertical="center"/>
    </xf>
    <xf numFmtId="0" fontId="1" fillId="0" borderId="0" xfId="0" applyFont="1" applyAlignment="1">
      <alignment horizontal="left" vertical="top"/>
    </xf>
    <xf numFmtId="0" fontId="1" fillId="0" borderId="0" xfId="0" applyFont="1" applyAlignment="1">
      <alignment vertical="top"/>
    </xf>
    <xf numFmtId="0" fontId="17" fillId="19" borderId="16" xfId="0" applyFont="1" applyFill="1" applyBorder="1" applyAlignment="1">
      <alignment horizontal="left" readingOrder="1"/>
    </xf>
    <xf numFmtId="0" fontId="46" fillId="31" borderId="24" xfId="2" applyFont="1" applyFill="1" applyBorder="1" applyAlignment="1">
      <alignment horizontal="center" vertical="center" wrapText="1"/>
    </xf>
    <xf numFmtId="169" fontId="11" fillId="0" borderId="27" xfId="0" applyNumberFormat="1" applyFont="1" applyFill="1" applyBorder="1" applyAlignment="1" applyProtection="1">
      <alignment horizontal="center" vertical="center"/>
      <protection locked="0"/>
    </xf>
    <xf numFmtId="170" fontId="11" fillId="0" borderId="30" xfId="0" applyNumberFormat="1" applyFont="1" applyFill="1" applyBorder="1" applyAlignment="1" applyProtection="1">
      <alignment horizontal="center" vertical="center"/>
      <protection locked="0"/>
    </xf>
    <xf numFmtId="170" fontId="11" fillId="0" borderId="27" xfId="0" applyNumberFormat="1" applyFont="1" applyFill="1" applyBorder="1" applyAlignment="1" applyProtection="1">
      <alignment horizontal="center" vertical="center"/>
      <protection locked="0"/>
    </xf>
    <xf numFmtId="170" fontId="0" fillId="0" borderId="30" xfId="0" applyNumberFormat="1" applyFill="1" applyBorder="1"/>
    <xf numFmtId="0" fontId="46" fillId="31" borderId="25" xfId="2" applyFont="1" applyFill="1" applyBorder="1" applyAlignment="1">
      <alignment horizontal="center" vertical="center" wrapText="1"/>
    </xf>
    <xf numFmtId="0" fontId="0" fillId="0" borderId="27" xfId="0" applyBorder="1"/>
    <xf numFmtId="0" fontId="0" fillId="0" borderId="30" xfId="0" applyBorder="1"/>
    <xf numFmtId="0" fontId="0" fillId="0" borderId="31" xfId="0" applyBorder="1"/>
    <xf numFmtId="0" fontId="0" fillId="0" borderId="23" xfId="0" applyBorder="1"/>
    <xf numFmtId="0" fontId="0" fillId="0" borderId="32" xfId="0" applyBorder="1"/>
    <xf numFmtId="0" fontId="0" fillId="0" borderId="23" xfId="0" applyFill="1" applyBorder="1"/>
    <xf numFmtId="0" fontId="46" fillId="31" borderId="33" xfId="2" applyFont="1" applyFill="1" applyBorder="1" applyAlignment="1">
      <alignment horizontal="center" vertical="center" wrapText="1"/>
    </xf>
    <xf numFmtId="0" fontId="0" fillId="16" borderId="0" xfId="0" applyFill="1" applyBorder="1"/>
    <xf numFmtId="0" fontId="0" fillId="39" borderId="0" xfId="0" applyFill="1" applyBorder="1"/>
    <xf numFmtId="0" fontId="0" fillId="40" borderId="0" xfId="0" applyFill="1" applyBorder="1"/>
    <xf numFmtId="0" fontId="0" fillId="41" borderId="0" xfId="0" applyFill="1" applyBorder="1"/>
    <xf numFmtId="0" fontId="0" fillId="32" borderId="23" xfId="0" applyFill="1" applyBorder="1"/>
    <xf numFmtId="0" fontId="11" fillId="21" borderId="1" xfId="0" applyFont="1" applyFill="1" applyBorder="1" applyAlignment="1" applyProtection="1">
      <alignment horizontal="justify" vertical="center" wrapText="1"/>
      <protection locked="0"/>
    </xf>
    <xf numFmtId="0" fontId="51" fillId="42" borderId="1" xfId="0" applyFont="1" applyFill="1" applyBorder="1" applyAlignment="1">
      <alignment horizontal="center" vertical="center" wrapText="1"/>
    </xf>
    <xf numFmtId="41" fontId="11" fillId="0" borderId="1" xfId="74" applyFont="1" applyFill="1" applyBorder="1" applyAlignment="1">
      <alignment horizontal="center" vertical="center" wrapText="1"/>
    </xf>
    <xf numFmtId="41" fontId="11" fillId="0" borderId="1" xfId="74" applyFont="1" applyBorder="1" applyAlignment="1">
      <alignment horizontal="center" vertical="center" wrapText="1"/>
    </xf>
    <xf numFmtId="10" fontId="11" fillId="0" borderId="1" xfId="1" applyNumberFormat="1" applyFont="1" applyBorder="1" applyAlignment="1">
      <alignment horizontal="center" vertical="center" wrapText="1"/>
    </xf>
    <xf numFmtId="10" fontId="11" fillId="23" borderId="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10" fontId="11" fillId="42" borderId="1" xfId="1" applyNumberFormat="1" applyFont="1" applyFill="1" applyBorder="1" applyAlignment="1" applyProtection="1">
      <alignment horizontal="center" vertical="center"/>
    </xf>
    <xf numFmtId="171" fontId="11" fillId="42" borderId="1" xfId="1" applyNumberFormat="1" applyFont="1" applyFill="1" applyBorder="1" applyAlignment="1" applyProtection="1">
      <alignment horizontal="center" vertical="center"/>
    </xf>
    <xf numFmtId="171" fontId="11" fillId="26" borderId="1" xfId="1" applyNumberFormat="1" applyFont="1" applyFill="1" applyBorder="1" applyAlignment="1" applyProtection="1">
      <alignment horizontal="center" vertical="center"/>
    </xf>
    <xf numFmtId="10" fontId="11" fillId="27" borderId="1" xfId="1" applyNumberFormat="1" applyFont="1" applyFill="1" applyBorder="1" applyAlignment="1" applyProtection="1">
      <alignment horizontal="center" vertical="center"/>
    </xf>
    <xf numFmtId="0" fontId="17" fillId="19" borderId="16" xfId="0" applyFont="1" applyFill="1" applyBorder="1" applyAlignment="1">
      <alignment horizontal="center" wrapText="1" readingOrder="1"/>
    </xf>
    <xf numFmtId="0" fontId="17" fillId="19" borderId="17" xfId="0" applyFont="1" applyFill="1" applyBorder="1" applyAlignment="1">
      <alignment horizontal="center" wrapText="1" readingOrder="1"/>
    </xf>
    <xf numFmtId="0" fontId="29" fillId="19" borderId="18" xfId="0" applyFont="1" applyFill="1" applyBorder="1" applyAlignment="1">
      <alignment horizontal="center" wrapText="1" readingOrder="1"/>
    </xf>
    <xf numFmtId="0" fontId="29" fillId="19" borderId="0" xfId="0" applyFont="1" applyFill="1" applyBorder="1" applyAlignment="1">
      <alignment horizontal="center" wrapText="1" readingOrder="1"/>
    </xf>
    <xf numFmtId="10" fontId="0" fillId="0" borderId="0" xfId="0" applyNumberFormat="1" applyAlignment="1">
      <alignment horizontal="center" vertical="center"/>
    </xf>
    <xf numFmtId="0" fontId="36" fillId="17" borderId="0" xfId="0" applyFont="1" applyFill="1" applyAlignment="1">
      <alignment horizontal="center" vertical="center" wrapText="1"/>
    </xf>
    <xf numFmtId="0" fontId="34" fillId="0" borderId="0" xfId="0" applyFont="1" applyAlignment="1">
      <alignment vertical="center" wrapText="1"/>
    </xf>
    <xf numFmtId="0" fontId="0" fillId="0" borderId="0" xfId="0" applyAlignment="1">
      <alignment vertical="center" wrapText="1"/>
    </xf>
    <xf numFmtId="0" fontId="40" fillId="0" borderId="0" xfId="0" applyFont="1" applyAlignment="1">
      <alignment vertical="center" wrapText="1"/>
    </xf>
    <xf numFmtId="0" fontId="32" fillId="0" borderId="0" xfId="0" applyFont="1" applyAlignment="1">
      <alignment horizontal="left" vertical="top" wrapText="1"/>
    </xf>
    <xf numFmtId="0" fontId="11" fillId="0" borderId="3"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7" xfId="0" applyFont="1" applyBorder="1" applyAlignment="1">
      <alignment horizontal="left" vertical="top"/>
    </xf>
    <xf numFmtId="1" fontId="11" fillId="0" borderId="3" xfId="0" applyNumberFormat="1" applyFont="1" applyBorder="1" applyAlignment="1" applyProtection="1">
      <alignment horizontal="center" vertical="center" wrapText="1"/>
      <protection locked="0"/>
    </xf>
    <xf numFmtId="1" fontId="11" fillId="0" borderId="9" xfId="0" applyNumberFormat="1" applyFont="1" applyBorder="1" applyAlignment="1" applyProtection="1">
      <alignment horizontal="center" vertical="center" wrapText="1"/>
      <protection locked="0"/>
    </xf>
    <xf numFmtId="1" fontId="11" fillId="0" borderId="8" xfId="0" applyNumberFormat="1" applyFont="1" applyBorder="1" applyAlignment="1" applyProtection="1">
      <alignment horizontal="center" vertical="center" wrapText="1"/>
      <protection locked="0"/>
    </xf>
    <xf numFmtId="14" fontId="11" fillId="0" borderId="4" xfId="0" applyNumberFormat="1" applyFont="1" applyBorder="1" applyAlignment="1" applyProtection="1">
      <alignment horizontal="center" vertical="center"/>
      <protection locked="0"/>
    </xf>
    <xf numFmtId="14" fontId="11" fillId="0" borderId="8" xfId="0" applyNumberFormat="1" applyFont="1" applyBorder="1" applyAlignment="1" applyProtection="1">
      <alignment horizontal="center" vertical="center"/>
      <protection locked="0"/>
    </xf>
    <xf numFmtId="0" fontId="12" fillId="0" borderId="5" xfId="0" applyFont="1" applyBorder="1" applyAlignment="1">
      <alignment horizontal="center" vertical="top"/>
    </xf>
    <xf numFmtId="0" fontId="12" fillId="0" borderId="6" xfId="0" applyFont="1" applyBorder="1" applyAlignment="1">
      <alignment horizontal="center" vertical="top"/>
    </xf>
    <xf numFmtId="0" fontId="12" fillId="0" borderId="5"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14" fontId="12" fillId="0" borderId="5" xfId="0" applyNumberFormat="1" applyFont="1" applyBorder="1" applyAlignment="1" applyProtection="1">
      <alignment horizontal="center" vertical="center" wrapText="1"/>
      <protection locked="0"/>
    </xf>
    <xf numFmtId="14" fontId="12" fillId="0" borderId="6" xfId="0" applyNumberFormat="1"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indent="3"/>
      <protection locked="0"/>
    </xf>
    <xf numFmtId="0" fontId="11" fillId="0" borderId="9" xfId="0" applyFont="1" applyBorder="1" applyAlignment="1" applyProtection="1">
      <alignment horizontal="left" vertical="center" indent="3"/>
      <protection locked="0"/>
    </xf>
    <xf numFmtId="0" fontId="11" fillId="0" borderId="4"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19" fillId="13" borderId="3" xfId="0" applyFont="1" applyFill="1" applyBorder="1" applyAlignment="1" applyProtection="1">
      <alignment horizontal="center" vertical="center"/>
      <protection locked="0"/>
    </xf>
    <xf numFmtId="0" fontId="19" fillId="13" borderId="8" xfId="0" applyFont="1" applyFill="1" applyBorder="1" applyAlignment="1" applyProtection="1">
      <alignment horizontal="center" vertical="center"/>
      <protection locked="0"/>
    </xf>
    <xf numFmtId="0" fontId="18" fillId="0" borderId="1" xfId="0" applyFont="1" applyBorder="1" applyAlignment="1">
      <alignment horizontal="center" vertical="center" wrapText="1"/>
    </xf>
    <xf numFmtId="0" fontId="16" fillId="0" borderId="1" xfId="0" applyFont="1" applyBorder="1" applyAlignment="1">
      <alignment horizontal="center"/>
    </xf>
    <xf numFmtId="0" fontId="26" fillId="0" borderId="1" xfId="0" applyFont="1" applyBorder="1" applyAlignment="1">
      <alignment horizontal="center" vertical="center" wrapText="1"/>
    </xf>
    <xf numFmtId="0" fontId="12" fillId="0" borderId="5" xfId="0" applyFont="1" applyBorder="1" applyAlignment="1">
      <alignment horizontal="left" vertical="top"/>
    </xf>
    <xf numFmtId="0" fontId="12" fillId="0" borderId="10" xfId="0" applyFont="1" applyBorder="1" applyAlignment="1">
      <alignment horizontal="left" vertical="top"/>
    </xf>
    <xf numFmtId="0" fontId="12" fillId="0" borderId="5" xfId="0" applyFont="1" applyBorder="1" applyAlignment="1">
      <alignment vertical="center" wrapText="1"/>
    </xf>
    <xf numFmtId="0" fontId="12" fillId="0" borderId="10" xfId="0" applyFont="1" applyBorder="1" applyAlignment="1">
      <alignment vertical="center" wrapText="1"/>
    </xf>
    <xf numFmtId="0" fontId="11" fillId="0" borderId="4"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14" fontId="18" fillId="0" borderId="1" xfId="0" applyNumberFormat="1" applyFont="1" applyBorder="1" applyAlignment="1">
      <alignment horizontal="center" vertical="center" wrapText="1"/>
    </xf>
    <xf numFmtId="0" fontId="12" fillId="0" borderId="6" xfId="0" applyFont="1" applyBorder="1" applyAlignment="1">
      <alignment vertical="center" wrapText="1"/>
    </xf>
    <xf numFmtId="0" fontId="11" fillId="0" borderId="7"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2" fillId="0" borderId="6" xfId="0" applyFont="1" applyBorder="1" applyAlignment="1">
      <alignment horizontal="left" vertical="top"/>
    </xf>
    <xf numFmtId="0" fontId="17" fillId="11" borderId="11" xfId="2" applyFont="1" applyFill="1" applyBorder="1" applyAlignment="1">
      <alignment horizontal="center" vertical="top"/>
    </xf>
    <xf numFmtId="0" fontId="17" fillId="10" borderId="11" xfId="2" applyFont="1" applyFill="1" applyBorder="1" applyAlignment="1">
      <alignment horizontal="center" vertical="top"/>
    </xf>
    <xf numFmtId="0" fontId="17" fillId="9" borderId="11" xfId="2" applyFont="1" applyFill="1" applyBorder="1" applyAlignment="1">
      <alignment horizontal="center" vertical="top"/>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26" xfId="0" applyFont="1" applyFill="1" applyBorder="1" applyAlignment="1" applyProtection="1">
      <alignment vertical="center" wrapText="1"/>
      <protection locked="0"/>
    </xf>
    <xf numFmtId="0" fontId="0" fillId="0" borderId="28" xfId="0" applyFill="1" applyBorder="1" applyAlignment="1">
      <alignment vertical="center" wrapText="1"/>
    </xf>
    <xf numFmtId="0" fontId="0" fillId="0" borderId="29" xfId="0" applyFill="1" applyBorder="1" applyAlignment="1">
      <alignment vertical="center" wrapText="1"/>
    </xf>
    <xf numFmtId="170" fontId="11" fillId="0" borderId="27" xfId="0" applyNumberFormat="1" applyFont="1" applyFill="1" applyBorder="1" applyAlignment="1" applyProtection="1">
      <alignment horizontal="center" vertical="center" wrapText="1"/>
      <protection locked="0"/>
    </xf>
    <xf numFmtId="0" fontId="0" fillId="0" borderId="0" xfId="0" applyFill="1" applyBorder="1" applyAlignment="1">
      <alignment wrapText="1"/>
    </xf>
    <xf numFmtId="0" fontId="0" fillId="0" borderId="30" xfId="0" applyFill="1" applyBorder="1" applyAlignment="1">
      <alignment wrapText="1"/>
    </xf>
    <xf numFmtId="0" fontId="1" fillId="0" borderId="19" xfId="0" applyFont="1" applyBorder="1"/>
  </cellXfs>
  <cellStyles count="84">
    <cellStyle name="Euro" xfId="5"/>
    <cellStyle name="Euro 2" xfId="32"/>
    <cellStyle name="Euro 2 2" xfId="63"/>
    <cellStyle name="Euro 3" xfId="46"/>
    <cellStyle name="Millares [0]" xfId="74" builtinId="6"/>
    <cellStyle name="Millares [0] 2" xfId="73"/>
    <cellStyle name="Millares [0] 2 2" xfId="82"/>
    <cellStyle name="Millares [0] 3" xfId="83"/>
    <cellStyle name="Millares 17" xfId="28"/>
    <cellStyle name="Millares 17 2" xfId="61"/>
    <cellStyle name="Millares 17 2 2" xfId="76"/>
    <cellStyle name="Millares 2" xfId="10"/>
    <cellStyle name="Millares 2 2" xfId="33"/>
    <cellStyle name="Millares 2 2 2" xfId="64"/>
    <cellStyle name="Millares 2 2 2 2" xfId="77"/>
    <cellStyle name="Millares 2 3" xfId="34"/>
    <cellStyle name="Millares 2 3 2" xfId="65"/>
    <cellStyle name="Millares 2 4" xfId="51"/>
    <cellStyle name="Millares 3" xfId="11"/>
    <cellStyle name="Millares 3 2" xfId="35"/>
    <cellStyle name="Millares 3 2 2" xfId="66"/>
    <cellStyle name="Millares 3 2 2 2" xfId="78"/>
    <cellStyle name="Millares 3 3" xfId="52"/>
    <cellStyle name="Millares 4" xfId="12"/>
    <cellStyle name="Millares 4 2" xfId="36"/>
    <cellStyle name="Millares 4 2 2" xfId="67"/>
    <cellStyle name="Millares 4 2 2 2" xfId="79"/>
    <cellStyle name="Millares 4 3" xfId="53"/>
    <cellStyle name="Millares 4 3 2" xfId="75"/>
    <cellStyle name="Millares 5" xfId="37"/>
    <cellStyle name="Millares 5 2" xfId="68"/>
    <cellStyle name="Millares 5 2 2" xfId="80"/>
    <cellStyle name="Millares 6" xfId="38"/>
    <cellStyle name="Millares 6 2" xfId="69"/>
    <cellStyle name="Millares 6 2 2" xfId="81"/>
    <cellStyle name="Normal" xfId="0" builtinId="0"/>
    <cellStyle name="Normal 10" xfId="4"/>
    <cellStyle name="Normal 2" xfId="2"/>
    <cellStyle name="Normal 2 2" xfId="7"/>
    <cellStyle name="Normal 2 2 2" xfId="48"/>
    <cellStyle name="Normal 2 3" xfId="6"/>
    <cellStyle name="Normal 2 3 2" xfId="47"/>
    <cellStyle name="Normal 3" xfId="13"/>
    <cellStyle name="Normal 3 2" xfId="25"/>
    <cellStyle name="Normal 3 2 2" xfId="60"/>
    <cellStyle name="Normal 4" xfId="14"/>
    <cellStyle name="Normal 4 2" xfId="19"/>
    <cellStyle name="Normal 4 2 2" xfId="20"/>
    <cellStyle name="Normal 4 2 2 2" xfId="57"/>
    <cellStyle name="Normal 4 3" xfId="26"/>
    <cellStyle name="Normal 4 4" xfId="54"/>
    <cellStyle name="Normal 5" xfId="18"/>
    <cellStyle name="Normal 5 2" xfId="21"/>
    <cellStyle name="Normal 5 2 2" xfId="39"/>
    <cellStyle name="Normal 5 3" xfId="29"/>
    <cellStyle name="Normal 5 3 2" xfId="40"/>
    <cellStyle name="Normal 5 4" xfId="41"/>
    <cellStyle name="Normal 5 5" xfId="56"/>
    <cellStyle name="Normal 6" xfId="22"/>
    <cellStyle name="Normal 6 2" xfId="30"/>
    <cellStyle name="Normal 6 2 2" xfId="62"/>
    <cellStyle name="Normal 7" xfId="27"/>
    <cellStyle name="Normal 7 2" xfId="31"/>
    <cellStyle name="Normal 8" xfId="42"/>
    <cellStyle name="Normal 8 2" xfId="70"/>
    <cellStyle name="Normal 9" xfId="43"/>
    <cellStyle name="Porcentaje" xfId="1" builtinId="5"/>
    <cellStyle name="Porcentaje 2" xfId="3"/>
    <cellStyle name="Porcentaje 2 2" xfId="9"/>
    <cellStyle name="Porcentaje 2 2 2" xfId="50"/>
    <cellStyle name="Porcentaje 3" xfId="17"/>
    <cellStyle name="Porcentaje 3 2" xfId="44"/>
    <cellStyle name="Porcentaje 3 2 2" xfId="71"/>
    <cellStyle name="Porcentaje 4" xfId="8"/>
    <cellStyle name="Porcentaje 4 2" xfId="49"/>
    <cellStyle name="Porcentual 2" xfId="15"/>
    <cellStyle name="Porcentual 2 2" xfId="23"/>
    <cellStyle name="Porcentual 2 2 2" xfId="58"/>
    <cellStyle name="Porcentual 2 3" xfId="55"/>
    <cellStyle name="Porcentual 3" xfId="16"/>
    <cellStyle name="Porcentual 3 2" xfId="24"/>
    <cellStyle name="Porcentual 3 2 2" xfId="59"/>
    <cellStyle name="Porcentual 4" xfId="45"/>
    <cellStyle name="Porcentual 4 2" xfId="72"/>
  </cellStyles>
  <dxfs count="1566">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alignment vertical="center" readingOrder="0"/>
    </dxf>
    <dxf>
      <alignment horizontal="center" readingOrder="0"/>
    </dxf>
    <dxf>
      <fill>
        <patternFill patternType="solid">
          <bgColor theme="6" tint="0.39997558519241921"/>
        </patternFill>
      </fill>
    </dxf>
    <dxf>
      <fill>
        <patternFill patternType="solid">
          <bgColor theme="6" tint="0.39997558519241921"/>
        </patternFill>
      </fill>
    </dxf>
    <dxf>
      <fill>
        <patternFill patternType="solid">
          <bgColor theme="9" tint="0.59999389629810485"/>
        </patternFill>
      </fill>
    </dxf>
    <dxf>
      <fill>
        <patternFill patternType="solid">
          <bgColor theme="9" tint="0.59999389629810485"/>
        </patternFill>
      </fill>
    </dxf>
    <dxf>
      <alignment vertical="center" readingOrder="0"/>
    </dxf>
    <dxf>
      <alignment vertical="center" readingOrder="0"/>
    </dxf>
    <dxf>
      <alignment vertical="top" readingOrder="0"/>
    </dxf>
    <dxf>
      <alignment vertical="top" readingOrder="0"/>
    </dxf>
    <dxf>
      <alignment horizontal="center" readingOrder="0"/>
    </dxf>
    <dxf>
      <alignment horizontal="center" readingOrder="0"/>
    </dxf>
    <dxf>
      <alignment horizontal="left" readingOrder="0"/>
    </dxf>
    <dxf>
      <alignment horizontal="left" readingOrder="0"/>
    </dxf>
    <dxf>
      <alignment wrapText="1" readingOrder="0"/>
    </dxf>
    <dxf>
      <alignment wrapText="1" readingOrder="0"/>
    </dxf>
    <dxf>
      <alignment wrapText="0" readingOrder="0"/>
    </dxf>
    <dxf>
      <alignment wrapText="0" readingOrder="0"/>
    </dxf>
    <dxf>
      <numFmt numFmtId="14" formatCode="0.0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2" formatCode="0.00000"/>
    </dxf>
    <dxf>
      <numFmt numFmtId="173" formatCode="0.000000"/>
    </dxf>
    <dxf>
      <numFmt numFmtId="2" formatCode="0.00"/>
    </dxf>
    <dxf>
      <numFmt numFmtId="174" formatCode="0.0"/>
    </dxf>
    <dxf>
      <numFmt numFmtId="2" formatCode="0.00"/>
    </dxf>
    <dxf>
      <numFmt numFmtId="167" formatCode="0.000"/>
    </dxf>
    <dxf>
      <numFmt numFmtId="168" formatCode="0.0000"/>
    </dxf>
    <dxf>
      <numFmt numFmtId="172" formatCode="0.00000"/>
    </dxf>
  </dxfs>
  <tableStyles count="0" defaultTableStyle="TableStyleMedium2" defaultPivotStyle="PivotStyleLight16"/>
  <colors>
    <mruColors>
      <color rgb="FF66FFFF"/>
      <color rgb="FFFFCCFF"/>
      <color rgb="FFFF9999"/>
      <color rgb="FFFF99FF"/>
      <color rgb="FFCCCCFF"/>
      <color rgb="FF99CCFF"/>
      <color rgb="FF66CCFF"/>
      <color rgb="FF99FFCC"/>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Eficacia del PAA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Dinámicas!$A$44:$L$44</c:f>
              <c:strCache>
                <c:ptCount val="2"/>
                <c:pt idx="0">
                  <c:v>Enero</c:v>
                </c:pt>
                <c:pt idx="1">
                  <c:v>Febrero</c:v>
                </c:pt>
              </c:strCache>
            </c:strRef>
          </c:cat>
          <c:val>
            <c:numRef>
              <c:f>Dinámicas!$A$45:$L$45</c:f>
              <c:numCache>
                <c:formatCode>0.00%</c:formatCode>
                <c:ptCount val="12"/>
                <c:pt idx="0">
                  <c:v>1</c:v>
                </c:pt>
                <c:pt idx="1">
                  <c:v>1</c:v>
                </c:pt>
              </c:numCache>
            </c:numRef>
          </c:val>
          <c:extLst>
            <c:ext xmlns:c16="http://schemas.microsoft.com/office/drawing/2014/chart" uri="{C3380CC4-5D6E-409C-BE32-E72D297353CC}">
              <c16:uniqueId val="{00000000-CB9A-4B1E-9CD2-252F50301894}"/>
            </c:ext>
          </c:extLst>
        </c:ser>
        <c:dLbls>
          <c:showLegendKey val="0"/>
          <c:showVal val="0"/>
          <c:showCatName val="0"/>
          <c:showSerName val="0"/>
          <c:showPercent val="0"/>
          <c:showBubbleSize val="0"/>
        </c:dLbls>
        <c:gapWidth val="150"/>
        <c:shape val="cylinder"/>
        <c:axId val="118122368"/>
        <c:axId val="118123904"/>
        <c:axId val="0"/>
      </c:bar3DChart>
      <c:catAx>
        <c:axId val="11812236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8123904"/>
        <c:crosses val="autoZero"/>
        <c:auto val="1"/>
        <c:lblAlgn val="ctr"/>
        <c:lblOffset val="100"/>
        <c:noMultiLvlLbl val="0"/>
      </c:catAx>
      <c:valAx>
        <c:axId val="1181239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81223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733425</xdr:colOff>
      <xdr:row>31</xdr:row>
      <xdr:rowOff>133350</xdr:rowOff>
    </xdr:from>
    <xdr:to>
      <xdr:col>20</xdr:col>
      <xdr:colOff>714375</xdr:colOff>
      <xdr:row>46</xdr:row>
      <xdr:rowOff>171450</xdr:rowOff>
    </xdr:to>
    <xdr:graphicFrame macro="">
      <xdr:nvGraphicFramePr>
        <xdr:cNvPr id="2" name="Gráfico 1">
          <a:extLst>
            <a:ext uri="{FF2B5EF4-FFF2-40B4-BE49-F238E27FC236}">
              <a16:creationId xmlns:a16="http://schemas.microsoft.com/office/drawing/2014/main" id="{6BA9BB7B-9B5D-4D27-B543-8E86AEFB2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552450</xdr:colOff>
      <xdr:row>0</xdr:row>
      <xdr:rowOff>38100</xdr:rowOff>
    </xdr:from>
    <xdr:to>
      <xdr:col>1</xdr:col>
      <xdr:colOff>3055142</xdr:colOff>
      <xdr:row>2</xdr:row>
      <xdr:rowOff>272029</xdr:rowOff>
    </xdr:to>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03.%20Plan%20Anual%20de%20Auditor&#237;as%202021%20-%20RES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A 2021 Versión 1 - Resumen"/>
      <sheetName val="Hoja2"/>
      <sheetName val="PARA PRESENTACIÓN"/>
      <sheetName val="Listas Desplegables"/>
    </sheetNames>
    <sheetDataSet>
      <sheetData sheetId="0" refreshError="1"/>
      <sheetData sheetId="1" refreshError="1"/>
      <sheetData sheetId="2" refreshError="1"/>
      <sheetData sheetId="3" refreshError="1"/>
      <sheetData sheetId="4">
        <row r="4">
          <cell r="A4" t="str">
            <v>Auditoría</v>
          </cell>
          <cell r="B4" t="str">
            <v>CRITERIO1</v>
          </cell>
        </row>
        <row r="5">
          <cell r="A5" t="str">
            <v>Adicionales</v>
          </cell>
          <cell r="B5" t="str">
            <v>CRITERIO2</v>
          </cell>
        </row>
        <row r="6">
          <cell r="A6" t="str">
            <v>Enfoque hacia la Prevención</v>
          </cell>
          <cell r="B6" t="str">
            <v>CRITERIO3</v>
          </cell>
        </row>
        <row r="7">
          <cell r="A7" t="str">
            <v>Evaluación de la Gestión del Riesgo</v>
          </cell>
          <cell r="B7" t="str">
            <v>CRITERIO4</v>
          </cell>
        </row>
        <row r="8">
          <cell r="A8" t="str">
            <v>Informes de Ley</v>
          </cell>
          <cell r="B8" t="str">
            <v>CRITERIO5</v>
          </cell>
        </row>
        <row r="9">
          <cell r="A9" t="str">
            <v>Liderazgo Estratégico</v>
          </cell>
          <cell r="B9" t="str">
            <v>CRITERIO6</v>
          </cell>
        </row>
        <row r="10">
          <cell r="A10" t="str">
            <v>Relación con entes de control externos</v>
          </cell>
          <cell r="B10" t="str">
            <v>CRITERIO7</v>
          </cell>
        </row>
        <row r="11">
          <cell r="A11" t="str">
            <v>Planes de Mejoramiento</v>
          </cell>
          <cell r="B11" t="str">
            <v>CRITERIO8</v>
          </cell>
        </row>
        <row r="19">
          <cell r="A19" t="str">
            <v>Auditor 6</v>
          </cell>
          <cell r="B19">
            <v>1</v>
          </cell>
        </row>
        <row r="20">
          <cell r="A20" t="str">
            <v>Elizabeth Sáenz Sáenz</v>
          </cell>
          <cell r="B20">
            <v>2</v>
          </cell>
        </row>
        <row r="21">
          <cell r="A21" t="str">
            <v>Kelly Serrano Rincón</v>
          </cell>
          <cell r="B21">
            <v>3</v>
          </cell>
        </row>
        <row r="22">
          <cell r="A22" t="str">
            <v>Andrea Sierra Ochoa</v>
          </cell>
          <cell r="B22">
            <v>4</v>
          </cell>
        </row>
        <row r="23">
          <cell r="A23" t="str">
            <v>Andrés Farias Pinzón</v>
          </cell>
          <cell r="B23">
            <v>5</v>
          </cell>
        </row>
        <row r="24">
          <cell r="A24" t="str">
            <v>Marcela Urrea Jaramillo</v>
          </cell>
          <cell r="B24">
            <v>6</v>
          </cell>
        </row>
        <row r="25">
          <cell r="A25" t="str">
            <v>Joan Gaitán Ferrer</v>
          </cell>
          <cell r="B25">
            <v>7</v>
          </cell>
        </row>
        <row r="26">
          <cell r="A26" t="str">
            <v>Carlos Vargas Hernández</v>
          </cell>
          <cell r="B26">
            <v>8</v>
          </cell>
        </row>
        <row r="27">
          <cell r="A27" t="str">
            <v>Ivonne Andrea Torres Cruz</v>
          </cell>
          <cell r="B27">
            <v>9</v>
          </cell>
        </row>
        <row r="139">
          <cell r="A139" t="str">
            <v>Gestión Estratégica</v>
          </cell>
        </row>
        <row r="140">
          <cell r="A140" t="str">
            <v>Prevención del Daño Antijurídico y Representación Judicial</v>
          </cell>
        </row>
        <row r="141">
          <cell r="A141" t="str">
            <v xml:space="preserve">Gestión de Comunicaciones </v>
          </cell>
        </row>
        <row r="142">
          <cell r="A142" t="str">
            <v>Gestión del Talento Humano</v>
          </cell>
        </row>
        <row r="143">
          <cell r="A143" t="str">
            <v>Gestión Tecnología de la Información y Comunicaciones</v>
          </cell>
        </row>
        <row r="144">
          <cell r="A144" t="str">
            <v>Reasentamientos Humanos</v>
          </cell>
        </row>
        <row r="145">
          <cell r="A145" t="str">
            <v>Urbanizaciones y Titulación</v>
          </cell>
        </row>
        <row r="146">
          <cell r="A146" t="str">
            <v>Mejoramiento de Barrios</v>
          </cell>
        </row>
        <row r="147">
          <cell r="A147" t="str">
            <v>Mejoramiento de Vivienda</v>
          </cell>
        </row>
        <row r="148">
          <cell r="A148" t="str">
            <v xml:space="preserve">Servicio al Ciudadano </v>
          </cell>
        </row>
        <row r="149">
          <cell r="A149" t="str">
            <v>Gestión Administrativa</v>
          </cell>
        </row>
        <row r="150">
          <cell r="A150" t="str">
            <v>Gestión Documental</v>
          </cell>
        </row>
        <row r="151">
          <cell r="A151" t="str">
            <v>Gestión Financiera</v>
          </cell>
        </row>
        <row r="152">
          <cell r="A152" t="str">
            <v>Adquisición de Bienes y Servicios</v>
          </cell>
        </row>
        <row r="153">
          <cell r="A153" t="str">
            <v>Evaluación de la Gestión</v>
          </cell>
        </row>
        <row r="154">
          <cell r="A154" t="str">
            <v>Gestión del Control Interno Disciplinario</v>
          </cell>
        </row>
        <row r="155">
          <cell r="A155" t="str">
            <v>Todos los Procesos</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Ivonne Andrea Torres Cruz" refreshedDate="44291.827837384262" createdVersion="6" refreshedVersion="6" minRefreshableVersion="3" recordCount="208">
  <cacheSource type="worksheet">
    <worksheetSource ref="A18:AJ226" sheet="PAA 2021 Versión 2"/>
  </cacheSource>
  <cacheFields count="36">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71">
      <sharedItems containsString="0" containsBlank="1" containsNumber="1" minValue="1E-3" maxValue="0.03"/>
    </cacheField>
    <cacheField name="Fecha  de Cierre de la Actividad " numFmtId="169">
      <sharedItems containsNonDate="0" containsDate="1" containsString="0" containsBlank="1" minDate="2021-01-05T00:00:00" maxDate="2021-03-3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0">
      <sharedItems containsSemiMixedTypes="0" containsString="0" containsNumber="1" minValue="0" maxValue="2.9999999999999995E-2"/>
    </cacheField>
    <cacheField name="diferencia" numFmtId="10">
      <sharedItems containsSemiMixedTypes="0" containsString="0" containsNumber="1" minValue="0" maxValue="0.02"/>
    </cacheField>
    <cacheField name="TERMINA MES" numFmtId="41">
      <sharedItems containsString="0" containsBlank="1" containsNumber="1" containsInteger="1" minValue="1" maxValue="12" count="13">
        <n v="1"/>
        <n v="12"/>
        <n v="2"/>
        <n v="3"/>
        <n v="4"/>
        <n v="9"/>
        <n v="5"/>
        <n v="6"/>
        <n v="8"/>
        <n v="7"/>
        <n v="10"/>
        <n v="11"/>
        <m/>
      </sharedItems>
    </cacheField>
    <cacheField name="días" numFmtId="41">
      <sharedItems containsString="0" containsBlank="1" containsNumber="1" containsInteger="1" minValue="2" maxValue="340"/>
    </cacheField>
    <cacheField name="31-mar-2021" numFmtId="41">
      <sharedItems containsString="0" containsBlank="1" containsNumber="1" containsInteger="1" minValue="-273" maxValue="112"/>
    </cacheField>
    <cacheField name="%" numFmtId="10">
      <sharedItems containsString="0" containsBlank="1" containsNumber="1" minValue="-81" maxValue="43"/>
    </cacheField>
    <cacheField name="lo que debería llevar" numFmtId="10">
      <sharedItems containsString="0" containsBlank="1" containsNumber="1" minValue="-0.26222222222222225" maxValue="0.215"/>
    </cacheField>
    <cacheField name="Eficacia" numFmtId="10">
      <sharedItems containsString="0" containsBlank="1" containsNumber="1" minValue="-0.21" maxValue="0.26222222222222225"/>
    </cacheField>
    <cacheField name="ESTADO" numFmtId="0">
      <sharedItems containsBlank="1" count="6">
        <s v="CUMPLIDA"/>
        <s v="ATRASADA"/>
        <m/>
        <s v="EN EJECUCIÓN"/>
        <s v="VENCIDA"/>
        <s v="SE ELIMI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s v="Informe de seguimiento a la Sostenibilidad Contable - Resolución DDC-00003 del 05 de diciembre de 2018 - corte al 30Sep2020"/>
    <s v="Gestión Financiera"/>
    <s v="Apoyo"/>
    <s v="Ivonne Andrea Torres Cruz_x000a_Asesora de Control Interno"/>
    <s v="Marcela Urrea Jaramillo"/>
    <s v="Subdirector Financiero"/>
    <d v="2020-12-09T00:00:00"/>
    <d v="2021-01-08T00:00:0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x v="0"/>
    <n v="30"/>
    <n v="112"/>
    <n v="3.7333333333333334"/>
    <n v="7.4666666666666666E-3"/>
    <n v="-5.4666666666666665E-3"/>
    <x v="0"/>
  </r>
  <r>
    <x v="1"/>
    <s v="Revisión y formulación 2021 del Plan Anticorrucpión y de Atención al Ciudadano y Mapa de Riesgos por proceso y de corrupción - proceso de Evaluación de la Gestión"/>
    <s v="Evaluación de la Gestión"/>
    <s v="Seguimiento y Evaluación"/>
    <s v="Ivonne Andrea Torres Cruz_x000a_Asesora de Control Interno"/>
    <s v="Kelly Serrano Rincón"/>
    <s v="Asesor de Control Interno"/>
    <d v="2020-12-09T00:00:00"/>
    <d v="2021-01-21T00:00:00"/>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x v="0"/>
    <n v="43"/>
    <n v="112"/>
    <n v="2.6046511627906979"/>
    <n v="2.6046511627906978E-2"/>
    <n v="-1.6046511627906979E-2"/>
    <x v="0"/>
  </r>
  <r>
    <x v="2"/>
    <s v="Seguimiento al Plan de Acción de Gestión - Plan Anual de Auditorías - FUSS - Parágrafo 1, Artículo 38 - Decreto 807 de 2019"/>
    <s v="Evaluación de la Gestión"/>
    <s v="Seguimiento y Evaluación"/>
    <s v="Ivonne Andrea Torres Cruz_x000a_Asesora de Control Interno"/>
    <s v="Andrés Farias Pinzón"/>
    <s v="Asesor de Control Interno"/>
    <d v="2020-12-22T00:00:00"/>
    <d v="2021-01-05T00:00:00"/>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x v="0"/>
    <n v="14"/>
    <n v="99"/>
    <n v="7.0714285714285712"/>
    <n v="2.1214285714285713E-2"/>
    <n v="-1.8214285714285714E-2"/>
    <x v="0"/>
  </r>
  <r>
    <x v="1"/>
    <s v="Evaluación Matriz de riesgos de corrupción y por proceso 2020. Decreto 124 de 2016"/>
    <s v="Todos los Procesos"/>
    <s v="Todos los Procesos"/>
    <s v="Ivonne Andrea Torres Cruz_x000a_Asesora de Control Interno"/>
    <s v="Kelly Serrano Rinc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x v="0"/>
    <n v="17"/>
    <n v="93"/>
    <n v="5.4705882352941178"/>
    <n v="8.7529411764705883E-2"/>
    <n v="-7.1529411764705883E-2"/>
    <x v="0"/>
  </r>
  <r>
    <x v="1"/>
    <s v="Evaluación Plan Anticorrupción y de Atención al Ciudadano 2020. Decreto 124 de 2016"/>
    <s v="Todos los Procesos"/>
    <s v="Todos los Procesos"/>
    <s v="Ivonne Andrea Torres Cruz_x000a_Asesora de Control Interno"/>
    <s v="Andrés Farias Pinzón"/>
    <s v="Líderes de Cada Proceso"/>
    <d v="2020-12-28T00:00:00"/>
    <d v="2021-01-14T00:00:00"/>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x v="0"/>
    <n v="17"/>
    <n v="93"/>
    <n v="5.4705882352941178"/>
    <n v="8.7529411764705883E-2"/>
    <n v="-7.1529411764705883E-2"/>
    <x v="0"/>
  </r>
  <r>
    <x v="3"/>
    <s v="Evaluación independiente del estado del Sistema de Control Interno. Artículo 9 Ley 1474 de 2011, modificado por el Artículo 156 del Decreto Nacional 2106 de 2019. Circular Externa 100-006 de 2019. Elaborado según metodología del DAFP"/>
    <s v="Todos los Procesos"/>
    <s v="Todos los Procesos"/>
    <s v="Ivonne Andrea Torres Cruz_x000a_Asesora de Control Interno"/>
    <s v="Kelly Serrano Rincón"/>
    <s v="Líderes de Cada Proceso"/>
    <d v="2020-12-29T00:00:00"/>
    <d v="2021-01-22T00:00:00"/>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x v="0"/>
    <n v="24"/>
    <n v="92"/>
    <n v="3.8333333333333335"/>
    <n v="5.7500000000000002E-2"/>
    <n v="-4.2500000000000003E-2"/>
    <x v="0"/>
  </r>
  <r>
    <x v="3"/>
    <s v="Elaborar informe de cumplimiento del plan de trabajo del Comité Institucional de Coordinación de Control Interno - CICCI 2020 para entregar a los miembros del comité"/>
    <s v="Evaluación de la Gestión"/>
    <s v="Seguimiento y Evaluación"/>
    <s v="Ivonne Andrea Torres Cruz_x000a_Asesora de Control Interno"/>
    <s v="Joan Gaitán Ferrer"/>
    <s v="Asesor de Control Interno"/>
    <d v="2021-01-04T00:00:00"/>
    <d v="2021-01-06T00:00:00"/>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x v="0"/>
    <n v="2"/>
    <n v="86"/>
    <n v="43"/>
    <n v="0.215"/>
    <n v="-0.21"/>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Prevención del Daño Antijurídico y Representación Judicial"/>
    <s v="Estratégico"/>
    <s v="Ivonne Andrea Torres Cruz_x000a_Asesora de Control Interno"/>
    <s v="Joan Gaitán Ferrer"/>
    <s v="Director Jurídico "/>
    <d v="2021-01-04T00:00:00"/>
    <d v="2021-01-07T00:00:00"/>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x v="0"/>
    <n v="3"/>
    <n v="86"/>
    <n v="28.666666666666668"/>
    <n v="2.866666666666667E-2"/>
    <n v="-2.7666666666666669E-2"/>
    <x v="0"/>
  </r>
  <r>
    <x v="0"/>
    <s v="Revisión del informe de gestión judicial, según los términos del Artículo 30 de la Resolución 104 de 2018"/>
    <s v="Prevención del Daño Antijurídico y Representación Judicial"/>
    <s v="Estratégico"/>
    <s v="Ivonne Andrea Torres Cruz_x000a_Asesora de Control Interno"/>
    <s v="Andrea Sierra Ochoa"/>
    <s v="Director Jurídico "/>
    <d v="2021-01-04T00:00:00"/>
    <d v="2021-01-08T00:00:0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x v="0"/>
    <n v="4"/>
    <n v="86"/>
    <n v="21.5"/>
    <n v="5.3749999999999999E-2"/>
    <n v="-5.1249999999999997E-2"/>
    <x v="0"/>
  </r>
  <r>
    <x v="2"/>
    <s v="Trámite de cuentas de ACI"/>
    <s v="Evaluación de la Gestión"/>
    <s v="Seguimiento y Evaluación"/>
    <s v="Ivonne Andrea Torres Cruz_x000a_Asesora de Control Interno"/>
    <s v="Andrés Farias Pinzón"/>
    <s v="Asesor de Control Interno"/>
    <d v="2021-01-04T00:00:00"/>
    <d v="2021-01-08T00:00:0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x v="0"/>
    <n v="4"/>
    <n v="86"/>
    <n v="21.5"/>
    <n v="6.4500000000000002E-2"/>
    <n v="-6.1499999999999999E-2"/>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01-04T00:00:00"/>
    <d v="2021-01-12T00:00:00"/>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x v="0"/>
    <n v="8"/>
    <n v="86"/>
    <n v="10.75"/>
    <n v="3.2250000000000001E-2"/>
    <n v="-2.9250000000000002E-2"/>
    <x v="0"/>
  </r>
  <r>
    <x v="4"/>
    <s v="Informe cuenta mensual SIVICOF"/>
    <s v="Gestión Financiera"/>
    <s v="Apoyo"/>
    <s v="Ivonne Andrea Torres Cruz_x000a_Asesora de Control Interno"/>
    <s v="Carlos Vargas Hernández"/>
    <s v="Subdirector Financiero"/>
    <d v="2021-01-04T00:00:00"/>
    <d v="2021-01-13T00:00:00"/>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x v="0"/>
    <n v="9"/>
    <n v="86"/>
    <n v="9.5555555555555554"/>
    <n v="9.555555555555555E-3"/>
    <n v="-8.5555555555555558E-3"/>
    <x v="0"/>
  </r>
  <r>
    <x v="0"/>
    <s v="Informe presupuestal a Personería"/>
    <s v="Gestión Financiera"/>
    <s v="Apoyo"/>
    <s v="Ivonne Andrea Torres Cruz_x000a_Asesora de Control Interno"/>
    <s v="Elizabeth Sáenz Sáenz"/>
    <s v="Subdirector Financiero"/>
    <d v="2021-01-04T00:00:00"/>
    <d v="2021-01-13T00:00:00"/>
    <m/>
    <m/>
    <m/>
    <m/>
    <m/>
    <m/>
    <m/>
    <m/>
    <m/>
    <m/>
    <m/>
    <m/>
    <s v="Informe"/>
    <n v="1E-3"/>
    <d v="2021-01-15T00:00:00"/>
    <s v="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x v="0"/>
    <n v="9"/>
    <n v="86"/>
    <n v="9.5555555555555554"/>
    <n v="9.555555555555555E-3"/>
    <n v="-8.5555555555555558E-3"/>
    <x v="0"/>
  </r>
  <r>
    <x v="1"/>
    <s v="Verificación de la oportunidad en la entrega de las herramientas de gestión de la CVP: Seguimiento a la Gestión por Procesos - Indicadores de Gestión, PAAC y mapa de riesgos"/>
    <s v="Todos los Procesos"/>
    <s v="Todos los Procesos"/>
    <s v="Ivonne Andrea Torres Cruz_x000a_Asesora de Control Interno"/>
    <s v="Andrés Farias Pinzón"/>
    <s v="Líderes de Cada Proceso"/>
    <d v="2021-01-04T00:00:00"/>
    <d v="2021-01-18T00:00:00"/>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x v="0"/>
    <n v="14"/>
    <n v="86"/>
    <n v="6.1428571428571432"/>
    <n v="3.0714285714285718E-2"/>
    <n v="-2.5714285714285717E-2"/>
    <x v="0"/>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Andrea Sierra Ochoa"/>
    <s v="Asesor de Control Interno"/>
    <d v="2021-01-04T00:00:00"/>
    <d v="2021-12-10T00:00:00"/>
    <m/>
    <m/>
    <m/>
    <m/>
    <m/>
    <m/>
    <m/>
    <m/>
    <m/>
    <m/>
    <m/>
    <m/>
    <s v="Memorandos y/o Oficios"/>
    <n v="2E-3"/>
    <m/>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
    <s v="Asignación de actividad"/>
    <n v="1E-4"/>
    <n v="1.9E-3"/>
    <x v="1"/>
    <n v="340"/>
    <n v="86"/>
    <n v="0.25294117647058822"/>
    <n v="5.0588235294117643E-4"/>
    <n v="-4.0588235294117644E-4"/>
    <x v="1"/>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Auditor 6"/>
    <s v="Asesor de Control Interno"/>
    <d v="2021-01-04T00:00:00"/>
    <d v="2021-12-10T00:00:00"/>
    <m/>
    <m/>
    <m/>
    <m/>
    <m/>
    <m/>
    <m/>
    <m/>
    <m/>
    <m/>
    <m/>
    <m/>
    <s v="Memorandos y/o Oficios"/>
    <m/>
    <m/>
    <m/>
    <s v="No hay otro auditor, por lo tanto esta actividad no se ha desarrollado para esta persona"/>
    <m/>
    <n v="0"/>
    <n v="0"/>
    <x v="1"/>
    <n v="340"/>
    <n v="86"/>
    <n v="0.25294117647058822"/>
    <n v="0"/>
    <n v="0"/>
    <x v="2"/>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Carlos Vargas Hernández"/>
    <s v="Asesor de Control Interno"/>
    <d v="2021-01-04T00:00:00"/>
    <d v="2021-12-10T00:00:00"/>
    <m/>
    <m/>
    <m/>
    <m/>
    <m/>
    <m/>
    <m/>
    <m/>
    <m/>
    <m/>
    <m/>
    <m/>
    <s v="Memorandos y/o Oficios"/>
    <n v="2E-3"/>
    <m/>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
    <s v="Asignación de actividad"/>
    <n v="5.0588235294117643E-4"/>
    <n v="1.4941176470588237E-3"/>
    <x v="1"/>
    <n v="340"/>
    <n v="86"/>
    <n v="0.25294117647058822"/>
    <n v="5.0588235294117643E-4"/>
    <n v="0"/>
    <x v="3"/>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Joan Gaitán Ferrer"/>
    <s v="Asesor de Control Interno"/>
    <d v="2021-01-04T00:00:00"/>
    <d v="2021-12-10T00:00:00"/>
    <m/>
    <m/>
    <m/>
    <m/>
    <m/>
    <m/>
    <m/>
    <m/>
    <m/>
    <m/>
    <m/>
    <m/>
    <s v="Memorandos y/o Oficios"/>
    <n v="2E-3"/>
    <m/>
    <s v="10. DP: Sol info por correo electrónico sobre el cto 459-2014 San Martín de Loba, La Contraloría hace otra solicitud con oficio  202117000029772 del 12Mar. Se solicita prórroga 202111200029991 y se da Rta con oficio 202115000032861 del 17Mar."/>
    <s v="10. DP: Sol info por correo electrónico sobre el cto 459-2014 San Martín de Loba, La Contraloría hace otra solicitud con oficio  202117000029772 del 12Mar. Se solicita prórroga 202111200029991 y se da Rta con oficio 202115000032861 del 17Mar."/>
    <s v="Asignación de actividad"/>
    <n v="5.0588235294117643E-4"/>
    <n v="1.4941176470588237E-3"/>
    <x v="1"/>
    <n v="340"/>
    <n v="86"/>
    <n v="0.25294117647058822"/>
    <n v="5.0588235294117643E-4"/>
    <n v="0"/>
    <x v="3"/>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Kelly Serrano Rincón"/>
    <s v="Asesor de Control Interno"/>
    <d v="2021-01-04T00:00:00"/>
    <d v="2021-12-10T00:00:00"/>
    <m/>
    <m/>
    <m/>
    <m/>
    <m/>
    <m/>
    <m/>
    <m/>
    <m/>
    <m/>
    <m/>
    <m/>
    <s v="Memorandos y/o Oficios"/>
    <n v="2E-3"/>
    <m/>
    <s v="1. DP: La veeduría solicitó diligenciar encuesta sobre los temas a capacitar a los jefes OCI en 2021. Elizabeth e IATC diligenciaron el formulario de google con la información que dieron todos los auditores."/>
    <s v="1. DP: La veeduría solicitó diligenciar encuesta sobre los temas a capacitar a los jefes OCI en 2021. Elizabeth e IATC diligenciaron el formulario de google con la información que dieron todos los auditores."/>
    <s v="Asignación de actividad"/>
    <n v="5.0588235294117643E-4"/>
    <n v="1.4941176470588237E-3"/>
    <x v="1"/>
    <n v="340"/>
    <n v="86"/>
    <n v="0.25294117647058822"/>
    <n v="5.0588235294117643E-4"/>
    <n v="0"/>
    <x v="3"/>
  </r>
  <r>
    <x v="5"/>
    <s v="Dar respuesta a derechos de petición, solicitudes de información de partes interesadas y emitir conceptos y pronunciamienos de competencia de la Asesoría de Control Interno"/>
    <s v="Evaluación de la Gestión"/>
    <s v="Seguimiento y Evaluación"/>
    <s v="Ivonne Andrea Torres Cruz_x000a_Asesora de Control Interno"/>
    <s v="Marcela Urrea Jaramillo"/>
    <s v="Asesor de Control Interno"/>
    <d v="2021-01-04T00:00:00"/>
    <d v="2021-12-10T00:00:00"/>
    <m/>
    <m/>
    <m/>
    <m/>
    <m/>
    <m/>
    <m/>
    <m/>
    <m/>
    <m/>
    <m/>
    <m/>
    <s v="Memorandos y/o Oficios"/>
    <n v="2E-3"/>
    <m/>
    <s v="1. DP de exfuncionaria, que se le contestó el 31Dic2020, ella dio respuesta el 21ene2021 entregando documentos que están para trámite de entrega en la Subdirección Administrativa. Ruta: \\10.216.160.201\control interno\2020\00. APOYO\10. DP\73. Graciela"/>
    <s v="1. DP de exfuncionaria, que se le contestó el 31Dic2020, ella dio respuesta el 21ene2021 entregando documentos que están para trámite de entrega en la Subdirección Administrativa. Ruta: \\10.216.160.201\control interno\2020\00. APOYO\10. DP\73. Graciela"/>
    <s v="Asignación de actividad"/>
    <n v="5.0588235294117643E-4"/>
    <n v="1.4941176470588237E-3"/>
    <x v="1"/>
    <n v="340"/>
    <n v="86"/>
    <n v="0.25294117647058822"/>
    <n v="5.0588235294117643E-4"/>
    <n v="0"/>
    <x v="3"/>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1-01-04T00:00:00"/>
    <d v="2021-12-10T00:00:00"/>
    <m/>
    <m/>
    <m/>
    <m/>
    <m/>
    <m/>
    <m/>
    <m/>
    <m/>
    <m/>
    <m/>
    <m/>
    <s v="Acta"/>
    <n v="2.5000000000000001E-3"/>
    <m/>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
    <s v="Planeación del trabajo"/>
    <n v="3.7500000000000001E-4"/>
    <n v="2.1250000000000002E-3"/>
    <x v="1"/>
    <n v="340"/>
    <n v="86"/>
    <n v="0.25294117647058822"/>
    <n v="6.3235294117647061E-4"/>
    <n v="-2.5735294117647061E-4"/>
    <x v="3"/>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Carlos Vargas Hernández"/>
    <s v="Líderes de Cada Proceso"/>
    <d v="2021-01-04T00:00:00"/>
    <d v="2021-12-10T00:00:00"/>
    <m/>
    <m/>
    <m/>
    <m/>
    <m/>
    <m/>
    <m/>
    <m/>
    <m/>
    <m/>
    <m/>
    <m/>
    <s v="Acta"/>
    <n v="2.5000000000000001E-3"/>
    <m/>
    <m/>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
    <s v="Planeación del trabajo"/>
    <n v="3.7500000000000001E-4"/>
    <n v="2.1250000000000002E-3"/>
    <x v="1"/>
    <n v="340"/>
    <n v="86"/>
    <n v="0.25294117647058822"/>
    <n v="6.3235294117647061E-4"/>
    <n v="-2.5735294117647061E-4"/>
    <x v="3"/>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Kelly Serrano Rincón"/>
    <s v="Líderes de Cada Proceso"/>
    <d v="2021-01-04T00:00:00"/>
    <d v="2021-12-10T00:00:00"/>
    <m/>
    <m/>
    <m/>
    <m/>
    <m/>
    <m/>
    <m/>
    <m/>
    <m/>
    <m/>
    <m/>
    <m/>
    <s v="Acta"/>
    <n v="2.5000000000000001E-3"/>
    <m/>
    <m/>
    <s v="04Ene: Comité directivo_x000a_29Ene: Comité directivo donde se aprobaron los 12 planes del Dec 612"/>
    <s v="Planeación del trabajo"/>
    <n v="3.7500000000000001E-4"/>
    <n v="2.1250000000000002E-3"/>
    <x v="1"/>
    <n v="340"/>
    <n v="86"/>
    <n v="0.25294117647058822"/>
    <n v="6.3235294117647061E-4"/>
    <n v="-2.5735294117647061E-4"/>
    <x v="3"/>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1-01-04T00:00:00"/>
    <d v="2021-12-10T00:00:00"/>
    <m/>
    <m/>
    <m/>
    <m/>
    <m/>
    <m/>
    <m/>
    <m/>
    <m/>
    <m/>
    <m/>
    <m/>
    <s v="Acta"/>
    <n v="2.5000000000000001E-3"/>
    <m/>
    <m/>
    <s v="18Ene: Instancia técnica de bienes inmuebles_x000a_28Ene: Comité de seguimiento financiero donde expusieron estados de Tesorería de dic2020; rendimientos financieros bancos; Informe de gestión del comité año 2020; Avance embargo UGPP y cronograma de reuniones CSF 2021._x000a_04Feb: Mesa de trabajo para la gestión de bienes muebles. Temas: Socialización marco normativo de operación de la instancia de apoyo técnico y Presentación del informe de indicios de deterioro de bienes muebles_x000a_18Feb: Comité de seguimiento financiero donde expusieron el caso del embargo de la UGPP, estado de tesorería y el informe de excedentes financieros_x000a_26Feb: Comité Distrital de Auditoría - CDA : Revisión, priorización y definición de temas a abordar en los CDA durante la vigencia 2021_x000a_18Mar: Comité de seguimiento financiero donde se realizó seg a los compromisos adquiridos, se presentó el estado de tesorería de feb e  Info sobre rend finan (comport Tasas de int)."/>
    <s v="Planeación del trabajo"/>
    <n v="3.7500000000000001E-4"/>
    <n v="2.1250000000000002E-3"/>
    <x v="1"/>
    <n v="340"/>
    <n v="86"/>
    <n v="0.25294117647058822"/>
    <n v="6.3235294117647061E-4"/>
    <n v="-2.5735294117647061E-4"/>
    <x v="3"/>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Carlos Vargas Hernández"/>
    <s v="Subdirector Administrativo"/>
    <d v="2021-01-05T00:00:00"/>
    <d v="2021-01-27T00:00:00"/>
    <m/>
    <m/>
    <m/>
    <m/>
    <m/>
    <m/>
    <m/>
    <m/>
    <m/>
    <m/>
    <m/>
    <m/>
    <s v="Informe"/>
    <n v="7.4999999999999997E-3"/>
    <d v="2021-01-29T00:00:00"/>
    <s v="202111200000613 del 06ene2021 Solicitud Información_x000a_202111200005403 del 29Ene2021 entrega del informe y publicación en la página web de la entidad_x000a_Ruta: \\10.216.160.201\control interno\2021\19.04 INF.  DE GESTIÓN\AUSTERIDAD\IV TRIM 2020"/>
    <s v="Se solicitó la información a la cual dieron respuesta y el informe se elaboró y fue entregado al los destinatarios con el memorando 202111200005403 del 29Ene2021. Se verificó su publicación en la página web de la entidad"/>
    <s v="Informe - Publicación (web,intranet y/o carpeta de calidad)"/>
    <n v="7.4999999999999989E-3"/>
    <n v="0"/>
    <x v="0"/>
    <n v="22"/>
    <n v="85"/>
    <n v="3.8636363636363638"/>
    <n v="2.8977272727272727E-2"/>
    <n v="-2.1477272727272727E-2"/>
    <x v="0"/>
  </r>
  <r>
    <x v="0"/>
    <s v="Informe de seguimiento a la Sostenibilidad Contable - Resolución DDC-00003 del 05 de diciembre de 2018 - corte al 31Dic2020"/>
    <s v="Gestión Financiera"/>
    <s v="Apoyo"/>
    <s v="Ivonne Andrea Torres Cruz_x000a_Asesora de Control Interno"/>
    <s v="Carlos Vargas Hernández"/>
    <s v="Subdirector Financiero"/>
    <d v="2021-01-05T00:00:00"/>
    <d v="2021-02-26T00:00:00"/>
    <m/>
    <m/>
    <m/>
    <m/>
    <m/>
    <m/>
    <m/>
    <m/>
    <m/>
    <m/>
    <m/>
    <m/>
    <s v="Informe"/>
    <n v="3.0000000000000001E-3"/>
    <d v="2021-02-26T00:00:00"/>
    <s v="Ruta: \\10.216.160.201\control interno\2021\19.04 INF.  DE GESTIÓN\MNC\4to Trim 2020_x000a_Ruta: \\10.216.160.201\control interno\2021\19.04 INF.  DE GESTIÓN\CONTROL INTERNO CONTABLE\05. Informes"/>
    <s v="Se solicitó información para ser entregada el 20Ene2021, la cual no fue entregada. Se realizó reunión con la Subdirección Financiera y su equipo, quienes indicaron que entregarán parcialmente la información desde el 25Ene2021 (primera entrega parcial a tiempo (202117100003673 Rta dada por Financiera)), sin embargo, el informe solo podrá elaborarse después del 16Feb2021, fecha en la cual harán entrega del resto de la información._x000a_Se cumplió con la misma información de la evaluación del sistema de control interno contable, informe qiue fue entregado al director general y Subdirectora Financiera el 26Feb (202111200010613)"/>
    <s v="Informe - Publicación (web,intranet y/o carpeta de calidad)"/>
    <n v="2.9999999999999996E-3"/>
    <n v="0"/>
    <x v="2"/>
    <n v="52"/>
    <n v="85"/>
    <n v="1.6346153846153846"/>
    <n v="4.9038461538461536E-3"/>
    <n v="-1.903846153846154E-3"/>
    <x v="0"/>
  </r>
  <r>
    <x v="2"/>
    <s v="Elaborar el informe de la Oficina de Control Interno vigencia 2020 - documento CBN 1038"/>
    <s v="Evaluación de la Gestión"/>
    <s v="Seguimiento y Evaluación"/>
    <s v="Ivonne Andrea Torres Cruz_x000a_Asesora de Control Interno"/>
    <s v="Joan Gaitán Ferrer"/>
    <s v="Asesor de Control Interno"/>
    <d v="2021-01-06T00:00:00"/>
    <d v="2021-01-18T00:00:00"/>
    <m/>
    <m/>
    <m/>
    <m/>
    <m/>
    <m/>
    <m/>
    <m/>
    <m/>
    <m/>
    <m/>
    <m/>
    <s v="Informe"/>
    <n v="1.2E-2"/>
    <d v="2021-01-31T00:00:00"/>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Informe elaborado y entregado por el profesional el 18Ene2021._x000a_Informe entregado al Director General con memorando 202111200005423 del 31Ene2021 y verificada su publicación en la página web de la entidad_x000a_Ruta: \\10.216.160.201\control interno\2021\19.04 INF.  DE GESTIÓN\DIRECTORES ASESORES Y JEFES\IVONNE ANDREA TORRES CRUZ"/>
    <s v="Entrega, publicación o socialización de resultados"/>
    <n v="1.2E-2"/>
    <n v="0"/>
    <x v="0"/>
    <n v="12"/>
    <n v="84"/>
    <n v="7"/>
    <n v="8.4000000000000005E-2"/>
    <n v="-7.2000000000000008E-2"/>
    <x v="0"/>
  </r>
  <r>
    <x v="3"/>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1-01-06T00:00:00"/>
    <d v="2021-03-26T00:00:00"/>
    <m/>
    <m/>
    <m/>
    <m/>
    <m/>
    <m/>
    <m/>
    <m/>
    <m/>
    <m/>
    <m/>
    <m/>
    <s v="Matriz"/>
    <n v="1.4999999999999999E-2"/>
    <m/>
    <s v="Ruta: \\10.216.160.201\control interno\2021\19.04 INF.  DE GESTIÓN\EVALUACIÓN POR DEPENDENCIAS 2020"/>
    <s v="Al 31Ene2021: Se revisó la metodología, se prepararon las diferentes solicitudes de información, las cuales fueron atendidas. Se organizó la carpeta compartida con la información con la que ya se cuenta. No se tiene información del PM interno, por lo que la evaluación no se puede desarrollar._x000a_Al 28Feb2021: Falta que la OAP haga entrega de los reportes de segplan del anterior PDD y que la contratista sea vinculada de nuevo a la entidad, la cual inició actividades el 01Mar2021._x000a_Al 31Mar2021:, se imprimió y analizó la información entregada por las diferentes dependencias. Se realizó el seguimiento al PM por procesos y fue entregado con memorando el 29Mar2021, lo cual permitió incluir la nformación en la evaluación de dependencias. Se terminó el ejercicio de evaluación de cada uno de los procesos, dejando listas las correspondientes evaluaciones y los memorandos a remitir a cada una de las dependencias, a la Subdirección Administrativa y a la Dirección General."/>
    <s v="Informe - Comunicación de envío"/>
    <n v="1.3650000000000001E-2"/>
    <n v="1.3499999999999988E-3"/>
    <x v="3"/>
    <n v="79"/>
    <n v="84"/>
    <n v="1.0632911392405062"/>
    <n v="1.5949367088607593E-2"/>
    <n v="-2.2993670886075918E-3"/>
    <x v="4"/>
  </r>
  <r>
    <x v="6"/>
    <s v="Seguimiento al Plan de Mejoramiento Externo - literal i; Artículo 2.2.21.4.9 del Decreto 1083 de 2015 y Artículo 10 de la Resolución reglamentaria 036 de 2019, expedida por la Contraloría de Bogotá"/>
    <s v="Todos los Procesos"/>
    <s v="Todos los Procesos"/>
    <s v="Ivonne Andrea Torres Cruz_x000a_Asesora de Control Interno"/>
    <s v="Kelly Serrano Rincón"/>
    <s v="Líderes de Cada Proceso"/>
    <d v="2021-01-08T00:00:00"/>
    <d v="2021-01-28T00:00:00"/>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x v="0"/>
    <n v="20"/>
    <n v="82"/>
    <n v="4.0999999999999996"/>
    <n v="8.199999999999999E-2"/>
    <n v="-6.1999999999999993E-2"/>
    <x v="0"/>
  </r>
  <r>
    <x v="3"/>
    <s v="Diseñar el plan de acción de Comité Institucional de Coordinación de Control Interno - CICCI 2021 y entregarlo a los miembros del comité para su revisión y posterior aprobación"/>
    <s v="Evaluación de la Gestión"/>
    <s v="Seguimiento y Evaluación"/>
    <s v="Ivonne Andrea Torres Cruz_x000a_Asesora de Control Interno"/>
    <s v="Joan Gaitán Ferrer"/>
    <s v="Asesor de Control Interno"/>
    <d v="2021-01-12T00:00:00"/>
    <d v="2021-01-18T00:00:00"/>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x v="0"/>
    <n v="6"/>
    <n v="78"/>
    <n v="13"/>
    <n v="6.5000000000000002E-2"/>
    <n v="-6.0000000000000005E-2"/>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1-12T00:00:00"/>
    <d v="2021-02-08T00:00:00"/>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x v="2"/>
    <n v="27"/>
    <n v="78"/>
    <n v="2.8888888888888888"/>
    <n v="1.4444444444444444E-2"/>
    <n v="-9.4444444444444428E-3"/>
    <x v="0"/>
  </r>
  <r>
    <x v="7"/>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s v="Servicio al Ciudadano "/>
    <s v="Misional"/>
    <s v="Ivonne Andrea Torres Cruz_x000a_Asesora de Control Interno"/>
    <s v="Marcela Urrea Jaramillo"/>
    <s v="Director de Gestión Corporativa y CID"/>
    <d v="2021-01-12T00:00:00"/>
    <d v="2021-03-12T00:00:00"/>
    <m/>
    <m/>
    <m/>
    <m/>
    <m/>
    <m/>
    <m/>
    <m/>
    <m/>
    <m/>
    <m/>
    <m/>
    <s v="Informe"/>
    <n v="2.5000000000000001E-3"/>
    <d v="2021-03-23T00:00:00"/>
    <s v="Ruta: \\10.216.160.201\control interno\2021\19.04 INF.  DE GESTIÓN\PQRDS\01. II Sem 2020_x000a__x000a_Ruta: \\10.216.160.201\control interno\2021\19.04 INF.  DE GESTIÓN\PQRDS\01. II Sem 2020\03. Inf. y memorando rem y publicado en:_x000a_https://www.cajaviviendapopular.gov.co/sites/default/files/Informe%20PQRSD%202do%20semestre%202020_0.pdf_x000a_El informe fue remitido a los lÍderes de los procesos con memorando 202111200018773 del 23Mar2021 y publicado en la página web de la Entidad. "/>
    <s v="Se solicitó la información, la cual fue entregada con oportunidad. La contratista quedó sin contrato, por lo que la elaboración del informe se reanudó el 10Feb, actualmente el informe está en elaboración._x000a_Se elaboró informe de seg. a las PQRSD atendiendo el art. 76 de la Ley 1474 y art. 3 del Decreto 371 de 2010; de la misma manera, el informe incluyó los RESULTADOS DE LA AUDITORÍA ESP. A LA PREST DEL SERV AL CIUD EN EL MARCO DE LA SITUAC DE CALAMIDAD PÚBLICA EN BTÁ, D.C. ORDENADA EN  DEC 087 2020 DE LA ALCALDÍA MYR BtÁ PARA EL PERÍODO COMPRENDIDO ENTRE EL 17 DE MAR Y 31 DE AGOST DE 2020._x000a_El informe fue remitido a los lideres de los procesos con memorando 202111200018773 del 23Mar2021 y publicado en la página web de la Entidad. "/>
    <s v="Informe Final - Publicación (web,intranet y/o carpeta de calidad)"/>
    <n v="2.5000000000000005E-3"/>
    <n v="0"/>
    <x v="3"/>
    <n v="59"/>
    <n v="78"/>
    <n v="1.3220338983050848"/>
    <n v="3.3050847457627118E-3"/>
    <n v="-8.0508474576271132E-4"/>
    <x v="0"/>
  </r>
  <r>
    <x v="2"/>
    <s v="Contratación 2021 contratistas ACI: Elaborar los estudios previos de los contratos de control interno, revisión de los documentos de los contratistas, radicación de las carpetas y apoyo en la suscripción de los contratos"/>
    <s v="Evaluación de la Gestión"/>
    <s v="Seguimiento y Evaluación"/>
    <s v="Ivonne Andrea Torres Cruz_x000a_Asesora de Control Interno"/>
    <s v="Joan Gaitán Ferrer"/>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x v="2"/>
    <n v="43"/>
    <n v="76"/>
    <n v="1.7674418604651163"/>
    <n v="8.8372093023255816E-3"/>
    <n v="-3.8372093023255815E-3"/>
    <x v="0"/>
  </r>
  <r>
    <x v="2"/>
    <s v="Contratación 2021 contratistas ACI: Elaborar los estudios previos de los contratos de control interno, verificación de la entrega y aprobación de la póliza y elaboración de las actas de inicio y cargue en el sistema secop"/>
    <s v="Evaluación de la Gestión"/>
    <s v="Seguimiento y Evaluación"/>
    <s v="Ivonne Andrea Torres Cruz_x000a_Asesora de Control Interno"/>
    <s v="Andrea Sierra Ochoa"/>
    <s v="Asesor de Control Interno"/>
    <d v="2021-01-14T00:00:00"/>
    <d v="2021-02-26T00:00:00"/>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x v="2"/>
    <n v="43"/>
    <n v="76"/>
    <n v="1.7674418604651163"/>
    <n v="8.8372093023255816E-3"/>
    <n v="-3.8372093023255815E-3"/>
    <x v="0"/>
  </r>
  <r>
    <x v="4"/>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s v="Todos los Procesos"/>
    <s v="Todos los Procesos"/>
    <s v="Ivonne Andrea Torres Cruz_x000a_Asesora de Control Interno"/>
    <s v="Carlos Vargas Hernández"/>
    <s v="Líderes de Cada Proceso"/>
    <d v="2021-01-15T00:00:00"/>
    <d v="2021-02-15T00:00:00"/>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x v="2"/>
    <n v="31"/>
    <n v="75"/>
    <n v="2.4193548387096775"/>
    <n v="2.4193548387096777E-2"/>
    <n v="-1.4193548387096777E-2"/>
    <x v="0"/>
  </r>
  <r>
    <x v="0"/>
    <s v="Formulación Plan Anual de Auditorías - Parágrafo 1 Artículo 38 - Decreto 807 de 2019"/>
    <s v="Evaluación de la Gestión"/>
    <s v="Seguimiento y Evaluación"/>
    <s v="Ivonne Andrea Torres Cruz_x000a_Asesora de Control Interno"/>
    <s v="Joan Gaitán Ferrer"/>
    <s v="Asesor de Control Interno"/>
    <d v="2021-01-18T00:00:00"/>
    <d v="2021-01-28T00:00:00"/>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x v="0"/>
    <n v="10"/>
    <n v="72"/>
    <n v="7.2"/>
    <n v="3.6000000000000004E-2"/>
    <n v="-3.1000000000000007E-2"/>
    <x v="0"/>
  </r>
  <r>
    <x v="2"/>
    <s v="Formulación de la Gestión por Procesos - Indicadores de Gestión - FUSS - Proceso Evaluación de la Gestión"/>
    <s v="Evaluación de la Gestión"/>
    <s v="Seguimiento y Evaluación"/>
    <s v="Ivonne Andrea Torres Cruz_x000a_Asesora de Control Interno"/>
    <s v="Joan Gaitán Ferrer"/>
    <s v="Asesor de Control Interno"/>
    <d v="2021-01-19T00:00:00"/>
    <d v="2021-01-26T00:00:00"/>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x v="0"/>
    <n v="7"/>
    <n v="71"/>
    <n v="10.142857142857142"/>
    <n v="3.0428571428571426E-2"/>
    <n v="-2.7428571428571427E-2"/>
    <x v="0"/>
  </r>
  <r>
    <x v="4"/>
    <s v="Elaborar Informe cuenta anual SIVICOF: CB-0402S - Plan de mejoramiento - Seguimiento Entidad"/>
    <s v="Todos los Procesos"/>
    <s v="Todos los Procesos"/>
    <s v="Ivonne Andrea Torres Cruz_x000a_Asesora de Control Interno"/>
    <s v="Carlos Vargas Hernández"/>
    <s v="Líderes de Cada Proceso"/>
    <d v="2021-01-19T00:00:00"/>
    <d v="2021-02-15T00:00:00"/>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x v="2"/>
    <n v="27"/>
    <n v="71"/>
    <n v="2.6296296296296298"/>
    <n v="5.2592592592592595E-3"/>
    <n v="-3.2592592592592595E-3"/>
    <x v="0"/>
  </r>
  <r>
    <x v="4"/>
    <s v="Elaborar Informe cuenta anual SIVICOF: CBN-1015 - Informe de Austeridad en el Gasto"/>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x v="2"/>
    <n v="27"/>
    <n v="71"/>
    <n v="2.6296296296296298"/>
    <n v="5.2592592592592595E-3"/>
    <n v="-3.2592592592592595E-3"/>
    <x v="0"/>
  </r>
  <r>
    <x v="4"/>
    <s v="Elaborar Informe cuenta anual SIVICOF: CBN-1016 - Informe sobre Detrimentos Patrimoniales"/>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x v="2"/>
    <n v="27"/>
    <n v="71"/>
    <n v="2.6296296296296298"/>
    <n v="5.2592592592592595E-3"/>
    <n v="-3.2592592592592595E-3"/>
    <x v="0"/>
  </r>
  <r>
    <x v="4"/>
    <s v="Elaborar Informe cuenta anual SIVICOF: CBN-1021 - Informe de Auditoría Externa"/>
    <s v="Evaluación de la Gestión"/>
    <s v="Seguimiento y Evaluación"/>
    <s v="Ivonne Andrea Torres Cruz_x000a_Asesora de Control Interno"/>
    <s v="Carlos Vargas Hernández"/>
    <s v="Asesor de Control Intern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x v="2"/>
    <n v="27"/>
    <n v="71"/>
    <n v="2.6296296296296298"/>
    <n v="5.2592592592592595E-3"/>
    <n v="-3.2592592592592595E-3"/>
    <x v="0"/>
  </r>
  <r>
    <x v="4"/>
    <s v="Elaborar Informe cuenta anual SIVICOF: CBN-1107 - Plan de Contingencia Institucional"/>
    <s v="Gestión Administrativa"/>
    <s v="Apoyo"/>
    <s v="Ivonne Andrea Torres Cruz_x000a_Asesora de Control Interno"/>
    <s v="Carlos Vargas Hernández"/>
    <s v="Subdirector Administrativo"/>
    <d v="2021-01-19T00:00:00"/>
    <d v="2021-02-15T00:00:00"/>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x v="2"/>
    <n v="27"/>
    <n v="71"/>
    <n v="2.6296296296296298"/>
    <n v="5.2592592592592595E-3"/>
    <n v="-3.2592592592592595E-3"/>
    <x v="0"/>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1-27T00:00:00"/>
    <d v="2021-02-02T00:00:00"/>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x v="2"/>
    <n v="6"/>
    <n v="63"/>
    <n v="10.5"/>
    <n v="3.15E-2"/>
    <n v="-2.8500000000000001E-2"/>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1-28T00:00:00"/>
    <d v="2021-02-02T00:00:00"/>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x v="2"/>
    <n v="5"/>
    <n v="62"/>
    <n v="12.4"/>
    <n v="1.2400000000000001E-2"/>
    <n v="-1.14E-2"/>
    <x v="0"/>
  </r>
  <r>
    <x v="2"/>
    <s v="Trámite de cuentas de ACI"/>
    <s v="Evaluación de la Gestión"/>
    <s v="Seguimiento y Evaluación"/>
    <s v="Ivonne Andrea Torres Cruz_x000a_Asesora de Control Interno"/>
    <s v="Andrés Farias Pinzón"/>
    <s v="Asesor de Control Interno"/>
    <d v="2021-02-01T00:00:00"/>
    <d v="2021-02-04T00:00:0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x v="2"/>
    <n v="3"/>
    <n v="58"/>
    <n v="19.333333333333332"/>
    <n v="5.7999999999999996E-2"/>
    <n v="-5.4999999999999993E-2"/>
    <x v="0"/>
  </r>
  <r>
    <x v="4"/>
    <s v="Informe cuenta mensual SIVICOF"/>
    <s v="Adquisición de Bienes y Servicios"/>
    <s v="Apoyo"/>
    <s v="Ivonne Andrea Torres Cruz_x000a_Asesora de Control Interno"/>
    <s v="Carlos Vargas Hernández"/>
    <s v="Director de Gestión Corporativa y CID"/>
    <d v="2021-02-01T00:00:00"/>
    <d v="2021-02-09T00:00:00"/>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x v="2"/>
    <n v="8"/>
    <n v="58"/>
    <n v="7.25"/>
    <n v="7.2500000000000004E-3"/>
    <n v="-6.2500000000000003E-3"/>
    <x v="0"/>
  </r>
  <r>
    <x v="0"/>
    <s v="Informe presupuestal a Personería"/>
    <s v="Gestión Financiera"/>
    <s v="Apoyo"/>
    <s v="Ivonne Andrea Torres Cruz_x000a_Asesora de Control Interno"/>
    <s v="Elizabeth Sáenz Sáenz"/>
    <s v="Subdirector Financiero"/>
    <d v="2021-02-01T00:00:00"/>
    <d v="2021-02-09T00:00:00"/>
    <m/>
    <m/>
    <m/>
    <m/>
    <m/>
    <m/>
    <m/>
    <m/>
    <m/>
    <m/>
    <m/>
    <m/>
    <s v="Informe"/>
    <n v="1E-3"/>
    <d v="2021-02-10T00:00:00"/>
    <s v="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Informe - Publicación (web,intranet y/o carpeta de calidad)"/>
    <n v="9.999999999999998E-4"/>
    <n v="0"/>
    <x v="2"/>
    <n v="8"/>
    <n v="58"/>
    <n v="7.25"/>
    <n v="7.2500000000000004E-3"/>
    <n v="-6.2500000000000003E-3"/>
    <x v="0"/>
  </r>
  <r>
    <x v="6"/>
    <s v="Asesoría en la formulación de planes de mejoramiento internos y en la modificación de las acciones ya propuestas"/>
    <s v="Evaluación de la Gestión"/>
    <s v="Seguimiento y Evaluación"/>
    <s v="Ivonne Andrea Torres Cruz_x000a_Asesora de Control Interno"/>
    <s v="Kelly Serrano Rincón"/>
    <s v="Asesor de Control Interno"/>
    <d v="2021-02-01T00:00:00"/>
    <d v="2021-12-10T00:00:00"/>
    <m/>
    <m/>
    <m/>
    <m/>
    <m/>
    <m/>
    <m/>
    <m/>
    <m/>
    <m/>
    <m/>
    <m/>
    <s v="Matriz"/>
    <n v="7.4999999999999997E-3"/>
    <m/>
    <m/>
    <m/>
    <m/>
    <n v="0"/>
    <n v="7.4999999999999997E-3"/>
    <x v="1"/>
    <n v="312"/>
    <n v="58"/>
    <n v="0.1858974358974359"/>
    <n v="1.3942307692307691E-3"/>
    <n v="-1.3942307692307691E-3"/>
    <x v="2"/>
  </r>
  <r>
    <x v="6"/>
    <s v="Asesoría en la formulación de planes de mejoramiento internos y en la modificación de las acciones ya propuestas"/>
    <s v="Evaluación de la Gestión"/>
    <s v="Seguimiento y Evaluación"/>
    <s v="Ivonne Andrea Torres Cruz_x000a_Asesora de Control Interno"/>
    <s v="Marcela Urrea Jaramillo"/>
    <s v="Asesor de Control Interno"/>
    <d v="2021-02-01T00:00:00"/>
    <d v="2021-12-10T00:00:00"/>
    <m/>
    <m/>
    <m/>
    <m/>
    <m/>
    <m/>
    <m/>
    <m/>
    <m/>
    <m/>
    <m/>
    <m/>
    <s v="Matriz"/>
    <n v="7.4999999999999997E-3"/>
    <m/>
    <s v="Durante el marzo no se presentaron acrtividades relacionadas con esta actividad. "/>
    <s v="Durante el marzo no se presentaron acrtividades relacionadas con esta actividad. "/>
    <m/>
    <n v="0"/>
    <n v="7.4999999999999997E-3"/>
    <x v="1"/>
    <n v="312"/>
    <n v="58"/>
    <n v="0.1858974358974359"/>
    <n v="1.3942307692307691E-3"/>
    <n v="-1.3942307692307691E-3"/>
    <x v="2"/>
  </r>
  <r>
    <x v="2"/>
    <s v="Realizar evaluación 2020 y concertación 2021 planta fija"/>
    <s v="Evaluación de la Gestión"/>
    <s v="Seguimiento y Evaluación"/>
    <s v="Ivonne Andrea Torres Cruz_x000a_Asesora de Control Interno"/>
    <s v="Elizabeth Sáenz Sáenz"/>
    <s v="Asesor de Control Interno"/>
    <d v="2021-02-03T00:00:00"/>
    <d v="2021-02-22T00:00:00"/>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x v="2"/>
    <n v="19"/>
    <n v="56"/>
    <n v="2.9473684210526314"/>
    <n v="2.9473684210526317E-3"/>
    <n v="-1.9473684210526317E-3"/>
    <x v="0"/>
  </r>
  <r>
    <x v="0"/>
    <s v="Control Interno Contable CBN - 1019 durante la vigencia 2020. Resolución 193 de 2016 de la CGN; Resolución Reglamentaria 11 de 2014 de la Contraloría de Bogotá, modificada por la Resolución Reglamentaria 23 de 2016."/>
    <s v="Gestión Financiera"/>
    <s v="Apoyo"/>
    <s v="Ivonne Andrea Torres Cruz_x000a_Asesora de Control Interno"/>
    <s v="Carlos Vargas Hernández"/>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x v="2"/>
    <n v="14"/>
    <n v="49"/>
    <n v="3.5"/>
    <n v="3.5000000000000003E-2"/>
    <n v="-2.5000000000000005E-2"/>
    <x v="0"/>
  </r>
  <r>
    <x v="0"/>
    <s v="Control Interno Contable CBN - 1019 durante la vigencia 2020.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1-02-10T00:00:00"/>
    <d v="2021-02-24T00:00:00"/>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x v="2"/>
    <n v="14"/>
    <n v="49"/>
    <n v="3.5"/>
    <n v="3.5000000000000003E-2"/>
    <n v="-2.5000000000000005E-2"/>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2-14T00:00:00"/>
    <d v="2021-03-05T00:00:00"/>
    <m/>
    <m/>
    <m/>
    <m/>
    <m/>
    <m/>
    <m/>
    <m/>
    <m/>
    <m/>
    <m/>
    <m/>
    <s v="Acta"/>
    <n v="5.0000000000000001E-3"/>
    <m/>
    <s v="Ruta: \\10.216.160.201\control interno\2021\02.01 ACTAS COMITE C. I\02. 24Feb2021"/>
    <s v="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_x000a_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está y sus anexos están en proceso de publicación en la carpeta compartida de calidad"/>
    <s v="Informe - Comunicación de envío"/>
    <n v="4.5500000000000002E-3"/>
    <n v="4.4999999999999988E-4"/>
    <x v="3"/>
    <n v="19"/>
    <n v="45"/>
    <n v="2.3684210526315788"/>
    <n v="1.1842105263157893E-2"/>
    <n v="-7.2921052631578932E-3"/>
    <x v="4"/>
  </r>
  <r>
    <x v="4"/>
    <s v="Informe cuenta anual SIVICOF. Cargue del informe de control interno contable - CBN - 1019"/>
    <s v="Gestión Financiera"/>
    <s v="Apoyo"/>
    <s v="Ivonne Andrea Torres Cruz_x000a_Asesora de Control Interno"/>
    <s v="Carlos Vargas Hernández"/>
    <s v="Subdirector Financiero"/>
    <d v="2021-02-23T00:00:00"/>
    <d v="2021-02-26T00:00:00"/>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x v="2"/>
    <n v="3"/>
    <n v="36"/>
    <n v="12"/>
    <n v="2.4E-2"/>
    <n v="-2.1999999999999999E-2"/>
    <x v="0"/>
  </r>
  <r>
    <x v="4"/>
    <s v="Subir al CHIP el informe de Evaluación del Sistema de Control Interno Contable CBN - 1019"/>
    <s v="Gestión Financiera"/>
    <s v="Apoyo"/>
    <s v="Ivonne Andrea Torres Cruz_x000a_Asesora de Control Interno"/>
    <s v="Carlos Vargas Hernández"/>
    <s v="Subdirector Financiero"/>
    <d v="2021-02-23T00:00:00"/>
    <d v="2021-02-26T00:00:00"/>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x v="2"/>
    <n v="3"/>
    <n v="36"/>
    <n v="12"/>
    <n v="2.4E-2"/>
    <n v="-2.1999999999999999E-2"/>
    <x v="0"/>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2-24T00:00:00"/>
    <d v="2021-03-02T00:00:00"/>
    <m/>
    <m/>
    <m/>
    <m/>
    <m/>
    <m/>
    <m/>
    <m/>
    <m/>
    <m/>
    <m/>
    <m/>
    <s v="Matriz"/>
    <n v="3.0000000000000001E-3"/>
    <d v="2021-03-03T00:00:00"/>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
    <s v="Entrega, publicación o socialización de resultados"/>
    <n v="3.0000000000000001E-3"/>
    <n v="0"/>
    <x v="3"/>
    <n v="6"/>
    <n v="35"/>
    <n v="5.833333333333333"/>
    <n v="1.7499999999999998E-2"/>
    <n v="-1.4499999999999999E-2"/>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2-25T00:00:00"/>
    <d v="2021-03-02T00:00:00"/>
    <m/>
    <m/>
    <m/>
    <m/>
    <m/>
    <m/>
    <m/>
    <m/>
    <m/>
    <m/>
    <m/>
    <m/>
    <s v="Correo electrónico"/>
    <n v="1E-3"/>
    <d v="2021-03-05T00:00:00"/>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
    <s v="Entrega a ente de control y copia en Control Interno"/>
    <n v="1E-3"/>
    <n v="0"/>
    <x v="3"/>
    <n v="5"/>
    <n v="34"/>
    <n v="6.8"/>
    <n v="6.7999999999999996E-3"/>
    <n v="-5.7999999999999996E-3"/>
    <x v="0"/>
  </r>
  <r>
    <x v="0"/>
    <s v="Evaluación del desempeño institucional a través del Furag según lineamientos del DAFP"/>
    <s v="Todos los Procesos"/>
    <s v="Todos los Procesos"/>
    <s v="Ivonne Andrea Torres Cruz_x000a_Asesora de Control Interno"/>
    <s v="Joan Gaitán Ferrer"/>
    <s v="Líderes de Cada Proceso"/>
    <d v="2021-02-25T00:00:00"/>
    <d v="2021-03-25T00:00:00"/>
    <m/>
    <m/>
    <m/>
    <m/>
    <m/>
    <m/>
    <m/>
    <m/>
    <m/>
    <m/>
    <m/>
    <m/>
    <s v="Certificado"/>
    <n v="0.02"/>
    <d v="2021-03-25T00:00:00"/>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
    <s v="Informe - Publicación (web,intranet y/o carpeta de calidad)"/>
    <n v="1.9999999999999997E-2"/>
    <n v="0"/>
    <x v="3"/>
    <n v="28"/>
    <n v="34"/>
    <n v="1.2142857142857142"/>
    <n v="2.4285714285714285E-2"/>
    <n v="-4.2857142857142885E-3"/>
    <x v="0"/>
  </r>
  <r>
    <x v="2"/>
    <s v="Trámite de cuentas de ACI"/>
    <s v="Evaluación de la Gestión"/>
    <s v="Seguimiento y Evaluación"/>
    <s v="Ivonne Andrea Torres Cruz_x000a_Asesora de Control Interno"/>
    <s v="Joan Gaitán Ferrer"/>
    <s v="Asesor de Control Interno"/>
    <d v="2021-03-02T00:00:00"/>
    <d v="2021-03-04T00:00:00"/>
    <m/>
    <m/>
    <m/>
    <m/>
    <m/>
    <m/>
    <m/>
    <m/>
    <m/>
    <m/>
    <m/>
    <m/>
    <s v="Reporte"/>
    <n v="3.0000000000000001E-3"/>
    <d v="2021-03-08T00:00:00"/>
    <s v="Ruta: https://drive.google.com/drive/u/1/folders/0AK5YY03jEsvoUk9PVA"/>
    <s v="Se tramitsron las cuentas de tres de los contratistas de la Asesorìa de Control Interno relacionado con el mes de febrero. Se realizaron los SISCOS de cada uno de los contratistas y se radicaron en la carpeta compartida de la Subdirecciòn Financiera."/>
    <s v="Entrega, publicación o socialización de resultados"/>
    <n v="3.0000000000000001E-3"/>
    <n v="0"/>
    <x v="3"/>
    <n v="2"/>
    <n v="29"/>
    <n v="14.5"/>
    <n v="4.3500000000000004E-2"/>
    <n v="-4.0500000000000001E-2"/>
    <x v="0"/>
  </r>
  <r>
    <x v="4"/>
    <s v="Informe cuenta mensual SIVICOF"/>
    <s v="Gestión Financiera"/>
    <s v="Apoyo"/>
    <s v="Ivonne Andrea Torres Cruz_x000a_Asesora de Control Interno"/>
    <s v="Carlos Vargas Hernández"/>
    <s v="Subdirector Financiero"/>
    <d v="2021-03-02T00:00:00"/>
    <d v="2021-03-09T00:00:00"/>
    <m/>
    <m/>
    <m/>
    <m/>
    <m/>
    <m/>
    <m/>
    <m/>
    <m/>
    <m/>
    <m/>
    <m/>
    <s v="Certificado"/>
    <n v="1E-3"/>
    <d v="2021-03-09T00:00:00"/>
    <s v="Ruta de evidencias del cargue de información de la cuenta mensual del mes de febrero: \\10.216.160.201\control interno\2021\19.01 INF.  A  ENTID. DE CONTROL Y VIG\SIVICOF\CUENTA MENSUAL\01. febrero"/>
    <s v="Se solicitó la información, se recibió, revisó y cargó al sistema sivicof. Se solicitó la publicación en la página web del certificado"/>
    <s v="Entrega a ente de control y copia en Control Interno"/>
    <n v="1E-3"/>
    <n v="0"/>
    <x v="3"/>
    <n v="7"/>
    <n v="29"/>
    <n v="4.1428571428571432"/>
    <n v="4.1428571428571434E-3"/>
    <n v="-3.1428571428571434E-3"/>
    <x v="0"/>
  </r>
  <r>
    <x v="0"/>
    <s v="Informe presupuestal a Personería"/>
    <s v="Gestión Financiera"/>
    <s v="Apoyo"/>
    <s v="Ivonne Andrea Torres Cruz_x000a_Asesora de Control Interno"/>
    <s v="Elizabeth Sáenz Sáenz"/>
    <s v="Subdirector Financiero"/>
    <d v="2021-03-02T00:00:00"/>
    <d v="2021-03-09T00:00:00"/>
    <m/>
    <m/>
    <m/>
    <m/>
    <m/>
    <m/>
    <m/>
    <m/>
    <m/>
    <m/>
    <m/>
    <m/>
    <s v="Informe"/>
    <n v="1E-3"/>
    <d v="2021-03-09T00:00:00"/>
    <s v="Oficio 202111200027481- Informe Presupuestal febrero 2021 enviado por correo electrónico a la Personería el 09Marzo2021"/>
    <s v="Oficio 202111200027481- Informe Presupuestal febrero 2021 enviado por correo electrónico a la Personería el 09Marzo2021"/>
    <s v="Informe - Publicación (web,intranet y/o carpeta de calidad)"/>
    <n v="9.999999999999998E-4"/>
    <n v="0"/>
    <x v="3"/>
    <n v="7"/>
    <n v="29"/>
    <n v="4.1428571428571432"/>
    <n v="4.1428571428571434E-3"/>
    <n v="-3.1428571428571434E-3"/>
    <x v="0"/>
  </r>
  <r>
    <x v="6"/>
    <s v="Seguimiento al Plan de Mejoramiento Interno - Artículo 5 del Decreto 371 de 2010"/>
    <s v="Todos los Procesos"/>
    <s v="Todos los Procesos"/>
    <s v="Ivonne Andrea Torres Cruz_x000a_Asesora de Control Interno"/>
    <s v="Kelly Serrano Rincón"/>
    <s v="Líderes de Cada Proceso"/>
    <d v="2021-03-02T00:00:00"/>
    <d v="2021-03-17T00:00:00"/>
    <m/>
    <m/>
    <m/>
    <m/>
    <m/>
    <m/>
    <m/>
    <m/>
    <m/>
    <m/>
    <m/>
    <m/>
    <s v="Matriz"/>
    <n v="0.03"/>
    <d v="2021-03-29T00:00:00"/>
    <s v="Ruta: \\10.216.160.201\control interno\2021\28.05 PM\INTERNO\02. I_Seg_2021 corte 28 feb\3. Informe_x000a__x000a_El informe se entregó el 26mar2021 con el memorando 202111200019723 del 26mar2021 y se verificó su publicación en la página web, junto con la matriz de detalle de seguimiento"/>
    <s v="l. informe se realizó solicitando información, consolidación y seguimiento del mismo a dos cortes 31/12/2020 y 28/02/2021. _x000a_• Para Corte 31/12/2020, se contaba en el plan de mejoramiento con 172  cciones, de las cuales  136 quedaron cerradas (79%), 10 quedaron en ejecución oportuna (6%), 24 quedaron en  ejecución vencida (14%) y 2 sin  eguimiento (1%). Con una eficacia de ejecución del 85,44%._x000a_• Para Corte 28/02/2021, se contaba en el plan de mejoramiento con 172 acciones, de las cuales  144 quedaron cerradas (84%), 9 quedaron en ejecución oportuna (5%) y 19  uedaron en  ejecución vencida (11%). Con una eficacia de ejecución del 88.27%._x000a_• Se solicitó la publicación en la páguna web y en la carpeta compartida."/>
    <s v="Informe - Publicación (web,intranet y/o carpeta de calidad)"/>
    <n v="2.9999999999999995E-2"/>
    <n v="0"/>
    <x v="3"/>
    <n v="15"/>
    <n v="29"/>
    <n v="1.9333333333333333"/>
    <n v="5.7999999999999996E-2"/>
    <n v="-2.8000000000000001E-2"/>
    <x v="0"/>
  </r>
  <r>
    <x v="1"/>
    <s v="Revisar la formulación de las actividades del PAAC en el primer seguimiento y generar las alertas respectivas."/>
    <s v="Todos los Procesos"/>
    <s v="Todos los Procesos"/>
    <s v="Ivonne Andrea Torres Cruz_x000a_Asesora de Control Interno"/>
    <s v="Kelly Serrano Rincón"/>
    <s v="Líderes de Cada Proceso"/>
    <d v="2021-03-02T00:00:00"/>
    <d v="2021-04-15T00:00:00"/>
    <m/>
    <m/>
    <m/>
    <m/>
    <m/>
    <m/>
    <m/>
    <m/>
    <m/>
    <m/>
    <m/>
    <m/>
    <s v="Informe"/>
    <n v="5.0000000000000001E-3"/>
    <m/>
    <s v="NO HA INICIADO - ESTÁ SÚPER ATRASADA"/>
    <s v="NO HA INICIADO - ESTÁ SÚPER ATRASADA"/>
    <m/>
    <n v="0"/>
    <n v="5.0000000000000001E-3"/>
    <x v="4"/>
    <n v="44"/>
    <n v="29"/>
    <n v="0.65909090909090906"/>
    <n v="3.2954545454545454E-3"/>
    <n v="-3.2954545454545454E-3"/>
    <x v="1"/>
  </r>
  <r>
    <x v="0"/>
    <s v="Evaluar el proceso de Rendición de Cuentas (Audiencia Pública u otra alternativa)"/>
    <s v="Gestión Estratégica"/>
    <s v="Estratégico"/>
    <s v="Ivonne Andrea Torres Cruz_x000a_Asesora de Control Interno"/>
    <s v="Andrea Sierra Ochoa"/>
    <s v="Jefe Oficina Asesora de Planeación "/>
    <d v="2021-03-02T00:00:00"/>
    <d v="2021-04-28T00:00:00"/>
    <m/>
    <m/>
    <m/>
    <m/>
    <m/>
    <m/>
    <m/>
    <m/>
    <m/>
    <m/>
    <m/>
    <m/>
    <s v="Informe"/>
    <n v="0.01"/>
    <m/>
    <s v="Ruta interna: \\10.216.160.201\control interno\2021\19.04 INF.  DE GESTIÓN\RENDICIÓN DE CUENTAS"/>
    <s v="Se han venido realizando actividades de revisión de la página web y de la información publicada por la OAP disponible para las partes interesadas. La audiencia de rendición de cuentas se llevó a cabo el 26Mar y el informe se elaborará a partir del 15Abr"/>
    <s v="Trabajo de campo - Recolección de Información"/>
    <n v="4.8999999999999998E-3"/>
    <n v="5.1000000000000004E-3"/>
    <x v="4"/>
    <n v="57"/>
    <n v="29"/>
    <n v="0.50877192982456143"/>
    <n v="5.0877192982456141E-3"/>
    <n v="-1.8771929824561422E-4"/>
    <x v="3"/>
  </r>
  <r>
    <x v="0"/>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ea Sierra Ochoa"/>
    <s v="Jefe Oficina de Tecnologías de la Información y las Comunicaciones"/>
    <d v="2021-03-08T00:00:00"/>
    <d v="2021-03-19T00:00:00"/>
    <m/>
    <m/>
    <m/>
    <m/>
    <m/>
    <m/>
    <m/>
    <m/>
    <m/>
    <m/>
    <m/>
    <m/>
    <s v="Reporte"/>
    <n v="5.0000000000000001E-3"/>
    <d v="2021-03-15T00:00:00"/>
    <s v="\\10.216.160.201\control interno\2021\19.04 INF.  DE GESTIÓN\DNDA"/>
    <s v="Mediante memorando de radicado 202111200011463 de fecha 02 de marzo de 2021, se solicitó a la Direccion General (teniendo en cuenta que no hay jefe TIC) la información que servirá de insumo para la presentación del informe de la DNDA._x000a_* con Memorando de radicado N° 202111600015753 de fecha 12 de marzo de 2021, el jefe Encargado de la oficina TIC remitió la información requerida para el informe DNDA_x000a_* El día 15 de marzo de 2021 se cargó en la página de la Dirección Nacional de Derechos de Autor, el informe de conformidad con lo establecido en la circular 017 de 2011,"/>
    <s v="Informe - Publicación (web,intranet y/o carpeta de calidad)"/>
    <n v="4.9999999999999992E-3"/>
    <n v="0"/>
    <x v="3"/>
    <n v="11"/>
    <n v="23"/>
    <n v="2.0909090909090908"/>
    <n v="1.0454545454545454E-2"/>
    <n v="-5.454545454545455E-3"/>
    <x v="0"/>
  </r>
  <r>
    <x v="2"/>
    <s v="Revisión y mantenimiento al botón de transparencia - Ley 1712 de 2014 numeral 7 a cargo de control interno"/>
    <s v="Evaluación de la Gestión"/>
    <s v="Seguimiento y Evaluación"/>
    <s v="Ivonne Andrea Torres Cruz_x000a_Asesora de Control Interno"/>
    <s v="Joan Gaitán Ferrer"/>
    <s v="Asesor de Control Interno"/>
    <d v="2021-03-08T00:00:00"/>
    <d v="2021-03-19T00:00:00"/>
    <m/>
    <m/>
    <m/>
    <m/>
    <m/>
    <m/>
    <m/>
    <m/>
    <m/>
    <m/>
    <m/>
    <m/>
    <s v="Reporte"/>
    <n v="5.0000000000000001E-3"/>
    <m/>
    <m/>
    <s v="Se revisó el botón de transparencia número 7 y se planificó la revisión correspondiente."/>
    <s v="Diseño o planeación de la acción"/>
    <n v="5.0000000000000001E-4"/>
    <n v="4.5000000000000005E-3"/>
    <x v="3"/>
    <n v="11"/>
    <n v="23"/>
    <n v="2.0909090909090908"/>
    <n v="1.0454545454545454E-2"/>
    <n v="-9.9545454545454538E-3"/>
    <x v="4"/>
  </r>
  <r>
    <x v="7"/>
    <s v="Auditoría Proceso de Urbanizaciones y Titulación_x000a_Revisión de Riesgos"/>
    <s v="Urbanizaciones y Titulación"/>
    <s v="Misional"/>
    <s v="Ivonne Andrea Torres Cruz_x000a_Asesora de Control Interno"/>
    <s v="Kelly Serrano Rincón"/>
    <s v="Director de Urbanizaciones y Titulación"/>
    <d v="2021-03-15T00:00:00"/>
    <d v="2021-03-25T00:00:00"/>
    <m/>
    <m/>
    <m/>
    <m/>
    <m/>
    <m/>
    <m/>
    <m/>
    <m/>
    <m/>
    <m/>
    <m/>
    <s v="Informe"/>
    <n v="3.7499999999999999E-3"/>
    <m/>
    <s v="Ruta: \\10.216.160.201\control interno\2021\19.03 INF. AUDITORIAS C. I\INTERNAS\01. DUT\01. Controles riesgos\3. Resultados"/>
    <s v="Se inició la auditoría, se realizaron pruebas sustantivas en sitio, como se observa en el acta, se inició con la consolidación del informe Preliminar, se aplazó debido a la elaboración de otros informes, el plazo quedó ajustado para entrega del informe final el 13abr2021"/>
    <s v="Informe preliminar - Elaboración"/>
    <n v="2.6999999999999997E-3"/>
    <n v="1.0500000000000002E-3"/>
    <x v="3"/>
    <n v="10"/>
    <n v="16"/>
    <n v="1.6"/>
    <n v="6.0000000000000001E-3"/>
    <n v="-3.3000000000000004E-3"/>
    <x v="4"/>
  </r>
  <r>
    <x v="7"/>
    <s v="Auditoría Proceso de Urbanizaciones y Titulación_x000a_Decreto 371 de 2010 - Artículo 2 - de los procesos de contratación en el distrito capital"/>
    <s v="Adquisición de Bienes y Servicios"/>
    <s v="Apoyo"/>
    <s v="Ivonne Andrea Torres Cruz_x000a_Asesora de Control Interno"/>
    <s v="Andrea Sierra Ochoa"/>
    <s v="Director de Gestión Corporativa y CID"/>
    <d v="2021-03-15T00:00:00"/>
    <d v="2021-04-05T00:00:00"/>
    <m/>
    <m/>
    <m/>
    <m/>
    <m/>
    <m/>
    <m/>
    <m/>
    <m/>
    <m/>
    <m/>
    <m/>
    <s v="Informe"/>
    <n v="5.0000000000000001E-3"/>
    <m/>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
    <s v="Trabajo de campo - Análisis de Información"/>
    <n v="3.0999999999999999E-3"/>
    <n v="1.9000000000000002E-3"/>
    <x v="4"/>
    <n v="21"/>
    <n v="16"/>
    <n v="0.76190476190476186"/>
    <n v="3.8095238095238095E-3"/>
    <n v="-7.0952380952380963E-4"/>
    <x v="1"/>
  </r>
  <r>
    <x v="7"/>
    <s v="Auditoría Proceso de Urbanizaciones y Titulación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3-15T00:00:00"/>
    <d v="2021-04-08T00:00:00"/>
    <m/>
    <m/>
    <m/>
    <m/>
    <m/>
    <m/>
    <m/>
    <m/>
    <m/>
    <m/>
    <m/>
    <m/>
    <s v="Informe"/>
    <n v="2.5000000000000001E-3"/>
    <m/>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
    <s v="Trabajo de campo - Análisis de Información"/>
    <n v="1.5499999999999999E-3"/>
    <n v="9.5000000000000011E-4"/>
    <x v="4"/>
    <n v="24"/>
    <n v="16"/>
    <n v="0.66666666666666663"/>
    <n v="1.6666666666666666E-3"/>
    <n v="-1.1666666666666661E-4"/>
    <x v="1"/>
  </r>
  <r>
    <x v="7"/>
    <s v="Auditoría Proceso de Urbanizaciones y Titulación_x000a_Expedientes del proceso - procedimientos del proceso"/>
    <s v="Urbanizaciones y Titulación"/>
    <s v="Misional"/>
    <s v="Ivonne Andrea Torres Cruz_x000a_Asesora de Control Interno"/>
    <s v="Marcela Urrea Jaramillo"/>
    <s v="Director de Urbanizaciones y Titulación"/>
    <d v="2021-03-15T00:00:00"/>
    <d v="2021-04-08T00:00:00"/>
    <m/>
    <m/>
    <m/>
    <m/>
    <m/>
    <m/>
    <m/>
    <m/>
    <m/>
    <m/>
    <m/>
    <m/>
    <s v="Informe"/>
    <n v="5.0000000000000001E-3"/>
    <m/>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
    <s v="Trabajo de campo - Análisis de Información"/>
    <n v="3.0999999999999999E-3"/>
    <n v="1.9000000000000002E-3"/>
    <x v="4"/>
    <n v="24"/>
    <n v="16"/>
    <n v="0.66666666666666663"/>
    <n v="3.3333333333333331E-3"/>
    <n v="-2.3333333333333322E-4"/>
    <x v="1"/>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3-15T00:00:00"/>
    <d v="2021-04-12T00:00:00"/>
    <m/>
    <m/>
    <m/>
    <m/>
    <m/>
    <m/>
    <m/>
    <m/>
    <m/>
    <m/>
    <m/>
    <m/>
    <s v="Acta"/>
    <n v="5.0000000000000001E-3"/>
    <m/>
    <s v="Ruta: \\10.216.160.201\control interno\2021\02.01 ACTAS COMITE C. I\03. 08Abr2021_x000a_Correo de convocatoria_x000a_2021112000200 Sol de info de ejecución pptal_x000a_Evidencias de cumplimiento de compromisos_x000a_Presentación para el comité"/>
    <s v="Se convocó al tercera sesión ordinaria el 17Mar para el 25Mar. Fecha que fue reprogramada por el Director General para el 07Abr y de nuevo el 05Abr reprogramó para el 08Abr, por loq ue se espera tener el acta firmada el 23Abr."/>
    <s v="Trabajo de campo"/>
    <n v="2.8000000000000004E-3"/>
    <n v="2.1999999999999997E-3"/>
    <x v="4"/>
    <n v="28"/>
    <n v="16"/>
    <n v="0.5714285714285714"/>
    <n v="2.8571428571428571E-3"/>
    <n v="-5.7142857142856735E-5"/>
    <x v="3"/>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Andrea Sierra Ochoa"/>
    <s v="Asesor de Control Interno"/>
    <d v="2021-03-15T00:00:00"/>
    <d v="2021-09-15T00:00:00"/>
    <m/>
    <m/>
    <m/>
    <m/>
    <m/>
    <m/>
    <m/>
    <m/>
    <m/>
    <m/>
    <m/>
    <m/>
    <s v="Acta"/>
    <n v="3.0000000000000001E-3"/>
    <m/>
    <s v="Esta actividad no se desarrollo durante el mes de marzo "/>
    <s v="Esta actividad no se desarrollo durante el mes de marzo "/>
    <m/>
    <n v="0"/>
    <n v="3.0000000000000001E-3"/>
    <x v="5"/>
    <n v="184"/>
    <n v="16"/>
    <n v="8.6956521739130432E-2"/>
    <n v="2.6086956521739128E-4"/>
    <n v="-2.6086956521739128E-4"/>
    <x v="1"/>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Auditor 6"/>
    <s v="Asesor de Control Interno"/>
    <d v="2021-03-15T00:00:00"/>
    <d v="2021-09-15T00:00:00"/>
    <m/>
    <m/>
    <m/>
    <m/>
    <m/>
    <m/>
    <m/>
    <m/>
    <m/>
    <m/>
    <m/>
    <m/>
    <s v="Acta"/>
    <n v="3.0000000000000001E-3"/>
    <m/>
    <s v="Esta actividad no se desarrollo durante el mes de marzo "/>
    <s v="Esta actividad no se desarrollo durante el mes de marzo "/>
    <m/>
    <n v="0"/>
    <n v="3.0000000000000001E-3"/>
    <x v="5"/>
    <n v="184"/>
    <n v="16"/>
    <n v="8.6956521739130432E-2"/>
    <n v="2.6086956521739128E-4"/>
    <n v="-2.6086956521739128E-4"/>
    <x v="1"/>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Carlos Vargas Hernández"/>
    <s v="Asesor de Control Interno"/>
    <d v="2021-03-15T00:00:00"/>
    <d v="2021-09-15T00:00:00"/>
    <m/>
    <m/>
    <m/>
    <m/>
    <m/>
    <m/>
    <m/>
    <m/>
    <m/>
    <m/>
    <m/>
    <m/>
    <s v="Acta"/>
    <n v="3.0000000000000001E-3"/>
    <m/>
    <s v="Esta actividad no se desarrollo durante el mes de marzo "/>
    <s v="Esta actividad no se desarrollo durante el mes de marzo "/>
    <m/>
    <n v="0"/>
    <n v="3.0000000000000001E-3"/>
    <x v="5"/>
    <n v="184"/>
    <n v="16"/>
    <n v="8.6956521739130432E-2"/>
    <n v="2.6086956521739128E-4"/>
    <n v="-2.6086956521739128E-4"/>
    <x v="1"/>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Joan Gaitán Ferrer"/>
    <s v="Asesor de Control Interno"/>
    <d v="2021-03-15T00:00:00"/>
    <d v="2021-09-15T00:00:00"/>
    <m/>
    <m/>
    <m/>
    <m/>
    <m/>
    <m/>
    <m/>
    <m/>
    <m/>
    <m/>
    <m/>
    <m/>
    <s v="Acta"/>
    <n v="3.0000000000000001E-3"/>
    <m/>
    <s v="Esta actividad no se desarrollo durante el mes de marzo "/>
    <s v="Esta actividad no se desarrollo durante el mes de marzo "/>
    <m/>
    <n v="0"/>
    <n v="3.0000000000000001E-3"/>
    <x v="5"/>
    <n v="184"/>
    <n v="16"/>
    <n v="8.6956521739130432E-2"/>
    <n v="2.6086956521739128E-4"/>
    <n v="-2.6086956521739128E-4"/>
    <x v="1"/>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Kelly Serrano Rincón"/>
    <s v="Asesor de Control Interno"/>
    <d v="2021-03-15T00:00:00"/>
    <d v="2021-09-15T00:00:00"/>
    <m/>
    <m/>
    <m/>
    <m/>
    <m/>
    <m/>
    <m/>
    <m/>
    <m/>
    <m/>
    <m/>
    <m/>
    <s v="Acta"/>
    <n v="3.0000000000000001E-3"/>
    <m/>
    <s v="Esta actividad no se desarrollo durante el mes de marzo "/>
    <s v="Esta actividad no se desarrollo durante el mes de marzo "/>
    <m/>
    <n v="0"/>
    <n v="3.0000000000000001E-3"/>
    <x v="5"/>
    <n v="184"/>
    <n v="16"/>
    <n v="8.6956521739130432E-2"/>
    <n v="2.6086956521739128E-4"/>
    <n v="-2.6086956521739128E-4"/>
    <x v="1"/>
  </r>
  <r>
    <x v="2"/>
    <s v="Realizar una charla individual con los procesos para comunicar puntualmente las deficiencias y llegar a acuerdos para la mejora de la información en términos de plazos, diseño y formato."/>
    <s v="Evaluación de la Gestión"/>
    <s v="Seguimiento y Evaluación"/>
    <s v="Ivonne Andrea Torres Cruz_x000a_Asesora de Control Interno"/>
    <s v="Marcela Urrea Jaramillo"/>
    <s v="Asesor de Control Interno"/>
    <d v="2021-03-15T00:00:00"/>
    <d v="2021-09-15T00:00:00"/>
    <m/>
    <m/>
    <m/>
    <m/>
    <m/>
    <m/>
    <m/>
    <m/>
    <m/>
    <m/>
    <m/>
    <m/>
    <s v="Acta"/>
    <n v="3.0000000000000001E-3"/>
    <m/>
    <s v="Esta actividad no se desarrollo durante el mes de marzo "/>
    <s v="Esta actividad no se desarrollo durante el mes de marzo "/>
    <m/>
    <n v="0"/>
    <n v="3.0000000000000001E-3"/>
    <x v="5"/>
    <n v="184"/>
    <n v="16"/>
    <n v="8.6956521739130432E-2"/>
    <n v="2.6086956521739128E-4"/>
    <n v="-2.6086956521739128E-4"/>
    <x v="1"/>
  </r>
  <r>
    <x v="7"/>
    <s v="Verificar el cierre de 2020 de la caja menor de la Caja de la Vivienda Popular, en lo relacionado con la delegación de gastos y el manejo de los mismos."/>
    <s v="Gestión Administrativa"/>
    <s v="Apoyo"/>
    <s v="Ivonne Andrea Torres Cruz_x000a_Asesora de Control Interno"/>
    <s v="Carlos Vargas Hernández"/>
    <s v="Subdirector Administrativo"/>
    <d v="2021-03-19T00:00:00"/>
    <d v="2021-04-16T00:00:00"/>
    <m/>
    <m/>
    <m/>
    <m/>
    <m/>
    <m/>
    <m/>
    <m/>
    <m/>
    <m/>
    <m/>
    <m/>
    <s v="Informe"/>
    <n v="5.0000000000000001E-3"/>
    <m/>
    <s v="Toda la información de la auditoría se encuentra en la ruta: \\10.216.160.201\control interno\2021\19.03 INF. AUDITORIAS C. I\INTERNAS\02. CAJA MENOR cierre 2020_x000a_1. PAA con programación de la auditoría_x000a_2. Correo de designación de auditor del 10Mar_x000a_3. Acta de reunión de designación de auditores_x000a_4. Plan de auditoría elaborado, revisado y aprobado_x000a_5. 202111200017253 del 17Mar comunicación de reunión de apertura_x000a_6. Carta de representación de Administrativa_x000a_7. FALTA acta de reunión de apertura firmada en original, ya qure fue enviada por correo electrónico el 19Mar_x000a_8. 202111200017313 Solicitud info cierre de caja menor vigencia 2020_x000a_9. Rta a sol de info por correo electrónico del 24Mar_x000a__x000a_"/>
    <s v="Toda la información de la auditoría se encuentra en la ruta: \\10.216.160.201\control interno\2021\19.03 INF. AUDITORIAS C. I\INTERNAS\02. CAJA MENOR cierre 2020_x000a_1. PAA con programación de la auditoría_x000a_2. Correo de designación de auditor del 10Mar_x000a_3. Acta de reunión de designación de auditores_x000a_4. Plan de auditoría elaborado, revisado y aprobado_x000a_5. 202111200017253 del 17Mar comunicación de reunión de apertura_x000a_6. Carta de representación de Administrativa_x000a_7. FALTA acta de reunión de apertura firmada en original, ya qure fue enviada por correo electrónico el 19Mar_x000a_8. 202111200017313 Solicitud info cierre de caja menor vigencia 2020_x000a_9. Rta a sol de info por correo electrónico del 24Mar_x000a_Está en en análisis de la información_x000a__x000a_"/>
    <s v="Trabajo de campo - Análisis de Información"/>
    <n v="3.0999999999999999E-3"/>
    <n v="1.9000000000000002E-3"/>
    <x v="4"/>
    <n v="28"/>
    <n v="12"/>
    <n v="0.42857142857142855"/>
    <n v="2.142857142857143E-3"/>
    <n v="9.5714285714285693E-4"/>
    <x v="3"/>
  </r>
  <r>
    <x v="4"/>
    <s v="Recibir, analizar y dar trámite a las solicitudes de modificación de las acciones del plan de mejoramiento de la contraloría"/>
    <s v="Evaluación de la Gestión"/>
    <s v="Seguimiento y Evaluación"/>
    <s v="Ivonne Andrea Torres Cruz_x000a_Asesora de Control Interno"/>
    <s v="Carlos Vargas Hernández"/>
    <s v="Asesor de Control Interno"/>
    <d v="2021-03-23T00:00:00"/>
    <d v="2021-03-30T00:00:00"/>
    <m/>
    <m/>
    <m/>
    <m/>
    <m/>
    <m/>
    <m/>
    <m/>
    <m/>
    <m/>
    <m/>
    <m/>
    <s v="Certificado"/>
    <n v="2E-3"/>
    <d v="2021-03-30T00:00:00"/>
    <s v="Ruta: \\10.216.160.201\control interno\2021\28.05 PM\EXTERNO\CONTRALORÍA\Modificación"/>
    <s v="1. Con memo 202116000007863 del 15Feb2021 se realizó solicitud de modificación de acción de la Dir. Jurídica, la cual se tramitó y subió al sivicof el 19Feb2021._x000a_2. Con memo 202112000010013 del 24Feb2021 se realizó solicitud de modificación de 2 acciones de la Dirección de Reasentamientos cód Aud 56 y 70, la cual se tramitó y subió al sivicof el 05Mar2021._x000a_3. Con memo 202112000016473 del 15Mar2021 se realizó solicitud de modificación de 2 acciones de la Dirección de Reasentamientos, la cual se tramitó y subió al sivicof el 19Mar2021._x000a_Todas las evidencias se encuentran en la carpeta compartida en el servidor."/>
    <s v="Entrega a ente de control y copia en Control Interno"/>
    <n v="2E-3"/>
    <n v="0"/>
    <x v="3"/>
    <n v="7"/>
    <n v="8"/>
    <n v="1.1428571428571428"/>
    <n v="2.2857142857142855E-3"/>
    <n v="-2.8571428571428541E-4"/>
    <x v="0"/>
  </r>
  <r>
    <x v="7"/>
    <s v="Auditoría Proceso de Mejoramiento de Barrios_x000a_Revisión de Riesgos"/>
    <s v="Mejoramiento de Barrios"/>
    <s v="Misional"/>
    <s v="Ivonne Andrea Torres Cruz_x000a_Asesora de Control Interno"/>
    <s v="Kelly Serrano Rincón"/>
    <s v="Director de Mejoramiento de Barrios"/>
    <d v="2021-03-26T00:00:00"/>
    <d v="2021-04-08T00:00:00"/>
    <m/>
    <m/>
    <m/>
    <m/>
    <m/>
    <m/>
    <m/>
    <m/>
    <m/>
    <m/>
    <m/>
    <m/>
    <s v="Informe"/>
    <n v="0.01"/>
    <m/>
    <m/>
    <s v="NO HA INICIADO - ESTÁ SÚPER ATRASADA"/>
    <m/>
    <n v="0"/>
    <n v="0.01"/>
    <x v="4"/>
    <n v="13"/>
    <n v="5"/>
    <n v="0.38461538461538464"/>
    <n v="3.8461538461538464E-3"/>
    <n v="-3.8461538461538464E-3"/>
    <x v="1"/>
  </r>
  <r>
    <x v="7"/>
    <s v="Seguimiento a los procesos judiciales - SIPROJ - del 01Ene2020 al 28Feb2021"/>
    <s v="Prevención del Daño Antijurídico y Representación Judicial"/>
    <s v="Estratégico"/>
    <s v="Ivonne Andrea Torres Cruz_x000a_Asesora de Control Interno"/>
    <s v="Andrea Sierra Ochoa"/>
    <s v="Director Jurídico "/>
    <d v="2021-03-26T00:00:00"/>
    <d v="2021-05-03T00:00:00"/>
    <m/>
    <m/>
    <m/>
    <m/>
    <m/>
    <m/>
    <m/>
    <m/>
    <m/>
    <m/>
    <m/>
    <m/>
    <s v="Informe"/>
    <n v="5.0000000000000001E-3"/>
    <m/>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
    <s v="Planeación - Listas de verificación"/>
    <n v="5.0000000000000001E-4"/>
    <n v="4.5000000000000005E-3"/>
    <x v="6"/>
    <n v="38"/>
    <n v="5"/>
    <n v="0.13157894736842105"/>
    <n v="6.5789473684210525E-4"/>
    <n v="-1.5789473684210524E-4"/>
    <x v="1"/>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3-29T00:00:00"/>
    <d v="2021-04-06T00:00:00"/>
    <m/>
    <m/>
    <m/>
    <m/>
    <m/>
    <m/>
    <m/>
    <m/>
    <m/>
    <m/>
    <m/>
    <m/>
    <s v="Matriz"/>
    <n v="3.0000000000000001E-3"/>
    <m/>
    <s v="Ruta de la información: \\10.216.160.201\control interno\2021\28.03 PAA_x000a_Se solicitó por correo el diligenciamiento del archivo del PAA"/>
    <s v="Actividad en desarrollo"/>
    <s v="Diseño o planeación de la acción"/>
    <n v="3.0000000000000003E-4"/>
    <n v="2.7000000000000001E-3"/>
    <x v="4"/>
    <n v="8"/>
    <n v="2"/>
    <n v="0.25"/>
    <n v="7.5000000000000002E-4"/>
    <n v="-4.4999999999999999E-4"/>
    <x v="3"/>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3-30T00:00:00"/>
    <d v="2021-04-06T00:00:00"/>
    <m/>
    <m/>
    <m/>
    <m/>
    <m/>
    <m/>
    <m/>
    <m/>
    <m/>
    <m/>
    <m/>
    <m/>
    <s v="Correo electrónico"/>
    <n v="1E-3"/>
    <m/>
    <m/>
    <m/>
    <m/>
    <n v="0"/>
    <n v="1E-3"/>
    <x v="4"/>
    <n v="7"/>
    <n v="1"/>
    <n v="0.14285714285714285"/>
    <n v="1.4285714285714284E-4"/>
    <n v="-1.4285714285714284E-4"/>
    <x v="2"/>
  </r>
  <r>
    <x v="2"/>
    <s v="Trámite de cuentas de ACI"/>
    <s v="Evaluación de la Gestión"/>
    <s v="Seguimiento y Evaluación"/>
    <s v="Ivonne Andrea Torres Cruz_x000a_Asesora de Control Interno"/>
    <s v="Joan Gaitán Ferrer"/>
    <s v="Asesor de Control Interno"/>
    <d v="2021-04-05T00:00:00"/>
    <d v="2021-04-08T00:00:00"/>
    <m/>
    <m/>
    <m/>
    <m/>
    <m/>
    <m/>
    <m/>
    <m/>
    <m/>
    <m/>
    <m/>
    <m/>
    <s v="Reporte"/>
    <n v="3.0000000000000001E-3"/>
    <m/>
    <m/>
    <m/>
    <m/>
    <n v="0"/>
    <n v="3.0000000000000001E-3"/>
    <x v="4"/>
    <n v="3"/>
    <n v="-5"/>
    <n v="-1.6666666666666667"/>
    <n v="-5.0000000000000001E-3"/>
    <n v="5.0000000000000001E-3"/>
    <x v="2"/>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04-05T00:00:00"/>
    <d v="2021-04-09T00:00:00"/>
    <m/>
    <m/>
    <m/>
    <m/>
    <m/>
    <m/>
    <m/>
    <m/>
    <m/>
    <m/>
    <m/>
    <m/>
    <s v="Matriz"/>
    <n v="3.0000000000000001E-3"/>
    <m/>
    <m/>
    <m/>
    <m/>
    <n v="0"/>
    <n v="3.0000000000000001E-3"/>
    <x v="4"/>
    <n v="4"/>
    <n v="-5"/>
    <n v="-1.25"/>
    <n v="-3.7499999999999999E-3"/>
    <n v="3.7499999999999999E-3"/>
    <x v="2"/>
  </r>
  <r>
    <x v="4"/>
    <s v="Informe cuenta mensual SIVICOF"/>
    <s v="Adquisición de Bienes y Servicios"/>
    <s v="Apoyo"/>
    <s v="Ivonne Andrea Torres Cruz_x000a_Asesora de Control Interno"/>
    <s v="Carlos Vargas Hernández"/>
    <s v="Director de Gestión Corporativa y CID"/>
    <d v="2021-04-05T00:00:00"/>
    <d v="2021-04-13T00:00:00"/>
    <m/>
    <m/>
    <m/>
    <m/>
    <m/>
    <m/>
    <m/>
    <m/>
    <m/>
    <m/>
    <m/>
    <m/>
    <s v="Certificado"/>
    <n v="1E-3"/>
    <m/>
    <m/>
    <m/>
    <m/>
    <n v="0"/>
    <n v="1E-3"/>
    <x v="4"/>
    <n v="8"/>
    <n v="-5"/>
    <n v="-0.625"/>
    <n v="-6.2500000000000001E-4"/>
    <n v="6.2500000000000001E-4"/>
    <x v="2"/>
  </r>
  <r>
    <x v="0"/>
    <s v="Informe presupuestal a Personería"/>
    <s v="Gestión Financiera"/>
    <s v="Apoyo"/>
    <s v="Ivonne Andrea Torres Cruz_x000a_Asesora de Control Interno"/>
    <s v="Elizabeth Sáenz Sáenz"/>
    <s v="Subdirector Financiero"/>
    <d v="2021-04-05T00:00:00"/>
    <d v="2021-04-13T00:00:00"/>
    <m/>
    <m/>
    <m/>
    <m/>
    <m/>
    <m/>
    <m/>
    <m/>
    <m/>
    <m/>
    <m/>
    <m/>
    <s v="Informe"/>
    <n v="1E-3"/>
    <m/>
    <m/>
    <m/>
    <m/>
    <n v="0"/>
    <n v="1E-3"/>
    <x v="4"/>
    <n v="8"/>
    <n v="-5"/>
    <n v="-0.625"/>
    <n v="-6.2500000000000001E-4"/>
    <n v="6.2500000000000001E-4"/>
    <x v="2"/>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Carlos Vargas Hernández"/>
    <s v="Subdirector Administrativo"/>
    <d v="2021-04-05T00:00:00"/>
    <d v="2021-04-23T00:00:00"/>
    <m/>
    <m/>
    <m/>
    <m/>
    <m/>
    <m/>
    <m/>
    <m/>
    <m/>
    <m/>
    <m/>
    <m/>
    <s v="Informe"/>
    <n v="7.4999999999999997E-3"/>
    <m/>
    <m/>
    <m/>
    <m/>
    <n v="0"/>
    <n v="7.4999999999999997E-3"/>
    <x v="4"/>
    <n v="18"/>
    <n v="-5"/>
    <n v="-0.27777777777777779"/>
    <n v="-2.0833333333333333E-3"/>
    <n v="2.0833333333333333E-3"/>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5-03T00:00:00"/>
    <d v="2021-06-03T00:00:00"/>
    <m/>
    <m/>
    <m/>
    <m/>
    <m/>
    <m/>
    <m/>
    <m/>
    <m/>
    <m/>
    <m/>
    <m/>
    <s v="Acta"/>
    <n v="4.0000000000000001E-3"/>
    <m/>
    <m/>
    <m/>
    <m/>
    <n v="0"/>
    <n v="4.0000000000000001E-3"/>
    <x v="7"/>
    <n v="31"/>
    <n v="-33"/>
    <n v="-1.064516129032258"/>
    <n v="-4.2580645161290325E-3"/>
    <n v="4.2580645161290325E-3"/>
    <x v="2"/>
  </r>
  <r>
    <x v="0"/>
    <s v="Informe de seguimiento a la Sostenibilidad Contable - Resolución DDC-00003 del 05 de diciembre de 2018 - corte al 31Mar2021"/>
    <s v="Gestión Financiera"/>
    <s v="Apoyo"/>
    <s v="Ivonne Andrea Torres Cruz_x000a_Asesora de Control Interno"/>
    <s v="Marcela Urrea Jaramillo"/>
    <s v="Subdirector Financiero"/>
    <d v="2021-04-05T00:00:00"/>
    <d v="2021-04-30T00:00:00"/>
    <m/>
    <m/>
    <m/>
    <m/>
    <m/>
    <m/>
    <m/>
    <m/>
    <m/>
    <m/>
    <m/>
    <m/>
    <s v="Informe"/>
    <n v="3.0000000000000001E-3"/>
    <m/>
    <m/>
    <m/>
    <m/>
    <n v="0"/>
    <n v="3.0000000000000001E-3"/>
    <x v="4"/>
    <n v="25"/>
    <n v="-5"/>
    <n v="-0.2"/>
    <n v="-6.0000000000000006E-4"/>
    <n v="6.0000000000000006E-4"/>
    <x v="2"/>
  </r>
  <r>
    <x v="7"/>
    <s v="Auditoría Proceso de Mejoramiento de Vivienda_x000a_Revisión de Riesgos"/>
    <s v="Mejoramiento de Vivienda"/>
    <s v="Misional"/>
    <s v="Ivonne Andrea Torres Cruz_x000a_Asesora de Control Interno"/>
    <s v="Kelly Serrano Rincón"/>
    <s v="Director de Mejoramiento de Vivienda"/>
    <d v="2021-04-09T00:00:00"/>
    <d v="2021-04-20T00:00:00"/>
    <m/>
    <m/>
    <m/>
    <m/>
    <m/>
    <m/>
    <m/>
    <m/>
    <m/>
    <m/>
    <m/>
    <m/>
    <s v="Informe"/>
    <n v="0.01"/>
    <m/>
    <m/>
    <m/>
    <m/>
    <n v="0"/>
    <n v="0.01"/>
    <x v="4"/>
    <n v="11"/>
    <n v="-9"/>
    <n v="-0.81818181818181823"/>
    <n v="-8.1818181818181825E-3"/>
    <n v="8.1818181818181825E-3"/>
    <x v="2"/>
  </r>
  <r>
    <x v="0"/>
    <s v="Informe Directiva 003 de 2013 Alcaldía Mayor de Bogotá"/>
    <s v="Gestión Administrativa"/>
    <s v="Apoyo"/>
    <s v="Ivonne Andrea Torres Cruz_x000a_Asesora de Control Interno"/>
    <s v="Marcela Urrea Jaramillo"/>
    <s v="Subdirector Administrativo"/>
    <d v="2021-04-13T00:00:00"/>
    <d v="2021-05-13T00:00:00"/>
    <m/>
    <m/>
    <m/>
    <m/>
    <m/>
    <m/>
    <m/>
    <m/>
    <m/>
    <m/>
    <m/>
    <m/>
    <s v="Informe"/>
    <n v="0.01"/>
    <m/>
    <m/>
    <m/>
    <m/>
    <n v="0"/>
    <n v="0.01"/>
    <x v="6"/>
    <n v="30"/>
    <n v="-13"/>
    <n v="-0.43333333333333335"/>
    <n v="-4.333333333333334E-3"/>
    <n v="4.333333333333334E-3"/>
    <x v="2"/>
  </r>
  <r>
    <x v="7"/>
    <s v="Auditoría Proceso de Reasentamientos Humanos_x000a_Revisión de Riesgos"/>
    <s v="Reasentamientos Humanos"/>
    <s v="Misional"/>
    <s v="Ivonne Andrea Torres Cruz_x000a_Asesora de Control Interno"/>
    <s v="Kelly Serrano Rincón"/>
    <s v="Director de Reasentamientos Humanos"/>
    <d v="2021-04-21T00:00:00"/>
    <d v="2021-04-30T00:00:00"/>
    <m/>
    <m/>
    <m/>
    <m/>
    <m/>
    <m/>
    <m/>
    <m/>
    <m/>
    <m/>
    <m/>
    <m/>
    <s v="Informe"/>
    <n v="3.7499999999999999E-3"/>
    <m/>
    <m/>
    <m/>
    <m/>
    <n v="0"/>
    <n v="3.7499999999999999E-3"/>
    <x v="4"/>
    <n v="9"/>
    <n v="-21"/>
    <n v="-2.3333333333333335"/>
    <n v="-8.7500000000000008E-3"/>
    <n v="8.7500000000000008E-3"/>
    <x v="2"/>
  </r>
  <r>
    <x v="1"/>
    <s v="Seguimiento Matriz de riesgos de corrupción y por proceso 2021"/>
    <s v="Todos los Procesos"/>
    <s v="Todos los Procesos"/>
    <s v="Ivonne Andrea Torres Cruz_x000a_Asesora de Control Interno"/>
    <s v="Kelly Serrano Rincón"/>
    <s v="Líderes de Cada Proceso"/>
    <d v="2021-04-26T00:00:00"/>
    <d v="2021-05-14T00:00:00"/>
    <m/>
    <m/>
    <m/>
    <m/>
    <m/>
    <m/>
    <m/>
    <m/>
    <m/>
    <m/>
    <m/>
    <m/>
    <s v="Informe"/>
    <n v="1.6E-2"/>
    <m/>
    <m/>
    <m/>
    <m/>
    <n v="0"/>
    <n v="1.6E-2"/>
    <x v="6"/>
    <n v="18"/>
    <n v="-26"/>
    <n v="-1.4444444444444444"/>
    <n v="-2.311111111111111E-2"/>
    <n v="2.311111111111111E-2"/>
    <x v="2"/>
  </r>
  <r>
    <x v="1"/>
    <s v="Seguimiento Plan Anticorrupción y de Atención al Ciudadano 2021. Decreto 124 de 2016"/>
    <s v="Todos los Procesos"/>
    <s v="Todos los Procesos"/>
    <s v="Ivonne Andrea Torres Cruz_x000a_Asesora de Control Interno"/>
    <s v="Kelly Serrano Rincón"/>
    <s v="Líderes de Cada Proceso"/>
    <d v="2021-04-26T00:00:00"/>
    <d v="2021-05-14T00:00:00"/>
    <m/>
    <m/>
    <m/>
    <m/>
    <m/>
    <m/>
    <m/>
    <m/>
    <m/>
    <m/>
    <m/>
    <m/>
    <s v="Informe"/>
    <n v="1.6E-2"/>
    <m/>
    <m/>
    <m/>
    <m/>
    <n v="0"/>
    <n v="1.6E-2"/>
    <x v="6"/>
    <n v="18"/>
    <n v="-26"/>
    <n v="-1.4444444444444444"/>
    <n v="-2.311111111111111E-2"/>
    <n v="2.311111111111111E-2"/>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4-28T00:00:00"/>
    <d v="2021-05-04T00:00:00"/>
    <m/>
    <m/>
    <m/>
    <m/>
    <m/>
    <m/>
    <m/>
    <m/>
    <m/>
    <m/>
    <m/>
    <m/>
    <s v="Matriz"/>
    <n v="3.0000000000000001E-3"/>
    <m/>
    <m/>
    <m/>
    <m/>
    <n v="0"/>
    <n v="3.0000000000000001E-3"/>
    <x v="6"/>
    <n v="6"/>
    <n v="-28"/>
    <n v="-4.666666666666667"/>
    <n v="-1.4000000000000002E-2"/>
    <n v="1.4000000000000002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4-29T00:00:00"/>
    <d v="2021-05-04T00:00:00"/>
    <m/>
    <m/>
    <m/>
    <m/>
    <m/>
    <m/>
    <m/>
    <m/>
    <m/>
    <m/>
    <m/>
    <m/>
    <s v="Correo electrónico"/>
    <n v="1E-3"/>
    <m/>
    <m/>
    <m/>
    <m/>
    <n v="0"/>
    <n v="1E-3"/>
    <x v="6"/>
    <n v="5"/>
    <n v="-29"/>
    <n v="-5.8"/>
    <n v="-5.7999999999999996E-3"/>
    <n v="5.7999999999999996E-3"/>
    <x v="2"/>
  </r>
  <r>
    <x v="2"/>
    <s v="Trámite de cuentas de ACI"/>
    <s v="Evaluación de la Gestión"/>
    <s v="Seguimiento y Evaluación"/>
    <s v="Ivonne Andrea Torres Cruz_x000a_Asesora de Control Interno"/>
    <s v="Joan Gaitán Ferrer"/>
    <s v="Asesor de Control Interno"/>
    <d v="2021-05-03T00:00:00"/>
    <d v="2021-05-06T00:00:00"/>
    <m/>
    <m/>
    <m/>
    <m/>
    <m/>
    <m/>
    <m/>
    <m/>
    <m/>
    <m/>
    <m/>
    <m/>
    <s v="Reporte"/>
    <n v="3.0000000000000001E-3"/>
    <m/>
    <m/>
    <m/>
    <m/>
    <n v="0"/>
    <n v="3.0000000000000001E-3"/>
    <x v="6"/>
    <n v="3"/>
    <n v="-33"/>
    <n v="-11"/>
    <n v="-3.3000000000000002E-2"/>
    <n v="3.3000000000000002E-2"/>
    <x v="2"/>
  </r>
  <r>
    <x v="4"/>
    <s v="Informe cuenta mensual SIVICOF"/>
    <s v="Gestión Financiera"/>
    <s v="Apoyo"/>
    <s v="Ivonne Andrea Torres Cruz_x000a_Asesora de Control Interno"/>
    <s v="Carlos Vargas Hernández"/>
    <s v="Subdirector Financiero"/>
    <d v="2021-05-03T00:00:00"/>
    <d v="2021-05-11T00:00:00"/>
    <m/>
    <m/>
    <m/>
    <m/>
    <m/>
    <m/>
    <m/>
    <m/>
    <m/>
    <m/>
    <m/>
    <m/>
    <s v="Certificado"/>
    <n v="1E-3"/>
    <m/>
    <m/>
    <m/>
    <m/>
    <n v="0"/>
    <n v="1E-3"/>
    <x v="6"/>
    <n v="8"/>
    <n v="-33"/>
    <n v="-4.125"/>
    <n v="-4.1250000000000002E-3"/>
    <n v="4.1250000000000002E-3"/>
    <x v="2"/>
  </r>
  <r>
    <x v="0"/>
    <s v="Informe presupuestal a Personería"/>
    <s v="Gestión Financiera"/>
    <s v="Apoyo"/>
    <s v="Ivonne Andrea Torres Cruz_x000a_Asesora de Control Interno"/>
    <s v="Elizabeth Sáenz Sáenz"/>
    <s v="Subdirector Financiero"/>
    <d v="2021-05-03T00:00:00"/>
    <d v="2021-05-11T00:00:00"/>
    <m/>
    <m/>
    <m/>
    <m/>
    <m/>
    <m/>
    <m/>
    <m/>
    <m/>
    <m/>
    <m/>
    <m/>
    <s v="Informe"/>
    <n v="1E-3"/>
    <m/>
    <m/>
    <m/>
    <m/>
    <n v="0"/>
    <n v="1E-3"/>
    <x v="6"/>
    <n v="8"/>
    <n v="-33"/>
    <n v="-4.125"/>
    <n v="-4.1250000000000002E-3"/>
    <n v="4.1250000000000002E-3"/>
    <x v="2"/>
  </r>
  <r>
    <x v="7"/>
    <s v="Auditoría a la aplicación de las políticas contables por parte de los procesos de Gestión Financiera y de Urbanizaciones y Titulación"/>
    <s v="Urbanizaciones y Titulación"/>
    <s v="Misional"/>
    <s v="Ivonne Andrea Torres Cruz_x000a_Asesora de Control Interno"/>
    <s v="Carlos Vargas Hernández"/>
    <s v="Director de Urbanizaciones y Titulación"/>
    <d v="2021-05-03T00:00:00"/>
    <d v="2021-06-30T00:00:00"/>
    <m/>
    <m/>
    <m/>
    <m/>
    <m/>
    <m/>
    <m/>
    <m/>
    <m/>
    <m/>
    <m/>
    <m/>
    <s v="Informe"/>
    <n v="1.25E-3"/>
    <m/>
    <m/>
    <m/>
    <m/>
    <n v="0"/>
    <n v="1.25E-3"/>
    <x v="7"/>
    <n v="58"/>
    <n v="-33"/>
    <n v="-0.56896551724137934"/>
    <n v="-7.1120689655172417E-4"/>
    <n v="7.1120689655172417E-4"/>
    <x v="2"/>
  </r>
  <r>
    <x v="7"/>
    <s v="Auditoría a la aplicación de las políticas contables por parte de los procesos de Gestión Financiera y de Urbanizaciones y Titulación"/>
    <s v="Gestión Financiera"/>
    <s v="Apoyo"/>
    <s v="Ivonne Andrea Torres Cruz_x000a_Asesora de Control Interno"/>
    <s v="Carlos Vargas Hernández"/>
    <s v="Subdirector Financiero"/>
    <d v="2021-05-03T00:00:00"/>
    <d v="2021-06-30T00:00:00"/>
    <m/>
    <m/>
    <m/>
    <m/>
    <m/>
    <m/>
    <m/>
    <m/>
    <m/>
    <m/>
    <m/>
    <m/>
    <s v="Informe"/>
    <n v="1.25E-3"/>
    <m/>
    <m/>
    <m/>
    <m/>
    <n v="0"/>
    <n v="1.25E-3"/>
    <x v="7"/>
    <n v="58"/>
    <n v="-33"/>
    <n v="-0.56896551724137934"/>
    <n v="-7.1120689655172417E-4"/>
    <n v="7.1120689655172417E-4"/>
    <x v="2"/>
  </r>
  <r>
    <x v="7"/>
    <s v="Auditoría a la cartera generada por el Proceso de Urbanizaciones y Titulación"/>
    <s v="Gestión Financiera"/>
    <s v="Apoyo"/>
    <s v="Ivonne Andrea Torres Cruz_x000a_Asesora de Control Interno"/>
    <s v="Carlos Vargas Hernández"/>
    <s v="Subdirector Financiero"/>
    <d v="2021-05-03T00:00:00"/>
    <d v="2021-06-30T00:00:00"/>
    <m/>
    <m/>
    <m/>
    <m/>
    <m/>
    <m/>
    <m/>
    <m/>
    <m/>
    <m/>
    <m/>
    <m/>
    <s v="Informe"/>
    <n v="1.25E-3"/>
    <m/>
    <m/>
    <m/>
    <m/>
    <n v="0"/>
    <n v="1.25E-3"/>
    <x v="7"/>
    <n v="58"/>
    <n v="-33"/>
    <n v="-0.56896551724137934"/>
    <n v="-7.1120689655172417E-4"/>
    <n v="7.1120689655172417E-4"/>
    <x v="2"/>
  </r>
  <r>
    <x v="7"/>
    <s v="Auditoría a la cartera generada por el Proceso de Urbanizaciones y Titulación"/>
    <s v="Urbanizaciones y Titulación"/>
    <s v="Misional"/>
    <s v="Ivonne Andrea Torres Cruz_x000a_Asesora de Control Interno"/>
    <s v="Carlos Vargas Hernández"/>
    <s v="Director de Urbanizaciones y Titulación"/>
    <d v="2021-05-03T00:00:00"/>
    <d v="2021-06-30T00:00:00"/>
    <m/>
    <m/>
    <m/>
    <m/>
    <m/>
    <m/>
    <m/>
    <m/>
    <m/>
    <m/>
    <m/>
    <m/>
    <s v="Informe"/>
    <n v="1.25E-3"/>
    <m/>
    <m/>
    <m/>
    <m/>
    <n v="0"/>
    <n v="1.25E-3"/>
    <x v="7"/>
    <n v="58"/>
    <n v="-33"/>
    <n v="-0.56896551724137934"/>
    <n v="-7.1120689655172417E-4"/>
    <n v="7.1120689655172417E-4"/>
    <x v="2"/>
  </r>
  <r>
    <x v="7"/>
    <s v="Auditoría a los inventarios de bienes inmuebles reportados por el Proceso de Urbanizaciones y Titulación"/>
    <s v="Urbanizaciones y Titulación"/>
    <s v="Misional"/>
    <s v="Ivonne Andrea Torres Cruz_x000a_Asesora de Control Interno"/>
    <s v="Carlos Vargas Hernández"/>
    <s v="Director de Urbanizaciones y Titulación"/>
    <d v="2021-05-03T00:00:00"/>
    <d v="2021-06-30T00:00:00"/>
    <m/>
    <m/>
    <m/>
    <m/>
    <m/>
    <m/>
    <m/>
    <m/>
    <m/>
    <m/>
    <m/>
    <m/>
    <s v="Informe"/>
    <n v="1.25E-3"/>
    <m/>
    <m/>
    <m/>
    <m/>
    <n v="0"/>
    <n v="1.25E-3"/>
    <x v="7"/>
    <n v="58"/>
    <n v="-33"/>
    <n v="-0.56896551724137934"/>
    <n v="-7.1120689655172417E-4"/>
    <n v="7.1120689655172417E-4"/>
    <x v="2"/>
  </r>
  <r>
    <x v="7"/>
    <s v="Auditoría a los inventarios de bienes inmuebles reportados por el Proceso de Urbanizaciones y Titulación"/>
    <s v="Gestión Administrativa"/>
    <s v="Apoyo"/>
    <s v="Ivonne Andrea Torres Cruz_x000a_Asesora de Control Interno"/>
    <s v="Carlos Vargas Hernández"/>
    <s v="Subdirector Administrativo"/>
    <d v="2021-05-03T00:00:00"/>
    <d v="2021-06-30T00:00:00"/>
    <m/>
    <m/>
    <m/>
    <m/>
    <m/>
    <m/>
    <m/>
    <m/>
    <m/>
    <m/>
    <m/>
    <m/>
    <s v="Informe"/>
    <n v="1.25E-3"/>
    <m/>
    <m/>
    <m/>
    <m/>
    <n v="0"/>
    <n v="1.25E-3"/>
    <x v="7"/>
    <n v="58"/>
    <n v="-33"/>
    <n v="-0.56896551724137934"/>
    <n v="-7.1120689655172417E-4"/>
    <n v="7.1120689655172417E-4"/>
    <x v="2"/>
  </r>
  <r>
    <x v="7"/>
    <s v="Auditoría Proceso de Gestión del Talento Humano_x000a_Cobro de las Incapacidades reportadas por los funcionarios del proceso de Urbanizaciones y Titulación"/>
    <s v="Gestión del Talento Humano"/>
    <s v="Apoyo"/>
    <s v="Ivonne Andrea Torres Cruz_x000a_Asesora de Control Interno"/>
    <s v="Carlos Vargas Hernández"/>
    <s v="Subdirector Administrativo"/>
    <d v="2021-05-03T00:00:00"/>
    <d v="2021-06-30T00:00:00"/>
    <m/>
    <m/>
    <m/>
    <m/>
    <m/>
    <m/>
    <m/>
    <m/>
    <m/>
    <m/>
    <m/>
    <m/>
    <s v="Informe"/>
    <n v="1.25E-3"/>
    <m/>
    <m/>
    <m/>
    <m/>
    <n v="0"/>
    <n v="1.25E-3"/>
    <x v="7"/>
    <n v="58"/>
    <n v="-33"/>
    <n v="-0.56896551724137934"/>
    <n v="-7.1120689655172417E-4"/>
    <n v="7.1120689655172417E-4"/>
    <x v="2"/>
  </r>
  <r>
    <x v="7"/>
    <s v="Auditoría Proceso de Mejoramiento de Barrios_x000a_Cumplimiento metas del PDD y Proyecto de inversión - Presupuesto - FUSS - Plan Anual de Adquisidores - Indicadores"/>
    <s v="Mejoramiento de Barrios"/>
    <s v="Misional"/>
    <s v="Ivonne Andrea Torres Cruz_x000a_Asesora de Control Interno"/>
    <s v="Carlos Vargas Hernández"/>
    <s v="Director de Mejoramiento de Barrios"/>
    <d v="2021-05-03T00:00:00"/>
    <d v="2021-06-30T00:00:00"/>
    <m/>
    <m/>
    <m/>
    <m/>
    <m/>
    <m/>
    <m/>
    <m/>
    <m/>
    <m/>
    <m/>
    <m/>
    <s v="Informe"/>
    <n v="5.0000000000000001E-3"/>
    <m/>
    <m/>
    <m/>
    <m/>
    <n v="0"/>
    <n v="5.0000000000000001E-3"/>
    <x v="7"/>
    <n v="58"/>
    <n v="-33"/>
    <n v="-0.56896551724137934"/>
    <n v="-2.8448275862068967E-3"/>
    <n v="2.8448275862068967E-3"/>
    <x v="2"/>
  </r>
  <r>
    <x v="7"/>
    <s v="Auditoría Proceso de Mejoramiento de Barrios_x000a_Decreto 371 de 2010 - Artículo 2 - de los procesos de contratación en el distrito capital"/>
    <s v="Adquisición de Bienes y Servicios"/>
    <s v="Apoyo"/>
    <s v="Ivonne Andrea Torres Cruz_x000a_Asesora de Control Interno"/>
    <s v="Andrea Sierra Ochoa"/>
    <s v="Director de Gestión Corporativa y CID"/>
    <d v="2021-05-04T00:00:00"/>
    <d v="2021-06-09T00:00:00"/>
    <m/>
    <m/>
    <m/>
    <m/>
    <m/>
    <m/>
    <m/>
    <m/>
    <m/>
    <m/>
    <m/>
    <m/>
    <s v="Informe"/>
    <n v="5.0000000000000001E-3"/>
    <m/>
    <m/>
    <m/>
    <m/>
    <n v="0"/>
    <n v="5.0000000000000001E-3"/>
    <x v="7"/>
    <n v="36"/>
    <n v="-34"/>
    <n v="-0.94444444444444442"/>
    <n v="-4.7222222222222223E-3"/>
    <n v="4.7222222222222223E-3"/>
    <x v="2"/>
  </r>
  <r>
    <x v="1"/>
    <s v="Verificación de la oportunidad en la entrega de las herramientas de gestión de la CVP: Seguimiento a la Gestión por Procesos - Indicadores de Gestión, PAAC y mapa de riesgos"/>
    <s v="Todos los Procesos"/>
    <s v="Todos los Procesos"/>
    <s v="Ivonne Andrea Torres Cruz_x000a_Asesora de Control Interno"/>
    <s v="Joan Gaitán Ferrer"/>
    <s v="Líderes de Cada Proceso"/>
    <d v="2021-05-11T00:00:00"/>
    <d v="2021-05-15T00:00:00"/>
    <m/>
    <m/>
    <m/>
    <m/>
    <m/>
    <m/>
    <m/>
    <m/>
    <m/>
    <m/>
    <m/>
    <m/>
    <s v="Reporte"/>
    <n v="5.0000000000000001E-3"/>
    <m/>
    <m/>
    <m/>
    <m/>
    <n v="0"/>
    <n v="5.0000000000000001E-3"/>
    <x v="6"/>
    <n v="4"/>
    <n v="-41"/>
    <n v="-10.25"/>
    <n v="-5.1250000000000004E-2"/>
    <n v="5.1250000000000004E-2"/>
    <x v="2"/>
  </r>
  <r>
    <x v="7"/>
    <s v="Auditoría Proceso de Mejoramiento de Barrios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5-14T00:00:00"/>
    <d v="2021-06-15T00:00:00"/>
    <m/>
    <m/>
    <m/>
    <m/>
    <m/>
    <m/>
    <m/>
    <m/>
    <m/>
    <m/>
    <m/>
    <m/>
    <s v="Informe"/>
    <n v="5.0000000000000001E-3"/>
    <m/>
    <m/>
    <m/>
    <m/>
    <n v="0"/>
    <n v="5.0000000000000001E-3"/>
    <x v="7"/>
    <n v="32"/>
    <n v="-44"/>
    <n v="-1.375"/>
    <n v="-6.875E-3"/>
    <n v="6.875E-3"/>
    <x v="2"/>
  </r>
  <r>
    <x v="7"/>
    <s v="Auditoría Proceso de Mejoramiento de Barrios_x000a_Expedientes del proceso - procedimientos del proceso"/>
    <s v="Mejoramiento de Barrios"/>
    <s v="Misional"/>
    <s v="Ivonne Andrea Torres Cruz_x000a_Asesora de Control Interno"/>
    <s v="Marcela Urrea Jaramillo"/>
    <s v="Director de Mejoramiento de Barrios"/>
    <d v="2021-05-14T00:00:00"/>
    <d v="2021-06-15T00:00:00"/>
    <m/>
    <m/>
    <m/>
    <m/>
    <m/>
    <m/>
    <m/>
    <m/>
    <m/>
    <m/>
    <m/>
    <m/>
    <s v="Informe"/>
    <n v="5.0000000000000001E-3"/>
    <m/>
    <m/>
    <m/>
    <m/>
    <n v="0"/>
    <n v="5.0000000000000001E-3"/>
    <x v="7"/>
    <n v="32"/>
    <n v="-44"/>
    <n v="-1.375"/>
    <n v="-6.875E-3"/>
    <n v="6.875E-3"/>
    <x v="2"/>
  </r>
  <r>
    <x v="7"/>
    <s v="Auditoría Proceso de Urbanizaciones y Titulación_x000a_Cumplimiento metas del PDD y Proyecto de inversión - Presupuesto - FUSS - Plan Anual de Adquisidores - Indicadores"/>
    <s v="Urbanizaciones y Titulación"/>
    <s v="Misional"/>
    <s v="Ivonne Andrea Torres Cruz_x000a_Asesora de Control Interno"/>
    <s v="Kelly Serrano Rincón"/>
    <s v="Director de Urbanizaciones y Titulación"/>
    <d v="2021-05-18T00:00:00"/>
    <d v="2021-06-11T00:00:00"/>
    <m/>
    <m/>
    <m/>
    <m/>
    <m/>
    <m/>
    <m/>
    <m/>
    <m/>
    <m/>
    <m/>
    <m/>
    <s v="Informe"/>
    <n v="5.0000000000000001E-3"/>
    <m/>
    <m/>
    <m/>
    <m/>
    <n v="0"/>
    <n v="5.0000000000000001E-3"/>
    <x v="7"/>
    <n v="24"/>
    <n v="-48"/>
    <n v="-2"/>
    <n v="-0.01"/>
    <n v="0.01"/>
    <x v="2"/>
  </r>
  <r>
    <x v="2"/>
    <s v="Diseño y gestión de capacitaciones para el fortalecimiento y aplicación del principio de autocontrol  "/>
    <s v="Todos los Procesos"/>
    <s v="Todos los Procesos"/>
    <s v="Ivonne Andrea Torres Cruz_x000a_Asesora de Control Interno"/>
    <s v="Kelly Serrano Rincón"/>
    <s v="Líderes de Cada Proceso"/>
    <d v="2021-05-18T00:00:00"/>
    <d v="2021-09-30T00:00:00"/>
    <m/>
    <m/>
    <m/>
    <m/>
    <m/>
    <m/>
    <m/>
    <m/>
    <m/>
    <m/>
    <m/>
    <m/>
    <s v="Presentación"/>
    <n v="1.2E-2"/>
    <m/>
    <m/>
    <m/>
    <m/>
    <n v="0"/>
    <n v="1.2E-2"/>
    <x v="5"/>
    <n v="135"/>
    <n v="-48"/>
    <n v="-0.35555555555555557"/>
    <n v="-4.2666666666666669E-3"/>
    <n v="4.2666666666666669E-3"/>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5-26T00:00:00"/>
    <d v="2021-06-02T00:00:00"/>
    <m/>
    <m/>
    <m/>
    <m/>
    <m/>
    <m/>
    <m/>
    <m/>
    <m/>
    <m/>
    <m/>
    <m/>
    <s v="Matriz"/>
    <n v="3.0000000000000001E-3"/>
    <m/>
    <m/>
    <m/>
    <m/>
    <n v="0"/>
    <n v="3.0000000000000001E-3"/>
    <x v="7"/>
    <n v="7"/>
    <n v="-56"/>
    <n v="-8"/>
    <n v="-2.4E-2"/>
    <n v="2.4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5-28T00:00:00"/>
    <d v="2021-06-02T00:00:00"/>
    <m/>
    <m/>
    <m/>
    <m/>
    <m/>
    <m/>
    <m/>
    <m/>
    <m/>
    <m/>
    <m/>
    <m/>
    <s v="Correo electrónico"/>
    <n v="1E-3"/>
    <m/>
    <m/>
    <m/>
    <m/>
    <n v="0"/>
    <n v="1E-3"/>
    <x v="7"/>
    <n v="5"/>
    <n v="-58"/>
    <n v="-11.6"/>
    <n v="-1.1599999999999999E-2"/>
    <n v="1.1599999999999999E-2"/>
    <x v="2"/>
  </r>
  <r>
    <x v="2"/>
    <s v="Trámite de cuentas de ACI"/>
    <s v="Evaluación de la Gestión"/>
    <s v="Seguimiento y Evaluación"/>
    <s v="Ivonne Andrea Torres Cruz_x000a_Asesora de Control Interno"/>
    <s v="Joan Gaitán Ferrer"/>
    <s v="Asesor de Control Interno"/>
    <d v="2021-06-01T00:00:00"/>
    <d v="2021-06-04T00:00:00"/>
    <m/>
    <m/>
    <m/>
    <m/>
    <m/>
    <m/>
    <m/>
    <m/>
    <m/>
    <m/>
    <m/>
    <m/>
    <s v="Reporte"/>
    <n v="3.0000000000000001E-3"/>
    <m/>
    <m/>
    <m/>
    <m/>
    <n v="0"/>
    <n v="3.0000000000000001E-3"/>
    <x v="7"/>
    <n v="3"/>
    <n v="-62"/>
    <n v="-20.666666666666668"/>
    <n v="-6.2000000000000006E-2"/>
    <n v="6.2000000000000006E-2"/>
    <x v="2"/>
  </r>
  <r>
    <x v="4"/>
    <s v="Informe cuenta mensual SIVICOF"/>
    <s v="Adquisición de Bienes y Servicios"/>
    <s v="Apoyo"/>
    <s v="Ivonne Andrea Torres Cruz_x000a_Asesora de Control Interno"/>
    <s v="Carlos Vargas Hernández"/>
    <s v="Director de Gestión Corporativa y CID"/>
    <d v="2021-06-01T00:00:00"/>
    <d v="2021-06-10T00:00:00"/>
    <m/>
    <m/>
    <m/>
    <m/>
    <m/>
    <m/>
    <m/>
    <m/>
    <m/>
    <m/>
    <m/>
    <m/>
    <s v="Certificado"/>
    <n v="1E-3"/>
    <m/>
    <m/>
    <m/>
    <m/>
    <n v="0"/>
    <n v="1E-3"/>
    <x v="7"/>
    <n v="9"/>
    <n v="-62"/>
    <n v="-6.8888888888888893"/>
    <n v="-6.8888888888888897E-3"/>
    <n v="6.8888888888888897E-3"/>
    <x v="2"/>
  </r>
  <r>
    <x v="2"/>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s v="Evaluación de la Gestión"/>
    <s v="Seguimiento y Evaluación"/>
    <s v="Ivonne Andrea Torres Cruz_x000a_Asesora de Control Interno"/>
    <s v="Andrea Sierra Ochoa"/>
    <s v="Asesor de Control Interno"/>
    <d v="2021-06-01T00:00:00"/>
    <d v="2021-08-31T00:00:00"/>
    <m/>
    <m/>
    <m/>
    <m/>
    <m/>
    <m/>
    <m/>
    <m/>
    <m/>
    <m/>
    <m/>
    <m/>
    <s v="Piezas comunicativas y presentación"/>
    <n v="1.0999999999999999E-2"/>
    <m/>
    <m/>
    <m/>
    <m/>
    <n v="0"/>
    <n v="1.0999999999999999E-2"/>
    <x v="8"/>
    <n v="91"/>
    <n v="-62"/>
    <n v="-0.68131868131868134"/>
    <n v="-7.4945054945054941E-3"/>
    <n v="7.4945054945054941E-3"/>
    <x v="2"/>
  </r>
  <r>
    <x v="0"/>
    <s v="Informe presupuestal a Personería"/>
    <s v="Gestión Financiera"/>
    <s v="Apoyo"/>
    <s v="Ivonne Andrea Torres Cruz_x000a_Asesora de Control Interno"/>
    <s v="Elizabeth Sáenz Sáenz"/>
    <s v="Subdirector Financiero"/>
    <d v="2021-06-04T00:00:00"/>
    <d v="2021-06-10T00:00:00"/>
    <m/>
    <m/>
    <m/>
    <m/>
    <m/>
    <m/>
    <m/>
    <m/>
    <m/>
    <m/>
    <m/>
    <m/>
    <s v="Informe"/>
    <n v="1E-3"/>
    <m/>
    <m/>
    <m/>
    <m/>
    <n v="0"/>
    <n v="1E-3"/>
    <x v="7"/>
    <n v="6"/>
    <n v="-65"/>
    <n v="-10.833333333333334"/>
    <n v="-1.0833333333333334E-2"/>
    <n v="1.0833333333333334E-2"/>
    <x v="2"/>
  </r>
  <r>
    <x v="0"/>
    <s v="Revisión por la Dirección ISO 9001:2015 - información a cargo de control interno"/>
    <s v="Gestión Estratégica"/>
    <s v="Estratégico"/>
    <s v="Ivonne Andrea Torres Cruz_x000a_Asesora de Control Interno"/>
    <s v="Joan Gaitán Ferrer"/>
    <s v="Jefe Oficina Asesora de Planeación "/>
    <d v="2021-06-08T00:00:00"/>
    <d v="2021-06-25T00:00:00"/>
    <m/>
    <m/>
    <m/>
    <m/>
    <m/>
    <m/>
    <m/>
    <m/>
    <m/>
    <m/>
    <m/>
    <m/>
    <s v="Informe"/>
    <n v="0.01"/>
    <m/>
    <m/>
    <m/>
    <m/>
    <n v="0"/>
    <n v="0.01"/>
    <x v="7"/>
    <n v="17"/>
    <n v="-69"/>
    <n v="-4.0588235294117645"/>
    <n v="-4.0588235294117647E-2"/>
    <n v="4.0588235294117647E-2"/>
    <x v="2"/>
  </r>
  <r>
    <x v="7"/>
    <s v="Auditoría Proceso de Mejoramiento de Vivienda_x000a_Decreto 371 de 2010 - Artículo 2 - de los procesos de contratación en el distrito capital"/>
    <s v="Adquisición de Bienes y Servicios"/>
    <s v="Apoyo"/>
    <s v="Ivonne Andrea Torres Cruz_x000a_Asesora de Control Interno"/>
    <s v="Andrea Sierra Ochoa"/>
    <s v="Director de Gestión Corporativa y CID"/>
    <d v="2021-06-10T00:00:00"/>
    <d v="2021-07-16T00:00:00"/>
    <m/>
    <m/>
    <m/>
    <m/>
    <m/>
    <m/>
    <m/>
    <m/>
    <m/>
    <m/>
    <m/>
    <m/>
    <s v="Informe"/>
    <n v="5.0000000000000001E-3"/>
    <m/>
    <m/>
    <m/>
    <m/>
    <n v="0"/>
    <n v="5.0000000000000001E-3"/>
    <x v="9"/>
    <n v="36"/>
    <n v="-71"/>
    <n v="-1.9722222222222223"/>
    <n v="-9.8611111111111122E-3"/>
    <n v="9.8611111111111122E-3"/>
    <x v="2"/>
  </r>
  <r>
    <x v="6"/>
    <s v="Seguimiento al Plan de Mejoramiento Externo - literal i; Artículo 2.2.21.4.9 del Decreto 1083 de 2015 y Artículo 10 de la Resolución reglamentaria 036 de 2019, expedida por la Contraloría de Bogotá"/>
    <s v="Todos los Procesos"/>
    <s v="Todos los Procesos"/>
    <s v="Ivonne Andrea Torres Cruz_x000a_Asesora de Control Interno"/>
    <s v="Kelly Serrano Rincón"/>
    <s v="Líderes de Cada Proceso"/>
    <d v="2021-06-15T00:00:00"/>
    <d v="2021-07-02T00:00:00"/>
    <m/>
    <m/>
    <m/>
    <m/>
    <m/>
    <m/>
    <m/>
    <m/>
    <m/>
    <m/>
    <m/>
    <m/>
    <s v="Matriz"/>
    <n v="0.02"/>
    <m/>
    <m/>
    <m/>
    <m/>
    <n v="0"/>
    <n v="0.02"/>
    <x v="9"/>
    <n v="17"/>
    <n v="-76"/>
    <n v="-4.4705882352941178"/>
    <n v="-8.9411764705882357E-2"/>
    <n v="8.9411764705882357E-2"/>
    <x v="2"/>
  </r>
  <r>
    <x v="6"/>
    <s v="Seguimiento al Plan de Mejoramiento Interno - Artículo 5 del Decreto 371 de 2010"/>
    <s v="Todos los Procesos"/>
    <s v="Todos los Procesos"/>
    <s v="Ivonne Andrea Torres Cruz_x000a_Asesora de Control Interno"/>
    <s v="Kelly Serrano Rincón"/>
    <s v="Líderes de Cada Proceso"/>
    <d v="2021-06-15T00:00:00"/>
    <d v="2021-07-02T00:00:00"/>
    <m/>
    <m/>
    <m/>
    <m/>
    <m/>
    <m/>
    <m/>
    <m/>
    <m/>
    <m/>
    <m/>
    <m/>
    <s v="Matriz"/>
    <n v="0.02"/>
    <m/>
    <m/>
    <m/>
    <m/>
    <n v="0"/>
    <n v="0.02"/>
    <x v="9"/>
    <n v="17"/>
    <n v="-76"/>
    <n v="-4.4705882352941178"/>
    <n v="-8.9411764705882357E-2"/>
    <n v="8.9411764705882357E-2"/>
    <x v="2"/>
  </r>
  <r>
    <x v="2"/>
    <s v="Diseñar, preparar, aplicar, tabular y realizar informe con oportunidades de mejora de la implementación y aplicación del estatuto interno del auditor y del código de ética del auditor"/>
    <s v="Todos los Procesos"/>
    <s v="Todos los Procesos"/>
    <s v="Ivonne Andrea Torres Cruz_x000a_Asesora de Control Interno"/>
    <s v="Joan Gaitán Ferrer"/>
    <s v="Líderes de Cada Proceso"/>
    <d v="2021-06-15T00:00:00"/>
    <d v="2021-07-15T00:00:00"/>
    <m/>
    <m/>
    <m/>
    <m/>
    <m/>
    <m/>
    <m/>
    <m/>
    <m/>
    <m/>
    <m/>
    <m/>
    <s v="Informe"/>
    <n v="5.0000000000000001E-3"/>
    <m/>
    <m/>
    <m/>
    <m/>
    <n v="0"/>
    <n v="5.0000000000000001E-3"/>
    <x v="9"/>
    <n v="30"/>
    <n v="-76"/>
    <n v="-2.5333333333333332"/>
    <n v="-1.2666666666666666E-2"/>
    <n v="1.2666666666666666E-2"/>
    <x v="2"/>
  </r>
  <r>
    <x v="7"/>
    <s v="Auditoría Proceso de Mejoramiento de Vivienda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6-16T00:00:00"/>
    <d v="2021-07-16T00:00:00"/>
    <m/>
    <m/>
    <m/>
    <m/>
    <m/>
    <m/>
    <m/>
    <m/>
    <m/>
    <m/>
    <m/>
    <m/>
    <s v="Informe"/>
    <n v="2.5000000000000001E-3"/>
    <m/>
    <m/>
    <m/>
    <m/>
    <n v="0"/>
    <n v="2.5000000000000001E-3"/>
    <x v="9"/>
    <n v="30"/>
    <n v="-77"/>
    <n v="-2.5666666666666669"/>
    <n v="-6.4166666666666677E-3"/>
    <n v="6.4166666666666677E-3"/>
    <x v="2"/>
  </r>
  <r>
    <x v="7"/>
    <s v="Auditoría Proceso de Mejoramiento de Vivienda_x000a_Expedientes del proceso - procedimientos del proceso"/>
    <s v="Mejoramiento de Vivienda"/>
    <s v="Misional"/>
    <s v="Ivonne Andrea Torres Cruz_x000a_Asesora de Control Interno"/>
    <s v="Marcela Urrea Jaramillo"/>
    <s v="Director de Mejoramiento de Vivienda"/>
    <d v="2021-06-16T00:00:00"/>
    <d v="2021-07-16T00:00:00"/>
    <m/>
    <m/>
    <m/>
    <m/>
    <m/>
    <m/>
    <m/>
    <m/>
    <m/>
    <m/>
    <m/>
    <m/>
    <s v="Informe"/>
    <n v="5.0000000000000001E-3"/>
    <m/>
    <m/>
    <m/>
    <m/>
    <n v="0"/>
    <n v="5.0000000000000001E-3"/>
    <x v="9"/>
    <n v="30"/>
    <n v="-77"/>
    <n v="-2.5666666666666669"/>
    <n v="-1.2833333333333335E-2"/>
    <n v="1.2833333333333335E-2"/>
    <x v="2"/>
  </r>
  <r>
    <x v="3"/>
    <s v="Evaluación independiente del estado del Sistema de Control Interno. Artículo 9 Ley 1474 de 2011, modificado por el Artículo 156 del Decreto Nacional 2106 de 2019. Circular Externa 100-006 de 2019. Elaborado según metodología del DAFP"/>
    <s v="Todos los Procesos"/>
    <s v="Todos los Procesos"/>
    <s v="Ivonne Andrea Torres Cruz_x000a_Asesora de Control Interno"/>
    <s v="Kelly Serrano Rincón"/>
    <s v="Líderes de Cada Proceso"/>
    <d v="2021-06-28T00:00:00"/>
    <d v="2021-07-28T00:00:00"/>
    <m/>
    <m/>
    <m/>
    <m/>
    <m/>
    <m/>
    <m/>
    <m/>
    <m/>
    <m/>
    <m/>
    <m/>
    <s v="Matriz"/>
    <n v="1.4999999999999999E-2"/>
    <m/>
    <m/>
    <m/>
    <m/>
    <n v="0"/>
    <n v="1.4999999999999999E-2"/>
    <x v="9"/>
    <n v="30"/>
    <n v="-89"/>
    <n v="-2.9666666666666668"/>
    <n v="-4.4499999999999998E-2"/>
    <n v="4.4499999999999998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Prevención del Daño Antijurídico y Representación Judicial"/>
    <s v="Estratégico"/>
    <s v="Ivonne Andrea Torres Cruz_x000a_Asesora de Control Interno"/>
    <s v="Joan Gaitán Ferrer"/>
    <s v="Director Jurídico "/>
    <d v="2021-06-29T00:00:00"/>
    <d v="2021-07-02T00:00:00"/>
    <m/>
    <m/>
    <m/>
    <m/>
    <m/>
    <m/>
    <m/>
    <m/>
    <m/>
    <m/>
    <m/>
    <m/>
    <s v="Correo electrónico"/>
    <n v="1E-3"/>
    <m/>
    <m/>
    <m/>
    <m/>
    <n v="0"/>
    <n v="1E-3"/>
    <x v="9"/>
    <n v="3"/>
    <n v="-90"/>
    <n v="-30"/>
    <n v="-0.03"/>
    <n v="0.03"/>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6-29T00:00:00"/>
    <d v="2021-07-02T00:00:00"/>
    <m/>
    <m/>
    <m/>
    <m/>
    <m/>
    <m/>
    <m/>
    <m/>
    <m/>
    <m/>
    <m/>
    <m/>
    <s v="Matriz"/>
    <n v="3.0000000000000001E-3"/>
    <m/>
    <m/>
    <m/>
    <m/>
    <n v="0"/>
    <n v="3.0000000000000001E-3"/>
    <x v="9"/>
    <n v="3"/>
    <n v="-90"/>
    <n v="-30"/>
    <n v="-0.09"/>
    <n v="0.09"/>
    <x v="2"/>
  </r>
  <r>
    <x v="2"/>
    <s v="Trámite de cuentas de ACI"/>
    <s v="Evaluación de la Gestión"/>
    <s v="Seguimiento y Evaluación"/>
    <s v="Ivonne Andrea Torres Cruz_x000a_Asesora de Control Interno"/>
    <s v="Joan Gaitán Ferrer"/>
    <s v="Asesor de Control Interno"/>
    <d v="2021-07-01T00:00:00"/>
    <d v="2021-07-07T00:00:00"/>
    <m/>
    <m/>
    <m/>
    <m/>
    <m/>
    <m/>
    <m/>
    <m/>
    <m/>
    <m/>
    <m/>
    <m/>
    <s v="Reporte"/>
    <n v="3.0000000000000001E-3"/>
    <m/>
    <m/>
    <m/>
    <m/>
    <n v="0"/>
    <n v="3.0000000000000001E-3"/>
    <x v="9"/>
    <n v="6"/>
    <n v="-92"/>
    <n v="-15.333333333333334"/>
    <n v="-4.6000000000000006E-2"/>
    <n v="4.6000000000000006E-2"/>
    <x v="2"/>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07-01T00:00:00"/>
    <d v="2021-07-08T00:00:00"/>
    <m/>
    <m/>
    <m/>
    <m/>
    <m/>
    <m/>
    <m/>
    <m/>
    <m/>
    <m/>
    <m/>
    <m/>
    <s v="Matriz"/>
    <n v="3.0000000000000001E-3"/>
    <m/>
    <m/>
    <m/>
    <m/>
    <n v="0"/>
    <n v="3.0000000000000001E-3"/>
    <x v="9"/>
    <n v="7"/>
    <n v="-92"/>
    <n v="-13.142857142857142"/>
    <n v="-3.9428571428571431E-2"/>
    <n v="3.9428571428571431E-2"/>
    <x v="2"/>
  </r>
  <r>
    <x v="0"/>
    <s v="Revisión del informe de gestión judicial, según los términos del Artículo 30 de la Resolución 104 de 2018"/>
    <s v="Prevención del Daño Antijurídico y Representación Judicial"/>
    <s v="Estratégico"/>
    <s v="Ivonne Andrea Torres Cruz_x000a_Asesora de Control Interno"/>
    <s v="Andrea Sierra Ochoa"/>
    <s v="Director Jurídico "/>
    <d v="2021-07-01T00:00:00"/>
    <d v="2021-07-09T00:00:00"/>
    <m/>
    <m/>
    <m/>
    <m/>
    <m/>
    <m/>
    <m/>
    <m/>
    <m/>
    <m/>
    <m/>
    <m/>
    <s v="Informe"/>
    <n v="2.5000000000000001E-3"/>
    <m/>
    <m/>
    <m/>
    <m/>
    <n v="0"/>
    <n v="2.5000000000000001E-3"/>
    <x v="9"/>
    <n v="8"/>
    <n v="-92"/>
    <n v="-11.5"/>
    <n v="-2.8750000000000001E-2"/>
    <n v="2.8750000000000001E-2"/>
    <x v="2"/>
  </r>
  <r>
    <x v="4"/>
    <s v="Informe cuenta mensual SIVICOF"/>
    <s v="Gestión Financiera"/>
    <s v="Apoyo"/>
    <s v="Ivonne Andrea Torres Cruz_x000a_Asesora de Control Interno"/>
    <s v="Carlos Vargas Hernández"/>
    <s v="Subdirector Financiero"/>
    <d v="2021-07-01T00:00:00"/>
    <d v="2021-07-12T00:00:00"/>
    <m/>
    <m/>
    <m/>
    <m/>
    <m/>
    <m/>
    <m/>
    <m/>
    <m/>
    <m/>
    <m/>
    <m/>
    <s v="Certificado"/>
    <n v="1E-3"/>
    <m/>
    <m/>
    <m/>
    <m/>
    <n v="0"/>
    <n v="1E-3"/>
    <x v="9"/>
    <n v="11"/>
    <n v="-92"/>
    <n v="-8.3636363636363633"/>
    <n v="-8.363636363636363E-3"/>
    <n v="8.363636363636363E-3"/>
    <x v="2"/>
  </r>
  <r>
    <x v="0"/>
    <s v="Informe presupuestal a Personería"/>
    <s v="Gestión Financiera"/>
    <s v="Apoyo"/>
    <s v="Ivonne Andrea Torres Cruz_x000a_Asesora de Control Interno"/>
    <s v="Elizabeth Sáenz Sáenz"/>
    <s v="Subdirector Financiero"/>
    <d v="2021-07-01T00:00:00"/>
    <d v="2021-07-12T00:00:00"/>
    <m/>
    <m/>
    <m/>
    <m/>
    <m/>
    <m/>
    <m/>
    <m/>
    <m/>
    <m/>
    <m/>
    <m/>
    <s v="Informe"/>
    <n v="1E-3"/>
    <m/>
    <m/>
    <m/>
    <m/>
    <n v="0"/>
    <n v="1E-3"/>
    <x v="9"/>
    <n v="11"/>
    <n v="-92"/>
    <n v="-8.3636363636363633"/>
    <n v="-8.363636363636363E-3"/>
    <n v="8.363636363636363E-3"/>
    <x v="2"/>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Carlos Vargas Hernández"/>
    <s v="Subdirector Administrativo"/>
    <d v="2021-07-01T00:00:00"/>
    <d v="2021-07-23T00:00:00"/>
    <m/>
    <m/>
    <m/>
    <m/>
    <m/>
    <m/>
    <m/>
    <m/>
    <m/>
    <m/>
    <m/>
    <m/>
    <s v="Informe"/>
    <n v="7.4999999999999997E-3"/>
    <m/>
    <m/>
    <m/>
    <m/>
    <n v="0"/>
    <n v="7.4999999999999997E-3"/>
    <x v="9"/>
    <n v="22"/>
    <n v="-92"/>
    <n v="-4.1818181818181817"/>
    <n v="-3.1363636363636364E-2"/>
    <n v="3.1363636363636364E-2"/>
    <x v="2"/>
  </r>
  <r>
    <x v="0"/>
    <s v="Informe de seguimiento a la Sostenibilidad Contable - Resolución DDC-00003 del 05 de diciembre de 2018 - corte al 30Jun2021"/>
    <s v="Gestión Financiera"/>
    <s v="Apoyo"/>
    <s v="Ivonne Andrea Torres Cruz_x000a_Asesora de Control Interno"/>
    <s v="Marcela Urrea Jaramillo"/>
    <s v="Subdirector Financiero"/>
    <d v="2021-07-01T00:00:00"/>
    <d v="2021-07-28T00:00:00"/>
    <m/>
    <m/>
    <m/>
    <m/>
    <m/>
    <m/>
    <m/>
    <m/>
    <m/>
    <m/>
    <m/>
    <m/>
    <s v="Informe"/>
    <n v="3.0000000000000001E-3"/>
    <m/>
    <m/>
    <m/>
    <m/>
    <n v="0"/>
    <n v="3.0000000000000001E-3"/>
    <x v="9"/>
    <n v="27"/>
    <n v="-92"/>
    <n v="-3.4074074074074074"/>
    <n v="-1.0222222222222223E-2"/>
    <n v="1.0222222222222223E-2"/>
    <x v="2"/>
  </r>
  <r>
    <x v="7"/>
    <s v="Informe PQR's - Ley 1474 de 2011"/>
    <s v="Servicio al Ciudadano "/>
    <s v="Misional"/>
    <s v="Ivonne Andrea Torres Cruz_x000a_Asesora de Control Interno"/>
    <s v="Marcela Urrea Jaramillo"/>
    <s v="Director de Gestión Corporativa y CID"/>
    <d v="2021-07-01T00:00:00"/>
    <d v="2021-07-28T00:00:00"/>
    <m/>
    <m/>
    <m/>
    <m/>
    <m/>
    <m/>
    <m/>
    <m/>
    <m/>
    <m/>
    <m/>
    <m/>
    <s v="Informe"/>
    <n v="2.5000000000000001E-3"/>
    <m/>
    <m/>
    <m/>
    <m/>
    <n v="0"/>
    <n v="2.5000000000000001E-3"/>
    <x v="9"/>
    <n v="27"/>
    <n v="-92"/>
    <n v="-3.4074074074074074"/>
    <n v="-8.518518518518519E-3"/>
    <n v="8.518518518518519E-3"/>
    <x v="2"/>
  </r>
  <r>
    <x v="7"/>
    <s v="Auditoría Proceso de Mejoramiento de Vivienda_x000a_Cumplimiento metas del PDD y Proyecto de inversión - Presupuesto - FUSS - Plan Anual de Adquisidores - Indicadores"/>
    <s v="Mejoramiento de Vivienda"/>
    <s v="Misional"/>
    <s v="Ivonne Andrea Torres Cruz_x000a_Asesora de Control Interno"/>
    <s v="Carlos Vargas Hernández"/>
    <s v="Director de Mejoramiento de Vivienda"/>
    <d v="2021-07-01T00:00:00"/>
    <d v="2021-08-30T00:00:00"/>
    <m/>
    <m/>
    <m/>
    <m/>
    <m/>
    <m/>
    <m/>
    <m/>
    <m/>
    <m/>
    <m/>
    <m/>
    <s v="Informe"/>
    <n v="5.0000000000000001E-3"/>
    <m/>
    <m/>
    <m/>
    <m/>
    <n v="0"/>
    <n v="5.0000000000000001E-3"/>
    <x v="8"/>
    <n v="60"/>
    <n v="-92"/>
    <n v="-1.5333333333333334"/>
    <n v="-7.6666666666666671E-3"/>
    <n v="7.6666666666666671E-3"/>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7-19T00:00:00"/>
    <d v="2021-07-30T00:00:00"/>
    <m/>
    <m/>
    <m/>
    <m/>
    <m/>
    <m/>
    <m/>
    <m/>
    <m/>
    <m/>
    <m/>
    <m/>
    <s v="Acta"/>
    <n v="4.0000000000000001E-3"/>
    <m/>
    <m/>
    <m/>
    <m/>
    <n v="0"/>
    <n v="4.0000000000000001E-3"/>
    <x v="9"/>
    <n v="11"/>
    <n v="-110"/>
    <n v="-10"/>
    <n v="-0.04"/>
    <n v="0.04"/>
    <x v="2"/>
  </r>
  <r>
    <x v="5"/>
    <s v="Realizar los trámites pertinentes para lograr el cierre de los expedientes contractuales de los contratistas supervisados por control interno, cuya garantía ya haya vencido"/>
    <s v="Evaluación de la Gestión"/>
    <s v="Seguimiento y Evaluación"/>
    <s v="Ivonne Andrea Torres Cruz_x000a_Asesora de Control Interno"/>
    <s v="Andrea Sierra Ochoa"/>
    <s v="Asesor de Control Interno"/>
    <d v="2021-07-19T00:00:00"/>
    <d v="2021-08-13T00:00:00"/>
    <m/>
    <m/>
    <m/>
    <m/>
    <m/>
    <m/>
    <m/>
    <m/>
    <m/>
    <m/>
    <m/>
    <m/>
    <s v="Acta"/>
    <n v="1.4999999999999999E-2"/>
    <m/>
    <m/>
    <m/>
    <m/>
    <n v="0"/>
    <n v="1.4999999999999999E-2"/>
    <x v="8"/>
    <n v="25"/>
    <n v="-110"/>
    <n v="-4.4000000000000004"/>
    <n v="-6.6000000000000003E-2"/>
    <n v="6.6000000000000003E-2"/>
    <x v="2"/>
  </r>
  <r>
    <x v="7"/>
    <s v="Auditoría Proceso de Reasentamientos Humanos_x000a_Decreto 371 de 2010 - Artículo 2 - de los procesos de contratación en el distrito capital"/>
    <s v="Adquisición de Bienes y Servicios"/>
    <s v="Apoyo"/>
    <s v="Ivonne Andrea Torres Cruz_x000a_Asesora de Control Interno"/>
    <s v="Andrea Sierra Ochoa"/>
    <s v="Director de Gestión Corporativa y CID"/>
    <d v="2021-07-19T00:00:00"/>
    <d v="2021-08-24T00:00:00"/>
    <m/>
    <m/>
    <m/>
    <m/>
    <m/>
    <m/>
    <m/>
    <m/>
    <m/>
    <m/>
    <m/>
    <m/>
    <s v="Informe"/>
    <n v="5.0000000000000001E-3"/>
    <m/>
    <m/>
    <m/>
    <m/>
    <n v="0"/>
    <n v="5.0000000000000001E-3"/>
    <x v="8"/>
    <n v="36"/>
    <n v="-110"/>
    <n v="-3.0555555555555554"/>
    <n v="-1.5277777777777777E-2"/>
    <n v="1.5277777777777777E-2"/>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7-28T00:00:00"/>
    <d v="2021-08-03T00:00:00"/>
    <m/>
    <m/>
    <m/>
    <m/>
    <m/>
    <m/>
    <m/>
    <m/>
    <m/>
    <m/>
    <m/>
    <m/>
    <s v="Matriz"/>
    <n v="3.0000000000000001E-3"/>
    <m/>
    <m/>
    <m/>
    <m/>
    <n v="0"/>
    <n v="3.0000000000000001E-3"/>
    <x v="8"/>
    <n v="6"/>
    <n v="-119"/>
    <n v="-19.833333333333332"/>
    <n v="-5.9499999999999997E-2"/>
    <n v="5.9499999999999997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7-29T00:00:00"/>
    <d v="2021-08-03T00:00:00"/>
    <m/>
    <m/>
    <m/>
    <m/>
    <m/>
    <m/>
    <m/>
    <m/>
    <m/>
    <m/>
    <m/>
    <m/>
    <s v="Correo electrónico"/>
    <n v="1E-3"/>
    <m/>
    <m/>
    <m/>
    <m/>
    <n v="0"/>
    <n v="1E-3"/>
    <x v="8"/>
    <n v="5"/>
    <n v="-120"/>
    <n v="-24"/>
    <n v="-2.4E-2"/>
    <n v="2.4E-2"/>
    <x v="2"/>
  </r>
  <r>
    <x v="4"/>
    <s v="Atención Auditoría de Desempeño 1: Cód 60: Proyecto La Arboleda Santa Teresita - Contrato de obra civil CPS -PCVN--3-1-30589-045/2015, suscrito con la Fiduciaria Bogotá y Odicco Ltda."/>
    <s v="Urbanizaciones y Titulación"/>
    <s v="Misional"/>
    <s v="Ivonne Andrea Torres Cruz_x000a_Asesora de Control Interno"/>
    <s v="Carlos Vargas Hernández"/>
    <s v="Director de Urbanizaciones y Titulación"/>
    <d v="2021-07-30T00:00:00"/>
    <d v="2021-10-26T00:00:00"/>
    <m/>
    <m/>
    <m/>
    <m/>
    <m/>
    <m/>
    <m/>
    <m/>
    <m/>
    <m/>
    <m/>
    <m/>
    <s v="Correo electrónico - Oficios"/>
    <n v="0.01"/>
    <m/>
    <m/>
    <m/>
    <m/>
    <n v="0"/>
    <n v="0.01"/>
    <x v="10"/>
    <n v="88"/>
    <n v="-121"/>
    <n v="-1.375"/>
    <n v="-1.375E-2"/>
    <n v="1.375E-2"/>
    <x v="2"/>
  </r>
  <r>
    <x v="2"/>
    <s v="Trámite de cuentas de ACI"/>
    <s v="Evaluación de la Gestión"/>
    <s v="Seguimiento y Evaluación"/>
    <s v="Ivonne Andrea Torres Cruz_x000a_Asesora de Control Interno"/>
    <s v="Joan Gaitán Ferrer"/>
    <s v="Asesor de Control Interno"/>
    <d v="2021-08-02T00:00:00"/>
    <d v="2021-08-05T00:00:00"/>
    <m/>
    <m/>
    <m/>
    <m/>
    <m/>
    <m/>
    <m/>
    <m/>
    <m/>
    <m/>
    <m/>
    <m/>
    <s v="Reporte"/>
    <n v="3.0000000000000001E-3"/>
    <m/>
    <m/>
    <m/>
    <m/>
    <n v="0"/>
    <n v="3.0000000000000001E-3"/>
    <x v="8"/>
    <n v="3"/>
    <n v="-124"/>
    <n v="-41.333333333333336"/>
    <n v="-0.12400000000000001"/>
    <n v="0.12400000000000001"/>
    <x v="2"/>
  </r>
  <r>
    <x v="4"/>
    <s v="Informe cuenta mensual SIVICOF"/>
    <s v="Adquisición de Bienes y Servicios"/>
    <s v="Apoyo"/>
    <s v="Ivonne Andrea Torres Cruz_x000a_Asesora de Control Interno"/>
    <s v="Carlos Vargas Hernández"/>
    <s v="Director de Gestión Corporativa y CID"/>
    <d v="2021-08-02T00:00:00"/>
    <d v="2021-08-10T00:00:00"/>
    <m/>
    <m/>
    <m/>
    <m/>
    <m/>
    <m/>
    <m/>
    <m/>
    <m/>
    <m/>
    <m/>
    <m/>
    <s v="Certificado"/>
    <n v="1E-3"/>
    <m/>
    <m/>
    <m/>
    <m/>
    <n v="0"/>
    <n v="1E-3"/>
    <x v="8"/>
    <n v="8"/>
    <n v="-124"/>
    <n v="-15.5"/>
    <n v="-1.55E-2"/>
    <n v="1.55E-2"/>
    <x v="2"/>
  </r>
  <r>
    <x v="0"/>
    <s v="Informe presupuestal a Personería"/>
    <s v="Gestión Financiera"/>
    <s v="Apoyo"/>
    <s v="Ivonne Andrea Torres Cruz_x000a_Asesora de Control Interno"/>
    <s v="Elizabeth Sáenz Sáenz"/>
    <s v="Subdirector Financiero"/>
    <d v="2021-08-02T00:00:00"/>
    <d v="2021-08-10T00:00:00"/>
    <m/>
    <m/>
    <m/>
    <m/>
    <m/>
    <m/>
    <m/>
    <m/>
    <m/>
    <m/>
    <m/>
    <m/>
    <s v="Informe"/>
    <n v="1E-3"/>
    <m/>
    <m/>
    <m/>
    <m/>
    <n v="0"/>
    <n v="1E-3"/>
    <x v="8"/>
    <n v="8"/>
    <n v="-124"/>
    <n v="-15.5"/>
    <n v="-1.55E-2"/>
    <n v="1.55E-2"/>
    <x v="2"/>
  </r>
  <r>
    <x v="7"/>
    <s v="Auditoría Proceso de Reasentamientos Humanos_x000a_Decreto 371 de 2010 - Artículo 3 - de los procesos de atención al ciudadano, los sistemas de información y atención de las peticiones, quejas, reclamos y sugerencias de los ciudadanos, en el distrito capital"/>
    <s v="Servicio al Ciudadano "/>
    <s v="Misional"/>
    <s v="Ivonne Andrea Torres Cruz_x000a_Asesora de Control Interno"/>
    <s v="Marcela Urrea Jaramillo"/>
    <s v="Director de Gestión Corporativa y CID"/>
    <d v="2021-08-02T00:00:00"/>
    <d v="2021-08-30T00:00:00"/>
    <m/>
    <m/>
    <m/>
    <m/>
    <m/>
    <m/>
    <m/>
    <m/>
    <m/>
    <m/>
    <m/>
    <m/>
    <s v="Informe"/>
    <n v="2.5000000000000001E-3"/>
    <m/>
    <m/>
    <m/>
    <m/>
    <n v="0"/>
    <n v="2.5000000000000001E-3"/>
    <x v="8"/>
    <n v="28"/>
    <n v="-124"/>
    <n v="-4.4285714285714288"/>
    <n v="-1.1071428571428572E-2"/>
    <n v="1.1071428571428572E-2"/>
    <x v="2"/>
  </r>
  <r>
    <x v="7"/>
    <s v="Auditoría Proceso de Mejoramiento de Vivienda_x000a_Recursos del Convenio con la SDHT"/>
    <s v="Mejoramiento de Vivienda"/>
    <s v="Misional"/>
    <s v="Ivonne Andrea Torres Cruz_x000a_Asesora de Control Interno"/>
    <s v="Carlos Vargas Hernández"/>
    <s v="Director de Mejoramiento de Vivienda"/>
    <d v="2021-08-02T00:00:00"/>
    <d v="2021-09-30T00:00:00"/>
    <m/>
    <m/>
    <m/>
    <m/>
    <m/>
    <m/>
    <m/>
    <m/>
    <m/>
    <m/>
    <m/>
    <m/>
    <s v="Informe"/>
    <n v="2.5000000000000001E-3"/>
    <m/>
    <m/>
    <m/>
    <m/>
    <n v="0"/>
    <n v="2.5000000000000001E-3"/>
    <x v="5"/>
    <n v="59"/>
    <n v="-124"/>
    <n v="-2.1016949152542375"/>
    <n v="-5.2542372881355937E-3"/>
    <n v="5.2542372881355937E-3"/>
    <x v="2"/>
  </r>
  <r>
    <x v="7"/>
    <s v="Auditoría Proceso de Reasentamientos Humanos_x000a_Expedientes del proceso - Relocalización Transitoria"/>
    <s v="Reasentamientos Humanos"/>
    <s v="Misional"/>
    <s v="Ivonne Andrea Torres Cruz_x000a_Asesora de Control Interno"/>
    <s v="Marcela Urrea Jaramillo"/>
    <s v="Director de Reasentamientos Humanos"/>
    <d v="2021-08-02T00:00:00"/>
    <d v="2021-10-28T00:00:00"/>
    <m/>
    <m/>
    <m/>
    <m/>
    <m/>
    <m/>
    <m/>
    <m/>
    <m/>
    <m/>
    <m/>
    <m/>
    <s v="Informe"/>
    <n v="5.0000000000000001E-3"/>
    <m/>
    <m/>
    <m/>
    <m/>
    <n v="0"/>
    <n v="5.0000000000000001E-3"/>
    <x v="10"/>
    <n v="87"/>
    <n v="-124"/>
    <n v="-1.4252873563218391"/>
    <n v="-7.1264367816091957E-3"/>
    <n v="7.1264367816091957E-3"/>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8-17T00:00:00"/>
    <d v="2021-08-31T00:00:00"/>
    <m/>
    <m/>
    <m/>
    <m/>
    <m/>
    <m/>
    <m/>
    <m/>
    <m/>
    <m/>
    <m/>
    <m/>
    <s v="Acta"/>
    <n v="4.0000000000000001E-3"/>
    <m/>
    <m/>
    <m/>
    <m/>
    <n v="0"/>
    <n v="4.0000000000000001E-3"/>
    <x v="8"/>
    <n v="14"/>
    <n v="-139"/>
    <n v="-9.9285714285714288"/>
    <n v="-3.9714285714285716E-2"/>
    <n v="3.9714285714285716E-2"/>
    <x v="2"/>
  </r>
  <r>
    <x v="1"/>
    <s v="Seguimiento al Comité de Conciliación del 01Ene2020 al 30Jun2021"/>
    <s v="Prevención del Daño Antijurídico y Representación Judicial"/>
    <s v="Estratégico"/>
    <s v="Ivonne Andrea Torres Cruz_x000a_Asesora de Control Interno"/>
    <s v="Andrea Sierra Ochoa"/>
    <s v="Director Jurídico "/>
    <d v="2021-08-17T00:00:00"/>
    <d v="2021-09-29T00:00:00"/>
    <m/>
    <m/>
    <m/>
    <m/>
    <m/>
    <m/>
    <m/>
    <m/>
    <m/>
    <m/>
    <m/>
    <m/>
    <s v="Informe"/>
    <n v="5.0000000000000001E-3"/>
    <m/>
    <m/>
    <m/>
    <m/>
    <n v="0"/>
    <n v="5.0000000000000001E-3"/>
    <x v="5"/>
    <n v="43"/>
    <n v="-139"/>
    <n v="-3.2325581395348837"/>
    <n v="-1.6162790697674418E-2"/>
    <n v="1.6162790697674418E-2"/>
    <x v="2"/>
  </r>
  <r>
    <x v="1"/>
    <s v="Seguimiento Matriz de riesgos de corrupción y por proceso 2021"/>
    <s v="Todos los Procesos"/>
    <s v="Todos los Procesos"/>
    <s v="Ivonne Andrea Torres Cruz_x000a_Asesora de Control Interno"/>
    <s v="Kelly Serrano Rincón"/>
    <s v="Líderes de Cada Proceso"/>
    <d v="2021-08-25T00:00:00"/>
    <d v="2021-09-14T00:00:00"/>
    <m/>
    <m/>
    <m/>
    <m/>
    <m/>
    <m/>
    <m/>
    <m/>
    <m/>
    <m/>
    <m/>
    <m/>
    <s v="Informe"/>
    <n v="1.6E-2"/>
    <m/>
    <m/>
    <m/>
    <m/>
    <n v="0"/>
    <n v="1.6E-2"/>
    <x v="5"/>
    <n v="20"/>
    <n v="-147"/>
    <n v="-7.35"/>
    <n v="-0.1176"/>
    <n v="0.1176"/>
    <x v="2"/>
  </r>
  <r>
    <x v="1"/>
    <s v="Seguimiento Plan Anticorrupción y de Atención al Ciudadano 2021. Decreto 124 de 2016"/>
    <s v="Todos los Procesos"/>
    <s v="Todos los Procesos"/>
    <s v="Ivonne Andrea Torres Cruz_x000a_Asesora de Control Interno"/>
    <s v="Kelly Serrano Rincón"/>
    <s v="Líderes de Cada Proceso"/>
    <d v="2021-08-25T00:00:00"/>
    <d v="2021-09-14T00:00:00"/>
    <m/>
    <m/>
    <m/>
    <m/>
    <m/>
    <m/>
    <m/>
    <m/>
    <m/>
    <m/>
    <m/>
    <m/>
    <s v="Informe"/>
    <n v="1.4999999999999999E-2"/>
    <m/>
    <m/>
    <m/>
    <m/>
    <n v="0"/>
    <n v="1.4999999999999999E-2"/>
    <x v="5"/>
    <n v="20"/>
    <n v="-147"/>
    <n v="-7.35"/>
    <n v="-0.11024999999999999"/>
    <n v="0.11024999999999999"/>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8-27T00:00:00"/>
    <d v="2021-09-02T00:00:00"/>
    <m/>
    <m/>
    <m/>
    <m/>
    <m/>
    <m/>
    <m/>
    <m/>
    <m/>
    <m/>
    <m/>
    <m/>
    <s v="Matriz"/>
    <n v="3.0000000000000001E-3"/>
    <m/>
    <m/>
    <m/>
    <m/>
    <n v="0"/>
    <n v="3.0000000000000001E-3"/>
    <x v="5"/>
    <n v="6"/>
    <n v="-149"/>
    <n v="-24.833333333333332"/>
    <n v="-7.4499999999999997E-2"/>
    <n v="7.4499999999999997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8-30T00:00:00"/>
    <d v="2021-09-02T00:00:00"/>
    <m/>
    <m/>
    <m/>
    <m/>
    <m/>
    <m/>
    <m/>
    <m/>
    <m/>
    <m/>
    <m/>
    <m/>
    <s v="Correo electrónico"/>
    <n v="1E-3"/>
    <m/>
    <m/>
    <m/>
    <m/>
    <n v="0"/>
    <n v="1E-3"/>
    <x v="5"/>
    <n v="3"/>
    <n v="-152"/>
    <n v="-50.666666666666664"/>
    <n v="-5.0666666666666665E-2"/>
    <n v="5.0666666666666665E-2"/>
    <x v="2"/>
  </r>
  <r>
    <x v="2"/>
    <s v="Trámite de cuentas de ACI"/>
    <s v="Evaluación de la Gestión"/>
    <s v="Seguimiento y Evaluación"/>
    <s v="Ivonne Andrea Torres Cruz_x000a_Asesora de Control Interno"/>
    <s v="Joan Gaitán Ferrer"/>
    <s v="Asesor de Control Interno"/>
    <d v="2021-09-01T00:00:00"/>
    <d v="2021-09-06T00:00:00"/>
    <m/>
    <m/>
    <m/>
    <m/>
    <m/>
    <m/>
    <m/>
    <m/>
    <m/>
    <m/>
    <m/>
    <m/>
    <s v="Reporte"/>
    <n v="3.0000000000000001E-3"/>
    <m/>
    <m/>
    <m/>
    <m/>
    <n v="0"/>
    <n v="3.0000000000000001E-3"/>
    <x v="5"/>
    <n v="5"/>
    <n v="-154"/>
    <n v="-30.8"/>
    <n v="-9.240000000000001E-2"/>
    <n v="9.240000000000001E-2"/>
    <x v="2"/>
  </r>
  <r>
    <x v="4"/>
    <s v="Informe cuenta mensual SIVICOF"/>
    <s v="Gestión Financiera"/>
    <s v="Apoyo"/>
    <s v="Ivonne Andrea Torres Cruz_x000a_Asesora de Control Interno"/>
    <s v="Carlos Vargas Hernández"/>
    <s v="Subdirector Financiero"/>
    <d v="2021-09-01T00:00:00"/>
    <d v="2021-09-09T00:00:00"/>
    <m/>
    <m/>
    <m/>
    <m/>
    <m/>
    <m/>
    <m/>
    <m/>
    <m/>
    <m/>
    <m/>
    <m/>
    <s v="Certificado"/>
    <n v="1E-3"/>
    <m/>
    <m/>
    <m/>
    <m/>
    <n v="0"/>
    <n v="1E-3"/>
    <x v="5"/>
    <n v="8"/>
    <n v="-154"/>
    <n v="-19.25"/>
    <n v="-1.925E-2"/>
    <n v="1.925E-2"/>
    <x v="2"/>
  </r>
  <r>
    <x v="0"/>
    <s v="Informe presupuestal a Personería"/>
    <s v="Gestión Financiera"/>
    <s v="Apoyo"/>
    <s v="Ivonne Andrea Torres Cruz_x000a_Asesora de Control Interno"/>
    <s v="Elizabeth Sáenz Sáenz"/>
    <s v="Subdirector Financiero"/>
    <d v="2021-09-01T00:00:00"/>
    <d v="2021-09-09T00:00:00"/>
    <m/>
    <m/>
    <m/>
    <m/>
    <m/>
    <m/>
    <m/>
    <m/>
    <m/>
    <m/>
    <m/>
    <m/>
    <s v="Informe"/>
    <n v="1E-3"/>
    <m/>
    <m/>
    <m/>
    <m/>
    <n v="0"/>
    <n v="1E-3"/>
    <x v="5"/>
    <n v="8"/>
    <n v="-154"/>
    <n v="-19.25"/>
    <n v="-1.925E-2"/>
    <n v="1.925E-2"/>
    <x v="2"/>
  </r>
  <r>
    <x v="1"/>
    <s v="Verificación de la oportunidad en la entrega de las herramientas de gestión de la CVP: Seguimiento a la Gestión por Procesos - Indicadores de Gestión, PAAC y mapa de riesgos"/>
    <s v="Todos los Procesos"/>
    <s v="Todos los Procesos"/>
    <s v="Ivonne Andrea Torres Cruz_x000a_Asesora de Control Interno"/>
    <s v="Joan Gaitán Ferrer"/>
    <s v="Líderes de Cada Proceso"/>
    <d v="2021-09-01T00:00:00"/>
    <d v="2021-09-10T00:00:00"/>
    <m/>
    <m/>
    <m/>
    <m/>
    <m/>
    <m/>
    <m/>
    <m/>
    <m/>
    <m/>
    <m/>
    <m/>
    <s v="Reporte"/>
    <n v="5.0000000000000001E-3"/>
    <m/>
    <m/>
    <m/>
    <m/>
    <n v="0"/>
    <n v="5.0000000000000001E-3"/>
    <x v="5"/>
    <n v="9"/>
    <n v="-154"/>
    <n v="-17.111111111111111"/>
    <n v="-8.5555555555555551E-2"/>
    <n v="8.5555555555555551E-2"/>
    <x v="2"/>
  </r>
  <r>
    <x v="7"/>
    <s v="Auditoría Proceso de Reasentamientos Humanos_x000a_Cumplimiento metas del PDD y Proyecto de inversión - Presupuesto - FUSS - Plan Anual de Adquisidores - Indicadores"/>
    <s v="Reasentamientos Humanos"/>
    <s v="Misional"/>
    <s v="Ivonne Andrea Torres Cruz_x000a_Asesora de Control Interno"/>
    <s v="Carlos Vargas Hernández"/>
    <s v="Director de Reasentamientos Humanos"/>
    <d v="2021-09-01T00:00:00"/>
    <d v="2021-09-30T00:00:00"/>
    <m/>
    <m/>
    <m/>
    <m/>
    <m/>
    <m/>
    <m/>
    <m/>
    <m/>
    <m/>
    <m/>
    <m/>
    <s v="Informe"/>
    <n v="5.0000000000000001E-3"/>
    <m/>
    <m/>
    <m/>
    <m/>
    <n v="0"/>
    <n v="5.0000000000000001E-3"/>
    <x v="5"/>
    <n v="29"/>
    <n v="-154"/>
    <n v="-5.3103448275862073"/>
    <n v="-2.6551724137931037E-2"/>
    <n v="2.6551724137931037E-2"/>
    <x v="2"/>
  </r>
  <r>
    <x v="5"/>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s v="Evaluación de la Gestión"/>
    <s v="Seguimiento y Evaluación"/>
    <s v="Ivonne Andrea Torres Cruz_x000a_Asesora de Control Interno"/>
    <s v="Andrea Sierra Ochoa"/>
    <s v="Asesor de Control Interno"/>
    <d v="2021-09-15T00:00:00"/>
    <d v="2021-10-15T00:00:00"/>
    <m/>
    <m/>
    <m/>
    <m/>
    <m/>
    <m/>
    <m/>
    <m/>
    <m/>
    <m/>
    <m/>
    <m/>
    <s v="Reporte"/>
    <n v="0.01"/>
    <m/>
    <m/>
    <m/>
    <m/>
    <n v="0"/>
    <n v="0.01"/>
    <x v="10"/>
    <n v="30"/>
    <n v="-168"/>
    <n v="-5.6"/>
    <n v="-5.5999999999999994E-2"/>
    <n v="5.5999999999999994E-2"/>
    <x v="2"/>
  </r>
  <r>
    <x v="7"/>
    <s v="Seguimiento al plan de implementación del MIPG"/>
    <s v="Gestión Estratégica"/>
    <s v="Estratégico"/>
    <s v="Ivonne Andrea Torres Cruz_x000a_Asesora de Control Interno"/>
    <s v="Kelly Serrano Rincón"/>
    <s v="Jefe Oficina Asesora de Planeación "/>
    <d v="2021-09-15T00:00:00"/>
    <d v="2021-10-15T00:00:00"/>
    <m/>
    <m/>
    <m/>
    <m/>
    <m/>
    <m/>
    <m/>
    <m/>
    <m/>
    <m/>
    <m/>
    <m/>
    <s v="Informe"/>
    <n v="5.0000000000000001E-3"/>
    <m/>
    <m/>
    <m/>
    <m/>
    <n v="0"/>
    <n v="5.0000000000000001E-3"/>
    <x v="10"/>
    <n v="30"/>
    <n v="-168"/>
    <n v="-5.6"/>
    <n v="-2.7999999999999997E-2"/>
    <n v="2.7999999999999997E-2"/>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09-28T00:00:00"/>
    <d v="2021-10-04T00:00:00"/>
    <m/>
    <m/>
    <m/>
    <m/>
    <m/>
    <m/>
    <m/>
    <m/>
    <m/>
    <m/>
    <m/>
    <m/>
    <s v="Matriz"/>
    <n v="3.0000000000000001E-3"/>
    <m/>
    <m/>
    <m/>
    <m/>
    <n v="0"/>
    <n v="3.0000000000000001E-3"/>
    <x v="10"/>
    <n v="6"/>
    <n v="-181"/>
    <n v="-30.166666666666668"/>
    <n v="-9.0500000000000011E-2"/>
    <n v="9.0500000000000011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09-29T00:00:00"/>
    <d v="2021-10-04T00:00:00"/>
    <m/>
    <m/>
    <m/>
    <m/>
    <m/>
    <m/>
    <m/>
    <m/>
    <m/>
    <m/>
    <m/>
    <m/>
    <s v="Correo electrónico"/>
    <n v="1E-3"/>
    <m/>
    <m/>
    <m/>
    <m/>
    <n v="0"/>
    <n v="1E-3"/>
    <x v="10"/>
    <n v="5"/>
    <n v="-182"/>
    <n v="-36.4"/>
    <n v="-3.6400000000000002E-2"/>
    <n v="3.6400000000000002E-2"/>
    <x v="2"/>
  </r>
  <r>
    <x v="2"/>
    <s v="Trámite de cuentas de ACI"/>
    <s v="Evaluación de la Gestión"/>
    <s v="Seguimiento y Evaluación"/>
    <s v="Ivonne Andrea Torres Cruz_x000a_Asesora de Control Interno"/>
    <s v="Joan Gaitán Ferrer"/>
    <s v="Asesor de Control Interno"/>
    <d v="2021-10-01T00:00:00"/>
    <d v="2021-10-06T00:00:00"/>
    <m/>
    <m/>
    <m/>
    <m/>
    <m/>
    <m/>
    <m/>
    <m/>
    <m/>
    <m/>
    <m/>
    <m/>
    <s v="Reporte"/>
    <n v="3.0000000000000001E-3"/>
    <m/>
    <m/>
    <m/>
    <m/>
    <n v="0"/>
    <n v="3.0000000000000001E-3"/>
    <x v="10"/>
    <n v="5"/>
    <n v="-184"/>
    <n v="-36.799999999999997"/>
    <n v="-0.1104"/>
    <n v="0.1104"/>
    <x v="2"/>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s v="Evaluación de la Gestión"/>
    <s v="Seguimiento y Evaluación"/>
    <s v="Ivonne Andrea Torres Cruz_x000a_Asesora de Control Interno"/>
    <s v="Andrea Sierra Ochoa"/>
    <s v="Asesor de Control Interno"/>
    <d v="2021-10-01T00:00:00"/>
    <d v="2021-10-07T00:00:00"/>
    <m/>
    <m/>
    <m/>
    <m/>
    <m/>
    <m/>
    <m/>
    <m/>
    <m/>
    <m/>
    <m/>
    <m/>
    <s v="Matriz"/>
    <n v="3.0000000000000001E-3"/>
    <m/>
    <m/>
    <m/>
    <m/>
    <n v="0"/>
    <n v="3.0000000000000001E-3"/>
    <x v="10"/>
    <n v="6"/>
    <n v="-184"/>
    <n v="-30.666666666666668"/>
    <n v="-9.2000000000000012E-2"/>
    <n v="9.2000000000000012E-2"/>
    <x v="2"/>
  </r>
  <r>
    <x v="4"/>
    <s v="Informe cuenta mensual SIVICOF"/>
    <s v="Adquisición de Bienes y Servicios"/>
    <s v="Apoyo"/>
    <s v="Ivonne Andrea Torres Cruz_x000a_Asesora de Control Interno"/>
    <s v="Carlos Vargas Hernández"/>
    <s v="Director de Gestión Corporativa y CID"/>
    <d v="2021-10-01T00:00:00"/>
    <d v="2021-10-11T00:00:00"/>
    <m/>
    <m/>
    <m/>
    <m/>
    <m/>
    <m/>
    <m/>
    <m/>
    <m/>
    <m/>
    <m/>
    <m/>
    <s v="Certificado"/>
    <n v="1E-3"/>
    <m/>
    <m/>
    <m/>
    <m/>
    <n v="0"/>
    <n v="1E-3"/>
    <x v="10"/>
    <n v="10"/>
    <n v="-184"/>
    <n v="-18.399999999999999"/>
    <n v="-1.84E-2"/>
    <n v="1.84E-2"/>
    <x v="2"/>
  </r>
  <r>
    <x v="0"/>
    <s v="Informe presupuestal a Personería"/>
    <s v="Gestión Financiera"/>
    <s v="Apoyo"/>
    <s v="Ivonne Andrea Torres Cruz_x000a_Asesora de Control Interno"/>
    <s v="Elizabeth Sáenz Sáenz"/>
    <s v="Subdirector Financiero"/>
    <d v="2021-10-01T00:00:00"/>
    <d v="2021-10-11T00:00:00"/>
    <m/>
    <m/>
    <m/>
    <m/>
    <m/>
    <m/>
    <m/>
    <m/>
    <m/>
    <m/>
    <m/>
    <m/>
    <s v="Informe"/>
    <n v="1E-3"/>
    <m/>
    <m/>
    <m/>
    <m/>
    <n v="0"/>
    <n v="1E-3"/>
    <x v="10"/>
    <n v="10"/>
    <n v="-184"/>
    <n v="-18.399999999999999"/>
    <n v="-1.84E-2"/>
    <n v="1.84E-2"/>
    <x v="2"/>
  </r>
  <r>
    <x v="0"/>
    <s v="Austeridad en el gasto. Decretos Reglamentarios 1737 de 1998 y 984 de 2012; Directiva Presidencial 03 de 2012 y Artículo 2.8.4.8.2 del Decreto Único Reglamentario 1068 de 2015"/>
    <s v="Gestión Administrativa"/>
    <s v="Apoyo"/>
    <s v="Ivonne Andrea Torres Cruz_x000a_Asesora de Control Interno"/>
    <s v="Marcela Urrea Jaramillo"/>
    <s v="Subdirector Administrativo"/>
    <d v="2021-10-01T00:00:00"/>
    <d v="2021-10-28T00:00:00"/>
    <m/>
    <m/>
    <m/>
    <m/>
    <m/>
    <m/>
    <m/>
    <m/>
    <m/>
    <m/>
    <m/>
    <m/>
    <s v="Informe"/>
    <n v="7.4999999999999997E-3"/>
    <m/>
    <m/>
    <m/>
    <m/>
    <n v="0"/>
    <n v="7.4999999999999997E-3"/>
    <x v="10"/>
    <n v="27"/>
    <n v="-184"/>
    <n v="-6.8148148148148149"/>
    <n v="-5.1111111111111107E-2"/>
    <n v="5.1111111111111107E-2"/>
    <x v="2"/>
  </r>
  <r>
    <x v="0"/>
    <s v="Informe de seguimiento a la Sostenibilidad Contable - Resolución DDC-00003 del 05 de diciembre de 2018 - corte al 30Sep2021"/>
    <s v="Gestión Financiera"/>
    <s v="Apoyo"/>
    <s v="Ivonne Andrea Torres Cruz_x000a_Asesora de Control Interno"/>
    <s v="Marcela Urrea Jaramillo"/>
    <s v="Subdirector Financiero"/>
    <d v="2021-10-01T00:00:00"/>
    <d v="2021-10-28T00:00:00"/>
    <m/>
    <m/>
    <m/>
    <m/>
    <m/>
    <m/>
    <m/>
    <m/>
    <m/>
    <m/>
    <m/>
    <m/>
    <s v="Informe"/>
    <n v="2E-3"/>
    <m/>
    <m/>
    <m/>
    <m/>
    <n v="0"/>
    <n v="2E-3"/>
    <x v="10"/>
    <n v="27"/>
    <n v="-184"/>
    <n v="-6.8148148148148149"/>
    <n v="-1.362962962962963E-2"/>
    <n v="1.362962962962963E-2"/>
    <x v="2"/>
  </r>
  <r>
    <x v="7"/>
    <s v="Auditoría a la aplicación de las políticas contables por parte de los procesos de Gestión Financiera y de Reasentamientos Humanos"/>
    <s v="Reasentamientos Humanos"/>
    <s v="Misional"/>
    <s v="Ivonne Andrea Torres Cruz_x000a_Asesora de Control Interno"/>
    <s v="Carlos Vargas Hernández"/>
    <s v="Director de Reasentamientos Humanos"/>
    <d v="2021-10-01T00:00:00"/>
    <d v="2021-11-16T00:00:00"/>
    <m/>
    <m/>
    <m/>
    <m/>
    <m/>
    <m/>
    <m/>
    <m/>
    <m/>
    <m/>
    <m/>
    <m/>
    <s v="Informe"/>
    <n v="1.25E-3"/>
    <m/>
    <m/>
    <m/>
    <m/>
    <n v="0"/>
    <n v="1.25E-3"/>
    <x v="11"/>
    <n v="46"/>
    <n v="-184"/>
    <n v="-4"/>
    <n v="-5.0000000000000001E-3"/>
    <n v="5.0000000000000001E-3"/>
    <x v="2"/>
  </r>
  <r>
    <x v="7"/>
    <s v="Auditoría a la aplicación de las políticas contables por parte de los procesos de Gestión Financiera y de Reasentamientos Humanos"/>
    <s v="Gestión Financiera"/>
    <s v="Apoyo"/>
    <s v="Ivonne Andrea Torres Cruz_x000a_Asesora de Control Interno"/>
    <s v="Carlos Vargas Hernández"/>
    <s v="Subdirector Financiero"/>
    <d v="2021-10-01T00:00:00"/>
    <d v="2021-11-16T00:00:00"/>
    <m/>
    <m/>
    <m/>
    <m/>
    <m/>
    <m/>
    <m/>
    <m/>
    <m/>
    <m/>
    <m/>
    <m/>
    <s v="Informe"/>
    <n v="1.25E-3"/>
    <m/>
    <m/>
    <m/>
    <m/>
    <n v="0"/>
    <n v="1.25E-3"/>
    <x v="11"/>
    <n v="46"/>
    <n v="-184"/>
    <n v="-4"/>
    <n v="-5.0000000000000001E-3"/>
    <n v="5.0000000000000001E-3"/>
    <x v="2"/>
  </r>
  <r>
    <x v="7"/>
    <s v="Auditoría a la cartera generada por el Proceso de Reasentamientos Humanos"/>
    <s v="Reasentamientos Humanos"/>
    <s v="Misional"/>
    <s v="Ivonne Andrea Torres Cruz_x000a_Asesora de Control Interno"/>
    <s v="Carlos Vargas Hernández"/>
    <s v="Director de Reasentamientos Humanos"/>
    <d v="2021-10-01T00:00:00"/>
    <d v="2021-11-16T00:00:00"/>
    <m/>
    <m/>
    <m/>
    <m/>
    <m/>
    <m/>
    <m/>
    <m/>
    <m/>
    <m/>
    <m/>
    <m/>
    <s v="Informe"/>
    <n v="1.25E-3"/>
    <m/>
    <m/>
    <m/>
    <m/>
    <n v="0"/>
    <n v="1.25E-3"/>
    <x v="11"/>
    <n v="46"/>
    <n v="-184"/>
    <n v="-4"/>
    <n v="-5.0000000000000001E-3"/>
    <n v="5.0000000000000001E-3"/>
    <x v="2"/>
  </r>
  <r>
    <x v="7"/>
    <s v="Auditoría a la cartera generada por el Proceso de Reasentamientos Humanos"/>
    <s v="Gestión Financiera"/>
    <s v="Apoyo"/>
    <s v="Ivonne Andrea Torres Cruz_x000a_Asesora de Control Interno"/>
    <s v="Carlos Vargas Hernández"/>
    <s v="Subdirector Financiero"/>
    <d v="2021-10-01T00:00:00"/>
    <d v="2021-11-16T00:00:00"/>
    <m/>
    <m/>
    <m/>
    <m/>
    <m/>
    <m/>
    <m/>
    <m/>
    <m/>
    <m/>
    <m/>
    <m/>
    <s v="Informe"/>
    <n v="1.25E-3"/>
    <m/>
    <m/>
    <m/>
    <m/>
    <n v="0"/>
    <n v="1.25E-3"/>
    <x v="11"/>
    <n v="46"/>
    <n v="-184"/>
    <n v="-4"/>
    <n v="-5.0000000000000001E-3"/>
    <n v="5.0000000000000001E-3"/>
    <x v="2"/>
  </r>
  <r>
    <x v="7"/>
    <s v="Auditoría a los inventarios de bienes inmuebles reportados por el Proceso de Reasentamientos Humanos"/>
    <s v="Reasentamientos Humanos"/>
    <s v="Misional"/>
    <s v="Ivonne Andrea Torres Cruz_x000a_Asesora de Control Interno"/>
    <s v="Carlos Vargas Hernández"/>
    <s v="Director de Reasentamientos Humanos"/>
    <d v="2021-10-01T00:00:00"/>
    <d v="2021-11-16T00:00:00"/>
    <m/>
    <m/>
    <m/>
    <m/>
    <m/>
    <m/>
    <m/>
    <m/>
    <m/>
    <m/>
    <m/>
    <m/>
    <s v="Informe"/>
    <n v="1.25E-3"/>
    <m/>
    <m/>
    <m/>
    <m/>
    <n v="0"/>
    <n v="1.25E-3"/>
    <x v="11"/>
    <n v="46"/>
    <n v="-184"/>
    <n v="-4"/>
    <n v="-5.0000000000000001E-3"/>
    <n v="5.0000000000000001E-3"/>
    <x v="2"/>
  </r>
  <r>
    <x v="7"/>
    <s v="Auditoría a los inventarios de bienes inmuebles reportados por el Proceso de Reasentamientos Humanos"/>
    <s v="Gestión Administrativa"/>
    <s v="Apoyo"/>
    <s v="Ivonne Andrea Torres Cruz_x000a_Asesora de Control Interno"/>
    <s v="Carlos Vargas Hernández"/>
    <s v="Subdirector Administrativo"/>
    <d v="2021-10-01T00:00:00"/>
    <d v="2021-11-16T00:00:00"/>
    <m/>
    <m/>
    <m/>
    <m/>
    <m/>
    <m/>
    <m/>
    <m/>
    <m/>
    <m/>
    <m/>
    <m/>
    <s v="Informe"/>
    <n v="1.25E-3"/>
    <m/>
    <m/>
    <m/>
    <m/>
    <n v="0"/>
    <n v="1.25E-3"/>
    <x v="11"/>
    <n v="46"/>
    <n v="-184"/>
    <n v="-4"/>
    <n v="-5.0000000000000001E-3"/>
    <n v="5.0000000000000001E-3"/>
    <x v="2"/>
  </r>
  <r>
    <x v="7"/>
    <s v="Auditoría Proceso de Gestión del Talento Humano_x000a_Cobro de las Incapacidades reportadas por los funcionarios del proceso de Reasentamientos Humanos"/>
    <s v="Gestión del Talento Humano"/>
    <s v="Apoyo"/>
    <s v="Ivonne Andrea Torres Cruz_x000a_Asesora de Control Interno"/>
    <s v="Carlos Vargas Hernández"/>
    <s v="Subdirector Administrativo"/>
    <d v="2021-10-01T00:00:00"/>
    <d v="2021-11-16T00:00:00"/>
    <m/>
    <m/>
    <m/>
    <m/>
    <m/>
    <m/>
    <m/>
    <m/>
    <m/>
    <m/>
    <m/>
    <m/>
    <s v="Informe"/>
    <n v="1.25E-3"/>
    <m/>
    <m/>
    <m/>
    <m/>
    <n v="0"/>
    <n v="1.25E-3"/>
    <x v="11"/>
    <n v="46"/>
    <n v="-184"/>
    <n v="-4"/>
    <n v="-5.0000000000000001E-3"/>
    <n v="5.0000000000000001E-3"/>
    <x v="2"/>
  </r>
  <r>
    <x v="0"/>
    <s v="Realizar las actividades de monitoreo y seguimiento a la estrategia de racionalización propuesta a través de SUIT"/>
    <s v="Gestión Financiera"/>
    <s v="Apoyo"/>
    <s v="Ivonne Andrea Torres Cruz_x000a_Asesora de Control Interno"/>
    <s v="Kelly Serrano Rincón"/>
    <s v="Subdirector Financiero"/>
    <d v="2021-10-01T00:00:00"/>
    <d v="2021-11-26T00:00:00"/>
    <m/>
    <m/>
    <m/>
    <m/>
    <m/>
    <m/>
    <m/>
    <m/>
    <m/>
    <m/>
    <m/>
    <m/>
    <s v="Reporte"/>
    <n v="0.01"/>
    <m/>
    <m/>
    <m/>
    <m/>
    <n v="0"/>
    <n v="0.01"/>
    <x v="11"/>
    <n v="56"/>
    <n v="-184"/>
    <n v="-3.2857142857142856"/>
    <n v="-3.2857142857142856E-2"/>
    <n v="3.2857142857142856E-2"/>
    <x v="2"/>
  </r>
  <r>
    <x v="0"/>
    <s v="Informe Directiva 003 de 2013 Alcaldía Mayor de Bogotá"/>
    <s v="Gestión Administrativa"/>
    <s v="Apoyo"/>
    <s v="Ivonne Andrea Torres Cruz_x000a_Asesora de Control Interno"/>
    <s v="Marcela Urrea Jaramillo"/>
    <s v="Subdirector Administrativo"/>
    <d v="2021-10-11T00:00:00"/>
    <d v="2021-11-12T00:00:00"/>
    <m/>
    <m/>
    <m/>
    <m/>
    <m/>
    <m/>
    <m/>
    <m/>
    <m/>
    <m/>
    <m/>
    <m/>
    <s v="Informe"/>
    <n v="0.01"/>
    <m/>
    <m/>
    <m/>
    <m/>
    <n v="0"/>
    <n v="0.01"/>
    <x v="11"/>
    <n v="32"/>
    <n v="-194"/>
    <n v="-6.0625"/>
    <n v="-6.0624999999999998E-2"/>
    <n v="6.0624999999999998E-2"/>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10-19T00:00:00"/>
    <d v="2021-10-29T00:00:00"/>
    <m/>
    <m/>
    <m/>
    <m/>
    <m/>
    <m/>
    <m/>
    <m/>
    <m/>
    <m/>
    <m/>
    <m/>
    <s v="Acta"/>
    <n v="4.0000000000000001E-3"/>
    <m/>
    <m/>
    <m/>
    <m/>
    <n v="0"/>
    <n v="4.0000000000000001E-3"/>
    <x v="10"/>
    <n v="10"/>
    <n v="-202"/>
    <n v="-20.2"/>
    <n v="-8.0799999999999997E-2"/>
    <n v="8.0799999999999997E-2"/>
    <x v="2"/>
  </r>
  <r>
    <x v="6"/>
    <s v="Asesoría en la formulación de planes de mejoramiento internos y en la modificación de las acciones ya propuestas"/>
    <s v="Evaluación de la Gestión"/>
    <s v="Seguimiento y Evaluación"/>
    <s v="Ivonne Andrea Torres Cruz_x000a_Asesora de Control Interno"/>
    <s v="Carlos Vargas Hernández"/>
    <s v="Asesor de Control Interno"/>
    <d v="2021-10-25T00:00:00"/>
    <d v="2021-11-08T00:00:00"/>
    <m/>
    <m/>
    <m/>
    <m/>
    <m/>
    <m/>
    <m/>
    <m/>
    <m/>
    <m/>
    <m/>
    <m/>
    <s v="Matriz"/>
    <n v="7.4999999999999997E-3"/>
    <m/>
    <m/>
    <m/>
    <m/>
    <n v="0"/>
    <n v="7.4999999999999997E-3"/>
    <x v="11"/>
    <n v="14"/>
    <n v="-208"/>
    <n v="-14.857142857142858"/>
    <n v="-0.11142857142857143"/>
    <n v="0.11142857142857143"/>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10-27T00:00:00"/>
    <d v="2021-11-03T00:00:00"/>
    <m/>
    <m/>
    <m/>
    <m/>
    <m/>
    <m/>
    <m/>
    <m/>
    <m/>
    <m/>
    <m/>
    <m/>
    <s v="Matriz"/>
    <n v="3.0000000000000001E-3"/>
    <m/>
    <m/>
    <m/>
    <m/>
    <n v="0"/>
    <n v="3.0000000000000001E-3"/>
    <x v="11"/>
    <n v="7"/>
    <n v="-210"/>
    <n v="-30"/>
    <n v="-0.09"/>
    <n v="0.09"/>
    <x v="2"/>
  </r>
  <r>
    <x v="4"/>
    <s v="Atención Auditoría de Desempeño 2: Cód 64: Evaluación del convenio Nº 044 de 2014 suscrito entre la Caja de la Vivienda Popular con el Fondo de Desarrollo Local de Usme, por valor de $7.472.160.000."/>
    <s v="Reasentamientos Humanos"/>
    <s v="Misional"/>
    <s v="Ivonne Andrea Torres Cruz_x000a_Asesora de Control Interno"/>
    <s v="Carlos Vargas Hernández"/>
    <s v="Director de Reasentamientos Humanos"/>
    <d v="2021-10-27T00:00:00"/>
    <d v="2021-12-31T00:00:00"/>
    <m/>
    <m/>
    <m/>
    <m/>
    <m/>
    <m/>
    <m/>
    <m/>
    <m/>
    <m/>
    <m/>
    <m/>
    <s v="Correo electrónico - Oficios"/>
    <n v="0.01"/>
    <m/>
    <m/>
    <m/>
    <m/>
    <n v="0"/>
    <n v="0.01"/>
    <x v="1"/>
    <n v="65"/>
    <n v="-210"/>
    <n v="-3.2307692307692308"/>
    <n v="-3.2307692307692308E-2"/>
    <n v="3.2307692307692308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10-28T00:00:00"/>
    <d v="2021-11-03T00:00:00"/>
    <m/>
    <m/>
    <m/>
    <m/>
    <m/>
    <m/>
    <m/>
    <m/>
    <m/>
    <m/>
    <m/>
    <m/>
    <s v="Correo electrónico"/>
    <n v="1E-3"/>
    <m/>
    <m/>
    <m/>
    <m/>
    <n v="0"/>
    <n v="1E-3"/>
    <x v="11"/>
    <n v="6"/>
    <n v="-211"/>
    <n v="-35.166666666666664"/>
    <n v="-3.5166666666666666E-2"/>
    <n v="3.5166666666666666E-2"/>
    <x v="2"/>
  </r>
  <r>
    <x v="2"/>
    <s v="Trámite de cuentas de ACI"/>
    <s v="Evaluación de la Gestión"/>
    <s v="Seguimiento y Evaluación"/>
    <s v="Ivonne Andrea Torres Cruz_x000a_Asesora de Control Interno"/>
    <s v="Joan Gaitán Ferrer"/>
    <s v="Asesor de Control Interno"/>
    <d v="2021-11-02T00:00:00"/>
    <d v="2021-11-05T00:00:00"/>
    <m/>
    <m/>
    <m/>
    <m/>
    <m/>
    <m/>
    <m/>
    <m/>
    <m/>
    <m/>
    <m/>
    <m/>
    <s v="Reporte"/>
    <n v="3.0000000000000001E-3"/>
    <m/>
    <m/>
    <m/>
    <m/>
    <n v="0"/>
    <n v="3.0000000000000001E-3"/>
    <x v="11"/>
    <n v="3"/>
    <n v="-216"/>
    <n v="-72"/>
    <n v="-0.216"/>
    <n v="0.216"/>
    <x v="2"/>
  </r>
  <r>
    <x v="0"/>
    <s v="Informe presupuestal a Personería"/>
    <s v="Gestión Financiera"/>
    <s v="Apoyo"/>
    <s v="Ivonne Andrea Torres Cruz_x000a_Asesora de Control Interno"/>
    <s v="Elizabeth Sáenz Sáenz"/>
    <s v="Subdirector Financiero"/>
    <d v="2021-11-02T00:00:00"/>
    <d v="2021-11-09T00:00:00"/>
    <m/>
    <m/>
    <m/>
    <m/>
    <m/>
    <m/>
    <m/>
    <m/>
    <m/>
    <m/>
    <m/>
    <m/>
    <s v="Informe"/>
    <n v="1E-3"/>
    <m/>
    <m/>
    <m/>
    <m/>
    <n v="0"/>
    <n v="1E-3"/>
    <x v="11"/>
    <n v="7"/>
    <n v="-216"/>
    <n v="-30.857142857142858"/>
    <n v="-3.0857142857142857E-2"/>
    <n v="3.0857142857142857E-2"/>
    <x v="2"/>
  </r>
  <r>
    <x v="4"/>
    <s v="Informe cuenta mensual SIVICOF"/>
    <s v="Gestión Financiera"/>
    <s v="Apoyo"/>
    <s v="Ivonne Andrea Torres Cruz_x000a_Asesora de Control Interno"/>
    <s v="Carlos Vargas Hernández"/>
    <s v="Subdirector Financiero"/>
    <d v="2021-11-02T00:00:00"/>
    <d v="2021-11-10T00:00:00"/>
    <m/>
    <m/>
    <m/>
    <m/>
    <m/>
    <m/>
    <m/>
    <m/>
    <m/>
    <m/>
    <m/>
    <m/>
    <s v="Certificado"/>
    <n v="1E-3"/>
    <m/>
    <m/>
    <m/>
    <m/>
    <n v="0"/>
    <n v="1E-3"/>
    <x v="11"/>
    <n v="8"/>
    <n v="-216"/>
    <n v="-27"/>
    <n v="-2.7E-2"/>
    <n v="2.7E-2"/>
    <x v="2"/>
  </r>
  <r>
    <x v="2"/>
    <s v="Diseñar, preparar, aplicar, tabular y realizar informe con oportunidades de mejora de la implementación y aplicación del estatuto interno del auditor y del código de ética del auditor"/>
    <s v="Todos los Procesos"/>
    <s v="Todos los Procesos"/>
    <s v="Ivonne Andrea Torres Cruz_x000a_Asesora de Control Interno"/>
    <s v="Joan Gaitán Ferrer"/>
    <s v="Líderes de Cada Proceso"/>
    <d v="2021-11-10T00:00:00"/>
    <d v="2021-12-10T00:00:00"/>
    <m/>
    <m/>
    <m/>
    <m/>
    <m/>
    <m/>
    <m/>
    <m/>
    <m/>
    <m/>
    <m/>
    <m/>
    <s v="Informe"/>
    <n v="5.0000000000000001E-3"/>
    <m/>
    <m/>
    <m/>
    <m/>
    <n v="0"/>
    <n v="5.0000000000000001E-3"/>
    <x v="1"/>
    <n v="30"/>
    <n v="-224"/>
    <n v="-7.4666666666666668"/>
    <n v="-3.7333333333333336E-2"/>
    <n v="3.7333333333333336E-2"/>
    <x v="2"/>
  </r>
  <r>
    <x v="6"/>
    <s v="Seguimiento al Plan de Mejoramiento Externo - literal i; Artículo 2.2.21.4.9 del Decreto 1083 de 2015 y Artículo 10 de la Resolución reglamentaria 036 de 2019, expedida por la Contraloría de Bogotá"/>
    <s v="Todos los Procesos"/>
    <s v="Todos los Procesos"/>
    <s v="Ivonne Andrea Torres Cruz_x000a_Asesora de Control Interno"/>
    <s v="Kelly Serrano Rincón"/>
    <s v="Líderes de Cada Proceso"/>
    <d v="2021-11-22T00:00:00"/>
    <d v="2021-12-10T00:00:00"/>
    <m/>
    <m/>
    <m/>
    <m/>
    <m/>
    <m/>
    <m/>
    <m/>
    <m/>
    <m/>
    <m/>
    <m/>
    <s v="Matriz"/>
    <n v="0.02"/>
    <m/>
    <m/>
    <m/>
    <m/>
    <n v="0"/>
    <n v="0.02"/>
    <x v="1"/>
    <n v="18"/>
    <n v="-236"/>
    <n v="-13.111111111111111"/>
    <n v="-0.26222222222222225"/>
    <n v="0.26222222222222225"/>
    <x v="2"/>
  </r>
  <r>
    <x v="6"/>
    <s v="Seguimiento al Plan de Mejoramiento Interno - Artículo 5 del Decreto 371 de 2010"/>
    <s v="Todos los Procesos"/>
    <s v="Todos los Procesos"/>
    <s v="Ivonne Andrea Torres Cruz_x000a_Asesora de Control Interno"/>
    <s v="Kelly Serrano Rincón"/>
    <s v="Líderes de Cada Proceso"/>
    <d v="2021-11-22T00:00:00"/>
    <d v="2021-12-10T00:00:00"/>
    <m/>
    <m/>
    <m/>
    <m/>
    <m/>
    <m/>
    <m/>
    <m/>
    <m/>
    <m/>
    <m/>
    <m/>
    <s v="Matriz"/>
    <n v="0.02"/>
    <m/>
    <m/>
    <m/>
    <m/>
    <n v="0"/>
    <n v="0.02"/>
    <x v="1"/>
    <n v="18"/>
    <n v="-236"/>
    <n v="-13.111111111111111"/>
    <n v="-0.26222222222222225"/>
    <n v="0.26222222222222225"/>
    <x v="2"/>
  </r>
  <r>
    <x v="2"/>
    <s v="Seguimiento a la Gestión por Procesos - Indicadores de Gestión - Plan Anual de Auditorías - FUSS - Parágrafo 1, Artículo 38 - Decreto 807 de 2019"/>
    <s v="Evaluación de la Gestión"/>
    <s v="Seguimiento y Evaluación"/>
    <s v="Ivonne Andrea Torres Cruz_x000a_Asesora de Control Interno"/>
    <s v="Joan Gaitán Ferrer"/>
    <s v="Asesor de Control Interno"/>
    <d v="2021-11-24T00:00:00"/>
    <d v="2021-12-02T00:00:00"/>
    <m/>
    <m/>
    <m/>
    <m/>
    <m/>
    <m/>
    <m/>
    <m/>
    <m/>
    <m/>
    <m/>
    <m/>
    <s v="Matriz"/>
    <n v="3.0000000000000001E-3"/>
    <m/>
    <m/>
    <m/>
    <m/>
    <n v="0"/>
    <n v="3.0000000000000001E-3"/>
    <x v="1"/>
    <n v="8"/>
    <n v="-238"/>
    <n v="-29.75"/>
    <n v="-8.9249999999999996E-2"/>
    <n v="8.9249999999999996E-2"/>
    <x v="2"/>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s v="Mejoramiento de Barrios"/>
    <s v="Misional"/>
    <s v="Ivonne Andrea Torres Cruz_x000a_Asesora de Control Interno"/>
    <s v="Joan Gaitán Ferrer"/>
    <s v="Director de Mejoramiento de Barrios"/>
    <d v="2021-11-29T00:00:00"/>
    <d v="2021-12-02T00:00:00"/>
    <m/>
    <m/>
    <m/>
    <m/>
    <m/>
    <m/>
    <m/>
    <m/>
    <m/>
    <m/>
    <m/>
    <m/>
    <s v="Correo electrónico"/>
    <n v="1E-3"/>
    <m/>
    <m/>
    <m/>
    <m/>
    <n v="0"/>
    <n v="1E-3"/>
    <x v="1"/>
    <n v="3"/>
    <n v="-243"/>
    <n v="-81"/>
    <n v="-8.1000000000000003E-2"/>
    <n v="8.1000000000000003E-2"/>
    <x v="2"/>
  </r>
  <r>
    <x v="2"/>
    <s v="Trámite de cuentas de ACI"/>
    <s v="Evaluación de la Gestión"/>
    <s v="Seguimiento y Evaluación"/>
    <s v="Ivonne Andrea Torres Cruz_x000a_Asesora de Control Interno"/>
    <s v="Joan Gaitán Ferrer"/>
    <s v="Asesor de Control Interno"/>
    <d v="2021-12-01T00:00:00"/>
    <d v="2021-12-06T00:00:00"/>
    <m/>
    <m/>
    <m/>
    <m/>
    <m/>
    <m/>
    <m/>
    <m/>
    <m/>
    <m/>
    <m/>
    <m/>
    <s v="Reporte"/>
    <n v="3.0000000000000001E-3"/>
    <m/>
    <m/>
    <m/>
    <m/>
    <n v="0"/>
    <n v="3.0000000000000001E-3"/>
    <x v="1"/>
    <n v="5"/>
    <n v="-245"/>
    <n v="-49"/>
    <n v="-0.14699999999999999"/>
    <n v="0.14699999999999999"/>
    <x v="2"/>
  </r>
  <r>
    <x v="4"/>
    <s v="Informe cuenta mensual SIVICOF"/>
    <s v="Adquisición de Bienes y Servicios"/>
    <s v="Apoyo"/>
    <s v="Ivonne Andrea Torres Cruz_x000a_Asesora de Control Interno"/>
    <s v="Carlos Vargas Hernández"/>
    <s v="Director de Gestión Corporativa y CID"/>
    <d v="2021-12-01T00:00:00"/>
    <d v="2021-12-10T00:00:00"/>
    <m/>
    <m/>
    <m/>
    <m/>
    <m/>
    <m/>
    <m/>
    <m/>
    <m/>
    <m/>
    <m/>
    <m/>
    <s v="Certificado"/>
    <n v="1E-3"/>
    <m/>
    <m/>
    <m/>
    <m/>
    <n v="0"/>
    <n v="1E-3"/>
    <x v="1"/>
    <n v="9"/>
    <n v="-245"/>
    <n v="-27.222222222222221"/>
    <n v="-2.7222222222222221E-2"/>
    <n v="2.7222222222222221E-2"/>
    <x v="2"/>
  </r>
  <r>
    <x v="0"/>
    <s v="Informe presupuestal a Personería"/>
    <s v="Gestión Financiera"/>
    <s v="Apoyo"/>
    <s v="Ivonne Andrea Torres Cruz_x000a_Asesora de Control Interno"/>
    <s v="Elizabeth Sáenz Sáenz"/>
    <s v="Subdirector Financiero"/>
    <d v="2021-12-01T00:00:00"/>
    <d v="2021-12-10T00:00:00"/>
    <m/>
    <m/>
    <m/>
    <m/>
    <m/>
    <m/>
    <m/>
    <m/>
    <m/>
    <m/>
    <m/>
    <m/>
    <s v="Informe"/>
    <n v="1E-3"/>
    <m/>
    <m/>
    <m/>
    <m/>
    <n v="0"/>
    <n v="1E-3"/>
    <x v="1"/>
    <n v="9"/>
    <n v="-245"/>
    <n v="-27.222222222222221"/>
    <n v="-2.7222222222222221E-2"/>
    <n v="2.7222222222222221E-2"/>
    <x v="2"/>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12-06T00:00:00"/>
    <d v="2021-12-22T00:00:00"/>
    <m/>
    <m/>
    <m/>
    <m/>
    <m/>
    <m/>
    <m/>
    <m/>
    <m/>
    <m/>
    <m/>
    <m/>
    <s v="Acta"/>
    <n v="4.0000000000000001E-3"/>
    <m/>
    <m/>
    <m/>
    <m/>
    <n v="0"/>
    <n v="4.0000000000000001E-3"/>
    <x v="1"/>
    <n v="16"/>
    <n v="-250"/>
    <n v="-15.625"/>
    <n v="-6.25E-2"/>
    <n v="6.25E-2"/>
    <x v="2"/>
  </r>
  <r>
    <x v="2"/>
    <s v="Elaborar el informe de la Oficina de Control Interno vigencia 2021 - documento CBN 1038"/>
    <s v="Evaluación de la Gestión"/>
    <s v="Seguimiento y Evaluación"/>
    <s v="Ivonne Andrea Torres Cruz_x000a_Asesora de Control Interno"/>
    <s v="Andrea Sierra Ochoa"/>
    <s v="Asesor de Control Interno"/>
    <d v="2021-12-13T00:00:00"/>
    <d v="2021-12-27T00:00:00"/>
    <m/>
    <m/>
    <m/>
    <m/>
    <m/>
    <m/>
    <m/>
    <m/>
    <m/>
    <m/>
    <m/>
    <m/>
    <s v="Informe"/>
    <n v="1.2E-2"/>
    <m/>
    <m/>
    <m/>
    <m/>
    <n v="0"/>
    <n v="1.2E-2"/>
    <x v="1"/>
    <n v="14"/>
    <n v="-257"/>
    <n v="-18.357142857142858"/>
    <n v="-0.22028571428571431"/>
    <n v="0.22028571428571431"/>
    <x v="2"/>
  </r>
  <r>
    <x v="6"/>
    <s v="Asesoría en la formulación de planes de mejoramiento internos y en la modificación de las acciones ya propuestas"/>
    <s v="Evaluación de la Gestión"/>
    <s v="Seguimiento y Evaluación"/>
    <s v="Ivonne Andrea Torres Cruz_x000a_Asesora de Control Interno"/>
    <s v="Carlos Vargas Hernández"/>
    <s v="Asesor de Control Interno"/>
    <d v="2021-12-29T00:00:00"/>
    <d v="2022-01-12T00:00:00"/>
    <m/>
    <m/>
    <m/>
    <m/>
    <m/>
    <m/>
    <m/>
    <m/>
    <m/>
    <m/>
    <m/>
    <m/>
    <s v="Matriz"/>
    <n v="7.4999999999999997E-3"/>
    <m/>
    <m/>
    <m/>
    <m/>
    <n v="0"/>
    <n v="7.4999999999999997E-3"/>
    <x v="0"/>
    <n v="14"/>
    <n v="-273"/>
    <n v="-19.5"/>
    <n v="-0.14624999999999999"/>
    <n v="0.14624999999999999"/>
    <x v="2"/>
  </r>
  <r>
    <x v="0"/>
    <s v="Evaluación del desempeño institucional a través del Furag según lineamientos del DAFP"/>
    <s v="Todos los Procesos"/>
    <s v="Todos los Procesos"/>
    <s v="Ivonne Andrea Torres Cruz_x000a_Asesora de Control Interno"/>
    <s v="Kelly Serrano Rincón"/>
    <s v="Líderes de Cada Proceso"/>
    <m/>
    <m/>
    <m/>
    <m/>
    <m/>
    <m/>
    <m/>
    <m/>
    <m/>
    <m/>
    <m/>
    <m/>
    <m/>
    <m/>
    <s v="Certificado"/>
    <m/>
    <m/>
    <m/>
    <m/>
    <m/>
    <n v="0"/>
    <n v="0"/>
    <x v="12"/>
    <m/>
    <m/>
    <m/>
    <m/>
    <m/>
    <x v="5"/>
  </r>
  <r>
    <x v="6"/>
    <s v="Seguimiento al Plan de Mejoramiento Interno - Artículo 5 del Decreto 371 de 2010"/>
    <s v="Todos los Procesos"/>
    <s v="Todos los Procesos"/>
    <s v="Ivonne Andrea Torres Cruz_x000a_Asesora de Control Interno"/>
    <s v="Kelly Serrano Rincón"/>
    <s v="Líderes de Cada Proceso"/>
    <m/>
    <m/>
    <m/>
    <m/>
    <m/>
    <m/>
    <m/>
    <m/>
    <m/>
    <m/>
    <m/>
    <m/>
    <m/>
    <m/>
    <s v="Matriz"/>
    <m/>
    <m/>
    <m/>
    <m/>
    <m/>
    <n v="0"/>
    <n v="0"/>
    <x v="12"/>
    <m/>
    <m/>
    <m/>
    <m/>
    <m/>
    <x v="5"/>
  </r>
  <r>
    <x v="4"/>
    <s v="Atención Auditoría de Regularidad: Cód 55: EEvaluar la gestión fiscal vigencia 2020"/>
    <s v="Todos los Procesos"/>
    <s v="Todos los Procesos"/>
    <s v="Ivonne Andrea Torres Cruz_x000a_Asesora de Control Interno"/>
    <s v="Carlos Vargas Hernández"/>
    <s v="Líderes de Cada Proceso"/>
    <d v="2021-03-31T00:00:00"/>
    <d v="2021-07-29T00:00:00"/>
    <m/>
    <m/>
    <m/>
    <m/>
    <m/>
    <m/>
    <m/>
    <m/>
    <m/>
    <m/>
    <m/>
    <m/>
    <s v="Correo electrónico - Oficios"/>
    <n v="0.02"/>
    <m/>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
    <s v="Recepción de solicitud"/>
    <n v="2E-3"/>
    <n v="1.8000000000000002E-2"/>
    <x v="9"/>
    <n v="120"/>
    <n v="0"/>
    <n v="0"/>
    <n v="0"/>
    <n v="2E-3"/>
    <x v="3"/>
  </r>
  <r>
    <x v="5"/>
    <s v="Revisión del tema del embargo de la UGPP - tema del comité financiero"/>
    <s v="Gestión Financiera"/>
    <s v="Apoyo"/>
    <s v="Ivonne Andrea Torres Cruz_x000a_Asesora de Control Interno"/>
    <s v="Marcela Urrea Jaramillo"/>
    <s v="Subdirector Financiero"/>
    <d v="2021-03-02T00:00:00"/>
    <d v="2021-04-09T00:00:00"/>
    <m/>
    <m/>
    <m/>
    <m/>
    <m/>
    <m/>
    <m/>
    <m/>
    <m/>
    <m/>
    <m/>
    <m/>
    <s v="Acta"/>
    <n v="2.5000000000000001E-3"/>
    <m/>
    <s v="Ruta: \\10.216.160.201\control interno\2021\00. APOYO\01. Corr. Interna\202111200012533 Solic.inf. - UPGG"/>
    <s v="Se realizó solicitud de información a la Subdirección Administrativa y Dirección Jurídica con mem 202111200012533 del 05Mar2021._x000a_Se recibió respuesta de la Dirección Jurídica - memorando 202116000018193 del 19Mar2021 y de la Subdirección Administrativa con memorando 202117200019183 del 24 de marzo de 2021. _x000a_Pendiente realizar el analisis de la información. "/>
    <s v="Recolección y Análisis de Información"/>
    <n v="1.3750000000000001E-3"/>
    <n v="1.1249999999999999E-3"/>
    <x v="4"/>
    <n v="38"/>
    <n v="29"/>
    <n v="0.76315789473684215"/>
    <n v="1.9078947368421054E-3"/>
    <n v="-5.3289473684210525E-4"/>
    <x v="1"/>
  </r>
  <r>
    <x v="5"/>
    <s v="Apoyar la disposición final de las chaquetas de BMPT"/>
    <s v="Gestión Administrativa"/>
    <s v="Apoyo"/>
    <s v="Ivonne Andrea Torres Cruz_x000a_Asesora de Control Interno"/>
    <s v="Marcela Urrea Jaramillo"/>
    <s v="Subdirector Administrativo"/>
    <d v="2021-03-02T00:00:00"/>
    <d v="2021-03-26T00:00:00"/>
    <m/>
    <m/>
    <m/>
    <m/>
    <m/>
    <m/>
    <m/>
    <m/>
    <m/>
    <m/>
    <m/>
    <m/>
    <s v="Acta"/>
    <n v="2.5000000000000001E-3"/>
    <m/>
    <s v="Esta actividad no fue desarrollada durante el mes de marzo "/>
    <s v="Esta actividad no fue desarrollada durante el mes de marzo "/>
    <m/>
    <n v="0"/>
    <n v="2.5000000000000001E-3"/>
    <x v="3"/>
    <n v="24"/>
    <n v="29"/>
    <n v="1.2083333333333333"/>
    <n v="3.0208333333333333E-3"/>
    <n v="-3.0208333333333333E-3"/>
    <x v="4"/>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Joan Gaitán Ferrer"/>
    <s v="Asesor de Control Interno"/>
    <d v="2021-03-08T00:00:00"/>
    <d v="2021-04-15T00:00:00"/>
    <m/>
    <m/>
    <m/>
    <m/>
    <m/>
    <m/>
    <m/>
    <m/>
    <m/>
    <m/>
    <m/>
    <m/>
    <s v="Acta"/>
    <m/>
    <m/>
    <m/>
    <m/>
    <m/>
    <n v="0"/>
    <n v="0"/>
    <x v="4"/>
    <n v="38"/>
    <n v="23"/>
    <n v="0.60526315789473684"/>
    <n v="0"/>
    <n v="0"/>
    <x v="2"/>
  </r>
  <r>
    <x v="2"/>
    <s v="Realizar evaluación parcial 2021 de mitad de año planta fija"/>
    <s v="Evaluación de la Gestión"/>
    <s v="Seguimiento y Evaluación"/>
    <s v="Ivonne Andrea Torres Cruz_x000a_Asesora de Control Interno"/>
    <s v="Elizabeth Sáenz Sáenz"/>
    <s v="Asesor de Control Interno"/>
    <d v="2021-08-02T00:00:00"/>
    <d v="2021-08-20T00:00:00"/>
    <m/>
    <m/>
    <m/>
    <m/>
    <m/>
    <m/>
    <m/>
    <m/>
    <m/>
    <m/>
    <m/>
    <m/>
    <s v="Certificado"/>
    <n v="1E-3"/>
    <m/>
    <m/>
    <m/>
    <m/>
    <n v="0"/>
    <n v="1E-3"/>
    <x v="8"/>
    <n v="18"/>
    <n v="-124"/>
    <n v="-6.8888888888888893"/>
    <n v="-6.8888888888888897E-3"/>
    <n v="6.8888888888888897E-3"/>
    <x v="2"/>
  </r>
  <r>
    <x v="2"/>
    <s v="Realizar evaluación parcial 2021 por retiro del jefe inmediato planta fija"/>
    <s v="Evaluación de la Gestión"/>
    <s v="Seguimiento y Evaluación"/>
    <s v="Ivonne Andrea Torres Cruz_x000a_Asesora de Control Interno"/>
    <s v="Elizabeth Sáenz Sáenz"/>
    <s v="Asesor de Control Interno"/>
    <d v="2021-12-03T00:00:00"/>
    <d v="2021-12-15T00:00:00"/>
    <m/>
    <m/>
    <m/>
    <m/>
    <m/>
    <m/>
    <m/>
    <m/>
    <m/>
    <m/>
    <m/>
    <m/>
    <s v="Certificado"/>
    <n v="1E-3"/>
    <m/>
    <m/>
    <m/>
    <m/>
    <n v="0"/>
    <n v="1E-3"/>
    <x v="1"/>
    <n v="12"/>
    <n v="-247"/>
    <n v="-20.583333333333332"/>
    <n v="-2.0583333333333332E-2"/>
    <n v="2.0583333333333332E-2"/>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77:B86" firstHeaderRow="1" firstDataRow="1" firstDataCol="1" rowPageCount="1" colPageCount="1"/>
  <pivotFields count="36">
    <pivotField axis="axisRow" showAll="0">
      <items count="9">
        <item x="5"/>
        <item x="7"/>
        <item x="2"/>
        <item x="1"/>
        <item x="0"/>
        <item x="3"/>
        <item x="4"/>
        <item x="6"/>
        <item t="default"/>
      </items>
    </pivotField>
    <pivotField dataField="1"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6">
        <item x="1"/>
        <item x="0"/>
        <item x="3"/>
        <item h="1" x="5"/>
        <item x="2"/>
        <item h="1" x="4"/>
      </items>
    </pivotField>
  </pivotFields>
  <rowFields count="1">
    <field x="0"/>
  </rowFields>
  <rowItems count="9">
    <i>
      <x/>
    </i>
    <i>
      <x v="1"/>
    </i>
    <i>
      <x v="2"/>
    </i>
    <i>
      <x v="3"/>
    </i>
    <i>
      <x v="4"/>
    </i>
    <i>
      <x v="5"/>
    </i>
    <i>
      <x v="6"/>
    </i>
    <i>
      <x v="7"/>
    </i>
    <i t="grand">
      <x/>
    </i>
  </rowItems>
  <colItems count="1">
    <i/>
  </colItems>
  <pageFields count="1">
    <pageField fld="35" hier="-1"/>
  </pageFields>
  <dataFields count="1">
    <dataField name="Cuenta de Actividad" fld="1" subtotal="count" baseField="0" baseItem="0"/>
  </dataFields>
  <formats count="2">
    <format dxfId="1519">
      <pivotArea field="0" type="button" dataOnly="0" labelOnly="1" outline="0" axis="axisRow" fieldPosition="0"/>
    </format>
    <format dxfId="1518">
      <pivotArea field="0" type="button" dataOnly="0" labelOnly="1" outline="0" axis="axisRow"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2"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es">
  <location ref="A55:C69" firstHeaderRow="0" firstDataRow="1" firstDataCol="1"/>
  <pivotFields count="3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axis="axisRow" showAll="0" sortType="ascending">
      <items count="14">
        <item x="0"/>
        <item x="2"/>
        <item x="3"/>
        <item x="4"/>
        <item x="6"/>
        <item x="7"/>
        <item x="9"/>
        <item x="8"/>
        <item x="5"/>
        <item x="10"/>
        <item x="11"/>
        <item x="1"/>
        <item x="12"/>
        <item t="default"/>
      </items>
    </pivotField>
    <pivotField showAll="0" defaultSubtotal="0"/>
    <pivotField showAll="0" defaultSubtotal="0"/>
    <pivotField showAll="0" defaultSubtotal="0"/>
    <pivotField showAll="0" defaultSubtotal="0"/>
    <pivotField showAll="0" defaultSubtotal="0"/>
    <pivotField showAll="0" defaultSubtotal="0"/>
  </pivotFields>
  <rowFields count="1">
    <field x="29"/>
  </rowFields>
  <rowItems count="14">
    <i>
      <x/>
    </i>
    <i>
      <x v="1"/>
    </i>
    <i>
      <x v="2"/>
    </i>
    <i>
      <x v="3"/>
    </i>
    <i>
      <x v="4"/>
    </i>
    <i>
      <x v="5"/>
    </i>
    <i>
      <x v="6"/>
    </i>
    <i>
      <x v="7"/>
    </i>
    <i>
      <x v="8"/>
    </i>
    <i>
      <x v="9"/>
    </i>
    <i>
      <x v="10"/>
    </i>
    <i>
      <x v="11"/>
    </i>
    <i>
      <x v="12"/>
    </i>
    <i t="grand">
      <x/>
    </i>
  </rowItems>
  <colFields count="1">
    <field x="-2"/>
  </colFields>
  <colItems count="2">
    <i>
      <x/>
    </i>
    <i i="1">
      <x v="1"/>
    </i>
  </colItems>
  <dataFields count="2">
    <dataField name="Suma de Ponderación" fld="22" baseField="30" baseItem="0" numFmtId="10"/>
    <dataField name="Suma de Aporte al Avance del  PAA" fld="27" baseField="30" baseItem="1" numFmtId="10"/>
  </dataFields>
  <formats count="26">
    <format dxfId="1545">
      <pivotArea field="29" type="button" dataOnly="0" labelOnly="1" outline="0" axis="axisRow" fieldPosition="0"/>
    </format>
    <format dxfId="1544">
      <pivotArea dataOnly="0" labelOnly="1" outline="0" axis="axisValues" fieldPosition="0"/>
    </format>
    <format dxfId="1543">
      <pivotArea dataOnly="0" labelOnly="1" outline="0" axis="axisValues" fieldPosition="0"/>
    </format>
    <format dxfId="1542">
      <pivotArea field="29" type="button" dataOnly="0" labelOnly="1" outline="0" axis="axisRow" fieldPosition="0"/>
    </format>
    <format dxfId="1541">
      <pivotArea dataOnly="0" labelOnly="1" outline="0" axis="axisValues" fieldPosition="0"/>
    </format>
    <format dxfId="1540">
      <pivotArea dataOnly="0" labelOnly="1" outline="0" axis="axisValues" fieldPosition="0"/>
    </format>
    <format dxfId="1539">
      <pivotArea field="29" type="button" dataOnly="0" labelOnly="1" outline="0" axis="axisRow" fieldPosition="0"/>
    </format>
    <format dxfId="1538">
      <pivotArea dataOnly="0" labelOnly="1" outline="0" axis="axisValues" fieldPosition="0"/>
    </format>
    <format dxfId="1537">
      <pivotArea dataOnly="0" labelOnly="1" outline="0" axis="axisValues" fieldPosition="0"/>
    </format>
    <format dxfId="1536">
      <pivotArea outline="0" fieldPosition="0">
        <references count="1">
          <reference field="4294967294" count="1">
            <x v="1"/>
          </reference>
        </references>
      </pivotArea>
    </format>
    <format dxfId="1535">
      <pivotArea field="29" type="button" dataOnly="0" labelOnly="1" outline="0" axis="axisRow" fieldPosition="0"/>
    </format>
    <format dxfId="1534">
      <pivotArea dataOnly="0" labelOnly="1" outline="0" fieldPosition="0">
        <references count="1">
          <reference field="4294967294" count="2">
            <x v="0"/>
            <x v="1"/>
          </reference>
        </references>
      </pivotArea>
    </format>
    <format dxfId="1533">
      <pivotArea field="29" type="button" dataOnly="0" labelOnly="1" outline="0" axis="axisRow" fieldPosition="0"/>
    </format>
    <format dxfId="1532">
      <pivotArea dataOnly="0" labelOnly="1" outline="0" fieldPosition="0">
        <references count="1">
          <reference field="4294967294" count="2">
            <x v="0"/>
            <x v="1"/>
          </reference>
        </references>
      </pivotArea>
    </format>
    <format dxfId="1531">
      <pivotArea field="29" type="button" dataOnly="0" labelOnly="1" outline="0" axis="axisRow" fieldPosition="0"/>
    </format>
    <format dxfId="1530">
      <pivotArea dataOnly="0" labelOnly="1" outline="0" fieldPosition="0">
        <references count="1">
          <reference field="4294967294" count="2">
            <x v="0"/>
            <x v="1"/>
          </reference>
        </references>
      </pivotArea>
    </format>
    <format dxfId="1529">
      <pivotArea field="29" type="button" dataOnly="0" labelOnly="1" outline="0" axis="axisRow" fieldPosition="0"/>
    </format>
    <format dxfId="1528">
      <pivotArea dataOnly="0" labelOnly="1" outline="0" fieldPosition="0">
        <references count="1">
          <reference field="4294967294" count="2">
            <x v="0"/>
            <x v="1"/>
          </reference>
        </references>
      </pivotArea>
    </format>
    <format dxfId="1527">
      <pivotArea field="29" type="button" dataOnly="0" labelOnly="1" outline="0" axis="axisRow" fieldPosition="0"/>
    </format>
    <format dxfId="1526">
      <pivotArea dataOnly="0" labelOnly="1" outline="0" fieldPosition="0">
        <references count="1">
          <reference field="4294967294" count="2">
            <x v="0"/>
            <x v="1"/>
          </reference>
        </references>
      </pivotArea>
    </format>
    <format dxfId="1525">
      <pivotArea field="29" type="button" dataOnly="0" labelOnly="1" outline="0" axis="axisRow" fieldPosition="0"/>
    </format>
    <format dxfId="1524">
      <pivotArea dataOnly="0" labelOnly="1" outline="0" fieldPosition="0">
        <references count="1">
          <reference field="4294967294" count="2">
            <x v="0"/>
            <x v="1"/>
          </reference>
        </references>
      </pivotArea>
    </format>
    <format dxfId="1523">
      <pivotArea outline="0" collapsedLevelsAreSubtotals="1" fieldPosition="0">
        <references count="1">
          <reference field="4294967294" count="1" selected="0">
            <x v="0"/>
          </reference>
        </references>
      </pivotArea>
    </format>
    <format dxfId="1522">
      <pivotArea dataOnly="0" labelOnly="1" outline="0" fieldPosition="0">
        <references count="1">
          <reference field="4294967294" count="1">
            <x v="0"/>
          </reference>
        </references>
      </pivotArea>
    </format>
    <format dxfId="1521">
      <pivotArea outline="0" collapsedLevelsAreSubtotals="1" fieldPosition="0">
        <references count="1">
          <reference field="4294967294" count="1" selected="0">
            <x v="1"/>
          </reference>
        </references>
      </pivotArea>
    </format>
    <format dxfId="152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6">
    <pivotField axis="axisRow"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1565">
      <pivotArea field="0" grandRow="1" outline="0" collapsedLevelsAreSubtotals="1" axis="axisRow" fieldPosition="0">
        <references count="1">
          <reference field="4294967294" count="1" selected="0">
            <x v="1"/>
          </reference>
        </references>
      </pivotArea>
    </format>
    <format dxfId="1564">
      <pivotArea field="0" grandRow="1" outline="0" collapsedLevelsAreSubtotals="1" axis="axisRow" fieldPosition="0">
        <references count="1">
          <reference field="4294967294" count="1" selected="0">
            <x v="1"/>
          </reference>
        </references>
      </pivotArea>
    </format>
    <format dxfId="1563">
      <pivotArea field="0" grandRow="1" outline="0" collapsedLevelsAreSubtotals="1" axis="axisRow" fieldPosition="0">
        <references count="1">
          <reference field="4294967294" count="1" selected="0">
            <x v="1"/>
          </reference>
        </references>
      </pivotArea>
    </format>
    <format dxfId="1562">
      <pivotArea field="0" grandRow="1" outline="0" collapsedLevelsAreSubtotals="1" axis="axisRow" fieldPosition="0">
        <references count="1">
          <reference field="4294967294" count="1" selected="0">
            <x v="1"/>
          </reference>
        </references>
      </pivotArea>
    </format>
    <format dxfId="1561">
      <pivotArea field="0" grandRow="1" outline="0" collapsedLevelsAreSubtotals="1" axis="axisRow" fieldPosition="0">
        <references count="1">
          <reference field="4294967294" count="1" selected="0">
            <x v="1"/>
          </reference>
        </references>
      </pivotArea>
    </format>
    <format dxfId="1560">
      <pivotArea field="0" grandRow="1" outline="0" collapsedLevelsAreSubtotals="1" axis="axisRow" fieldPosition="0">
        <references count="1">
          <reference field="4294967294" count="1" selected="0">
            <x v="1"/>
          </reference>
        </references>
      </pivotArea>
    </format>
    <format dxfId="1559">
      <pivotArea outline="0" collapsedLevelsAreSubtotals="1" fieldPosition="0">
        <references count="1">
          <reference field="4294967294" count="1" selected="0">
            <x v="1"/>
          </reference>
        </references>
      </pivotArea>
    </format>
    <format dxfId="1558">
      <pivotArea outline="0" collapsedLevelsAreSubtotals="1" fieldPosition="0">
        <references count="1">
          <reference field="4294967294" count="1" selected="0">
            <x v="1"/>
          </reference>
        </references>
      </pivotArea>
    </format>
    <format dxfId="1557">
      <pivotArea outline="0" collapsedLevelsAreSubtotals="1" fieldPosition="0">
        <references count="1">
          <reference field="4294967294" count="1" selected="0">
            <x v="1"/>
          </reference>
        </references>
      </pivotArea>
    </format>
    <format dxfId="1556">
      <pivotArea outline="0" collapsedLevelsAreSubtotals="1" fieldPosition="0">
        <references count="1">
          <reference field="4294967294" count="1" selected="0">
            <x v="1"/>
          </reference>
        </references>
      </pivotArea>
    </format>
    <format dxfId="1555">
      <pivotArea outline="0" collapsedLevelsAreSubtotals="1" fieldPosition="0">
        <references count="1">
          <reference field="4294967294" count="1" selected="0">
            <x v="1"/>
          </reference>
        </references>
      </pivotArea>
    </format>
    <format dxfId="1554">
      <pivotArea outline="0" collapsedLevelsAreSubtotals="1" fieldPosition="0">
        <references count="1">
          <reference field="4294967294" count="1" selected="0">
            <x v="1"/>
          </reference>
        </references>
      </pivotArea>
    </format>
    <format dxfId="1553">
      <pivotArea field="0" grandRow="1" outline="0" collapsedLevelsAreSubtotals="1" axis="axisRow" fieldPosition="0">
        <references count="1">
          <reference field="4294967294" count="1" selected="0">
            <x v="1"/>
          </reference>
        </references>
      </pivotArea>
    </format>
    <format dxfId="1552">
      <pivotArea dataOnly="0" labelOnly="1" outline="0" fieldPosition="0">
        <references count="1">
          <reference field="4294967294" count="1">
            <x v="1"/>
          </reference>
        </references>
      </pivotArea>
    </format>
    <format dxfId="1551">
      <pivotArea dataOnly="0" labelOnly="1" outline="0" fieldPosition="0">
        <references count="1">
          <reference field="4294967294" count="1">
            <x v="1"/>
          </reference>
        </references>
      </pivotArea>
    </format>
    <format dxfId="1550">
      <pivotArea dataOnly="0" labelOnly="1" outline="0" fieldPosition="0">
        <references count="1">
          <reference field="4294967294" count="1">
            <x v="1"/>
          </reference>
        </references>
      </pivotArea>
    </format>
    <format dxfId="1549">
      <pivotArea field="0" type="button" dataOnly="0" labelOnly="1" outline="0" axis="axisRow" fieldPosition="0"/>
    </format>
    <format dxfId="1548">
      <pivotArea dataOnly="0" labelOnly="1" outline="0" fieldPosition="0">
        <references count="1">
          <reference field="4294967294" count="2">
            <x v="0"/>
            <x v="1"/>
          </reference>
        </references>
      </pivotArea>
    </format>
    <format dxfId="1547">
      <pivotArea field="0" type="button" dataOnly="0" labelOnly="1" outline="0" axis="axisRow" fieldPosition="0"/>
    </format>
    <format dxfId="154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O86"/>
  <sheetViews>
    <sheetView topLeftCell="A10" zoomScale="130" zoomScaleNormal="130" workbookViewId="0">
      <selection activeCell="A21" sqref="A21:C28"/>
    </sheetView>
  </sheetViews>
  <sheetFormatPr baseColWidth="10" defaultRowHeight="14.4" x14ac:dyDescent="0.3"/>
  <cols>
    <col min="1" max="1" width="34.33203125" customWidth="1"/>
    <col min="2" max="2" width="19.5546875" customWidth="1"/>
    <col min="3" max="3" width="16.5546875" customWidth="1"/>
    <col min="4" max="5" width="21.44140625" customWidth="1"/>
    <col min="6" max="37" width="11.44140625" customWidth="1"/>
  </cols>
  <sheetData>
    <row r="3" spans="1:9" x14ac:dyDescent="0.3">
      <c r="B3" s="35" t="s">
        <v>193</v>
      </c>
    </row>
    <row r="4" spans="1:9" s="83" customFormat="1" ht="28.8" x14ac:dyDescent="0.3">
      <c r="A4" s="91" t="s">
        <v>221</v>
      </c>
      <c r="B4" s="204" t="s">
        <v>190</v>
      </c>
      <c r="C4" s="90" t="s">
        <v>189</v>
      </c>
      <c r="D4"/>
      <c r="E4"/>
      <c r="F4"/>
      <c r="G4"/>
      <c r="H4"/>
      <c r="I4"/>
    </row>
    <row r="5" spans="1:9" x14ac:dyDescent="0.3">
      <c r="A5" s="36" t="s">
        <v>52</v>
      </c>
      <c r="B5" s="38">
        <v>4.0000000000000008E-2</v>
      </c>
      <c r="C5" s="62">
        <v>3.4985294117647059E-3</v>
      </c>
    </row>
    <row r="6" spans="1:9" x14ac:dyDescent="0.3">
      <c r="A6" s="36" t="s">
        <v>50</v>
      </c>
      <c r="B6" s="38">
        <v>0.14000000000000007</v>
      </c>
      <c r="C6" s="62">
        <v>1.6549999999999999E-2</v>
      </c>
    </row>
    <row r="7" spans="1:9" x14ac:dyDescent="0.3">
      <c r="A7" s="36" t="s">
        <v>45</v>
      </c>
      <c r="B7" s="38">
        <v>0.18000000000000008</v>
      </c>
      <c r="C7" s="62">
        <v>4.7800000000000016E-2</v>
      </c>
    </row>
    <row r="8" spans="1:9" x14ac:dyDescent="0.3">
      <c r="A8" s="36" t="s">
        <v>51</v>
      </c>
      <c r="B8" s="38">
        <v>0.13</v>
      </c>
      <c r="C8" s="62">
        <v>4.6999999999999993E-2</v>
      </c>
    </row>
    <row r="9" spans="1:9" x14ac:dyDescent="0.3">
      <c r="A9" s="36" t="s">
        <v>44</v>
      </c>
      <c r="B9" s="38">
        <v>0.16000000000000003</v>
      </c>
      <c r="C9" s="62">
        <v>7.2899999999999993E-2</v>
      </c>
    </row>
    <row r="10" spans="1:9" x14ac:dyDescent="0.3">
      <c r="A10" s="36" t="s">
        <v>43</v>
      </c>
      <c r="B10" s="38">
        <v>0.1</v>
      </c>
      <c r="C10" s="62">
        <v>5.2499999999999991E-2</v>
      </c>
    </row>
    <row r="11" spans="1:9" x14ac:dyDescent="0.3">
      <c r="A11" s="36" t="s">
        <v>46</v>
      </c>
      <c r="B11" s="38">
        <v>9.0000000000000038E-2</v>
      </c>
      <c r="C11" s="62">
        <v>3.4000000000000016E-2</v>
      </c>
    </row>
    <row r="12" spans="1:9" x14ac:dyDescent="0.3">
      <c r="A12" s="36" t="s">
        <v>47</v>
      </c>
      <c r="B12" s="38">
        <v>0.16</v>
      </c>
      <c r="C12" s="62">
        <v>4.9999999999999989E-2</v>
      </c>
    </row>
    <row r="13" spans="1:9" x14ac:dyDescent="0.3">
      <c r="A13" s="36" t="s">
        <v>188</v>
      </c>
      <c r="B13" s="38">
        <v>1.0000000000000002</v>
      </c>
      <c r="C13" s="78">
        <v>0.32424852941176469</v>
      </c>
    </row>
    <row r="20" spans="1:15" x14ac:dyDescent="0.3">
      <c r="A20" s="46" t="s">
        <v>194</v>
      </c>
      <c r="B20" s="46" t="s">
        <v>190</v>
      </c>
      <c r="C20" s="46" t="s">
        <v>189</v>
      </c>
    </row>
    <row r="21" spans="1:15" x14ac:dyDescent="0.3">
      <c r="A21" s="84" t="s">
        <v>52</v>
      </c>
      <c r="B21" s="148">
        <v>4.0000000000000008E-2</v>
      </c>
      <c r="C21" s="148">
        <v>3.4985294117647059E-3</v>
      </c>
      <c r="D21" s="66">
        <f t="shared" ref="D21:D29" si="0">+B21-C21</f>
        <v>3.6501470588235302E-2</v>
      </c>
      <c r="E21" s="65"/>
      <c r="F21" s="39"/>
    </row>
    <row r="22" spans="1:15" x14ac:dyDescent="0.3">
      <c r="A22" s="84" t="s">
        <v>50</v>
      </c>
      <c r="B22" s="148">
        <v>0.14000000000000007</v>
      </c>
      <c r="C22" s="148">
        <v>1.6549999999999999E-2</v>
      </c>
      <c r="D22" s="66">
        <f t="shared" si="0"/>
        <v>0.12345000000000007</v>
      </c>
      <c r="E22" s="65"/>
      <c r="F22" s="87"/>
    </row>
    <row r="23" spans="1:15" x14ac:dyDescent="0.3">
      <c r="A23" s="84" t="s">
        <v>45</v>
      </c>
      <c r="B23" s="148">
        <v>0.18000000000000008</v>
      </c>
      <c r="C23" s="148">
        <v>4.7800000000000016E-2</v>
      </c>
      <c r="D23" s="66">
        <f t="shared" si="0"/>
        <v>0.13220000000000007</v>
      </c>
      <c r="E23" s="65"/>
      <c r="F23" s="87"/>
    </row>
    <row r="24" spans="1:15" x14ac:dyDescent="0.3">
      <c r="A24" s="84" t="s">
        <v>51</v>
      </c>
      <c r="B24" s="148">
        <v>0.13</v>
      </c>
      <c r="C24" s="148">
        <v>4.6999999999999993E-2</v>
      </c>
      <c r="D24" s="66">
        <f t="shared" si="0"/>
        <v>8.3000000000000018E-2</v>
      </c>
      <c r="E24" s="65"/>
      <c r="F24" s="87"/>
    </row>
    <row r="25" spans="1:15" x14ac:dyDescent="0.3">
      <c r="A25" s="84" t="s">
        <v>44</v>
      </c>
      <c r="B25" s="148">
        <v>0.16000000000000003</v>
      </c>
      <c r="C25" s="148">
        <v>7.2899999999999993E-2</v>
      </c>
      <c r="D25" s="66">
        <f t="shared" si="0"/>
        <v>8.7100000000000039E-2</v>
      </c>
      <c r="E25" s="65"/>
      <c r="F25" s="87"/>
    </row>
    <row r="26" spans="1:15" x14ac:dyDescent="0.3">
      <c r="A26" s="84" t="s">
        <v>43</v>
      </c>
      <c r="B26" s="148">
        <v>0.1</v>
      </c>
      <c r="C26" s="148">
        <v>5.2499999999999991E-2</v>
      </c>
      <c r="D26" s="66">
        <f t="shared" si="0"/>
        <v>4.7500000000000014E-2</v>
      </c>
      <c r="E26" s="65"/>
      <c r="F26" s="87"/>
    </row>
    <row r="27" spans="1:15" x14ac:dyDescent="0.3">
      <c r="A27" s="84" t="s">
        <v>46</v>
      </c>
      <c r="B27" s="148">
        <v>9.0000000000000038E-2</v>
      </c>
      <c r="C27" s="148">
        <v>3.4000000000000016E-2</v>
      </c>
      <c r="D27" s="66">
        <f t="shared" si="0"/>
        <v>5.6000000000000022E-2</v>
      </c>
      <c r="E27" s="65"/>
      <c r="F27" s="87"/>
    </row>
    <row r="28" spans="1:15" x14ac:dyDescent="0.3">
      <c r="A28" s="84" t="s">
        <v>47</v>
      </c>
      <c r="B28" s="148">
        <v>0.16</v>
      </c>
      <c r="C28" s="148">
        <v>4.9999999999999989E-2</v>
      </c>
      <c r="D28" s="66">
        <f t="shared" si="0"/>
        <v>0.11000000000000001</v>
      </c>
      <c r="E28" s="65"/>
      <c r="F28" s="87"/>
    </row>
    <row r="29" spans="1:15" x14ac:dyDescent="0.3">
      <c r="A29" s="37" t="s">
        <v>188</v>
      </c>
      <c r="B29" s="40">
        <f>SUM(B21:B28)</f>
        <v>1.0000000000000002</v>
      </c>
      <c r="C29" s="40">
        <f>SUM(C21:C28)</f>
        <v>0.32424852941176469</v>
      </c>
      <c r="D29" s="66">
        <f t="shared" si="0"/>
        <v>0.67575147058823548</v>
      </c>
      <c r="E29" s="65"/>
      <c r="F29" s="87"/>
    </row>
    <row r="31" spans="1:15" x14ac:dyDescent="0.3">
      <c r="A31" s="243" t="s">
        <v>195</v>
      </c>
      <c r="B31" s="243" t="s">
        <v>301</v>
      </c>
      <c r="C31" s="47" t="s">
        <v>474</v>
      </c>
      <c r="D31" s="205" t="s">
        <v>196</v>
      </c>
      <c r="E31" s="212" t="s">
        <v>475</v>
      </c>
      <c r="F31" s="88"/>
      <c r="G31" s="117"/>
      <c r="H31" s="99"/>
    </row>
    <row r="32" spans="1:15" x14ac:dyDescent="0.3">
      <c r="A32" s="244"/>
      <c r="B32" s="244"/>
      <c r="C32" s="48" t="s">
        <v>473</v>
      </c>
      <c r="D32" s="48">
        <v>44227</v>
      </c>
      <c r="E32" s="48">
        <v>44255</v>
      </c>
      <c r="F32" s="48">
        <v>44286</v>
      </c>
      <c r="G32" s="48">
        <v>44316</v>
      </c>
      <c r="H32" s="48">
        <v>44347</v>
      </c>
      <c r="I32" s="48">
        <v>44377</v>
      </c>
      <c r="J32" s="48">
        <v>44408</v>
      </c>
      <c r="K32" s="48">
        <v>44439</v>
      </c>
      <c r="L32" s="48">
        <v>44469</v>
      </c>
      <c r="M32" s="48">
        <v>44500</v>
      </c>
      <c r="N32" s="48">
        <v>44530</v>
      </c>
      <c r="O32" s="48">
        <v>44561</v>
      </c>
    </row>
    <row r="33" spans="1:12" ht="28.8" x14ac:dyDescent="0.3">
      <c r="A33" s="6" t="s">
        <v>201</v>
      </c>
      <c r="B33" s="39">
        <f>+B25+B28</f>
        <v>0.32000000000000006</v>
      </c>
      <c r="C33" s="87">
        <f>+C25+C28</f>
        <v>0.12289999999999998</v>
      </c>
      <c r="D33" s="87">
        <v>3.7469999999999989E-2</v>
      </c>
      <c r="E33" s="39">
        <v>6.5000000000000002E-2</v>
      </c>
      <c r="F33" s="87"/>
      <c r="G33" s="87"/>
      <c r="H33" s="66"/>
    </row>
    <row r="34" spans="1:12" x14ac:dyDescent="0.3">
      <c r="A34" t="s">
        <v>197</v>
      </c>
      <c r="B34" s="39">
        <f>+B22</f>
        <v>0.14000000000000007</v>
      </c>
      <c r="C34" s="87">
        <f>+C22</f>
        <v>1.6549999999999999E-2</v>
      </c>
      <c r="D34" s="87">
        <v>1.8500000000000001E-3</v>
      </c>
      <c r="E34" s="39">
        <v>1.8E-3</v>
      </c>
      <c r="F34" s="66"/>
      <c r="G34" s="66"/>
      <c r="H34" s="66"/>
    </row>
    <row r="35" spans="1:12" x14ac:dyDescent="0.3">
      <c r="A35" t="s">
        <v>46</v>
      </c>
      <c r="B35" s="39">
        <f>+B27</f>
        <v>9.0000000000000038E-2</v>
      </c>
      <c r="C35" s="87">
        <f>+C27</f>
        <v>3.4000000000000016E-2</v>
      </c>
      <c r="D35" s="87">
        <v>1.4000000000000004E-2</v>
      </c>
      <c r="E35" s="39">
        <v>2.880000000000001E-2</v>
      </c>
      <c r="F35" s="66"/>
      <c r="G35" s="66"/>
      <c r="H35" s="66"/>
    </row>
    <row r="36" spans="1:12" x14ac:dyDescent="0.3">
      <c r="A36" t="s">
        <v>51</v>
      </c>
      <c r="B36" s="39">
        <f>+B24</f>
        <v>0.13</v>
      </c>
      <c r="C36" s="87">
        <f>+C24</f>
        <v>4.6999999999999993E-2</v>
      </c>
      <c r="D36" s="87">
        <v>4.6999999999999993E-2</v>
      </c>
      <c r="E36" s="39">
        <v>4.6999999999999993E-2</v>
      </c>
      <c r="F36" s="66"/>
      <c r="G36" s="66"/>
      <c r="H36" s="66"/>
    </row>
    <row r="37" spans="1:12" x14ac:dyDescent="0.3">
      <c r="A37" t="s">
        <v>198</v>
      </c>
      <c r="B37" s="39">
        <f>+B23</f>
        <v>0.18000000000000008</v>
      </c>
      <c r="C37" s="87">
        <f>+C23</f>
        <v>4.7800000000000016E-2</v>
      </c>
      <c r="D37" s="87">
        <v>2.7400000000000001E-2</v>
      </c>
      <c r="E37" s="39">
        <v>4.3400000000000008E-2</v>
      </c>
      <c r="F37" s="66"/>
      <c r="G37" s="66"/>
      <c r="H37" s="66"/>
    </row>
    <row r="38" spans="1:12" x14ac:dyDescent="0.3">
      <c r="A38" t="s">
        <v>43</v>
      </c>
      <c r="B38" s="39">
        <f>+B26</f>
        <v>0.1</v>
      </c>
      <c r="C38" s="87">
        <f>+C26</f>
        <v>5.2499999999999991E-2</v>
      </c>
      <c r="D38" s="87">
        <v>3.4825000000000002E-2</v>
      </c>
      <c r="E38" s="39">
        <v>3.8400000000000004E-2</v>
      </c>
      <c r="F38" s="66"/>
      <c r="G38" s="66"/>
      <c r="H38" s="66"/>
    </row>
    <row r="39" spans="1:12" x14ac:dyDescent="0.3">
      <c r="A39" t="s">
        <v>199</v>
      </c>
      <c r="B39" s="39">
        <f>+B21</f>
        <v>4.0000000000000008E-2</v>
      </c>
      <c r="C39" s="87">
        <f>+C21</f>
        <v>3.4985294117647059E-3</v>
      </c>
      <c r="D39" s="87">
        <v>3.0000000000000003E-4</v>
      </c>
      <c r="E39" s="39">
        <v>4.0000000000000007E-4</v>
      </c>
      <c r="F39" s="66"/>
      <c r="G39" s="66"/>
      <c r="H39" s="66"/>
    </row>
    <row r="40" spans="1:12" x14ac:dyDescent="0.3">
      <c r="A40" s="49" t="s">
        <v>200</v>
      </c>
      <c r="B40" s="50">
        <f t="shared" ref="B40" si="1">SUM(B33:B39)</f>
        <v>1.0000000000000002</v>
      </c>
      <c r="C40" s="50">
        <f>SUM(C33:C39)</f>
        <v>0.32424852941176469</v>
      </c>
      <c r="D40" s="50">
        <f t="shared" ref="D40:H40" si="2">SUM(D33:D39)</f>
        <v>0.16284499999999999</v>
      </c>
      <c r="E40" s="50">
        <f t="shared" si="2"/>
        <v>0.2248</v>
      </c>
      <c r="F40" s="50">
        <f t="shared" si="2"/>
        <v>0</v>
      </c>
      <c r="G40" s="50">
        <f t="shared" si="2"/>
        <v>0</v>
      </c>
      <c r="H40" s="50">
        <f t="shared" si="2"/>
        <v>0</v>
      </c>
    </row>
    <row r="41" spans="1:12" x14ac:dyDescent="0.3">
      <c r="B41" s="39">
        <f t="shared" ref="B41" si="3">SUM(B33:B39)</f>
        <v>1.0000000000000002</v>
      </c>
      <c r="C41" s="87">
        <f t="shared" ref="C41:H41" si="4">SUM(C33:C39)</f>
        <v>0.32424852941176469</v>
      </c>
      <c r="D41" s="87">
        <f t="shared" si="4"/>
        <v>0.16284499999999999</v>
      </c>
      <c r="E41" s="87">
        <f t="shared" si="4"/>
        <v>0.2248</v>
      </c>
      <c r="F41" s="87">
        <f t="shared" si="4"/>
        <v>0</v>
      </c>
      <c r="G41" s="87">
        <f t="shared" si="4"/>
        <v>0</v>
      </c>
      <c r="H41" s="87">
        <f t="shared" si="4"/>
        <v>0</v>
      </c>
      <c r="I41" s="89"/>
      <c r="J41" s="89"/>
    </row>
    <row r="43" spans="1:12" x14ac:dyDescent="0.3">
      <c r="A43" s="245" t="s">
        <v>220</v>
      </c>
      <c r="B43" s="246"/>
      <c r="C43" s="246"/>
      <c r="D43" s="246"/>
      <c r="E43" s="246"/>
      <c r="F43" s="246"/>
      <c r="G43" s="246"/>
      <c r="H43" s="246"/>
    </row>
    <row r="44" spans="1:12" x14ac:dyDescent="0.3">
      <c r="A44" s="85" t="s">
        <v>222</v>
      </c>
      <c r="B44" s="85" t="s">
        <v>223</v>
      </c>
      <c r="C44" s="85"/>
      <c r="D44" s="85"/>
      <c r="E44" s="85"/>
      <c r="F44" s="85"/>
      <c r="G44" s="85"/>
      <c r="H44" s="85"/>
      <c r="I44" s="85"/>
      <c r="J44" s="85"/>
      <c r="K44" s="85"/>
      <c r="L44" s="85"/>
    </row>
    <row r="45" spans="1:12" x14ac:dyDescent="0.3">
      <c r="A45" s="86">
        <v>1</v>
      </c>
      <c r="B45" s="86">
        <v>1</v>
      </c>
      <c r="C45" s="86"/>
      <c r="D45" s="86"/>
      <c r="E45" s="86"/>
      <c r="F45" s="86"/>
      <c r="G45" s="86"/>
      <c r="H45" s="86"/>
      <c r="I45" s="86"/>
      <c r="J45" s="86"/>
      <c r="K45" s="86"/>
      <c r="L45" s="86"/>
    </row>
    <row r="54" spans="1:7" ht="15" customHeight="1" x14ac:dyDescent="0.3">
      <c r="A54" s="248" t="s">
        <v>302</v>
      </c>
      <c r="B54" s="248"/>
      <c r="C54" s="248"/>
      <c r="D54" s="248"/>
    </row>
    <row r="55" spans="1:7" ht="52.8" x14ac:dyDescent="0.3">
      <c r="A55" s="92" t="s">
        <v>232</v>
      </c>
      <c r="B55" s="93" t="s">
        <v>190</v>
      </c>
      <c r="C55" s="95" t="s">
        <v>189</v>
      </c>
      <c r="D55" s="90" t="s">
        <v>224</v>
      </c>
      <c r="E55" s="149" t="s">
        <v>229</v>
      </c>
      <c r="F55" s="149" t="s">
        <v>230</v>
      </c>
      <c r="G55" s="90" t="s">
        <v>231</v>
      </c>
    </row>
    <row r="56" spans="1:7" x14ac:dyDescent="0.3">
      <c r="A56" s="36">
        <v>1</v>
      </c>
      <c r="B56" s="94">
        <v>0.14350000000000004</v>
      </c>
      <c r="C56" s="96">
        <v>0.13600000000000001</v>
      </c>
      <c r="D56" s="247" t="s">
        <v>225</v>
      </c>
      <c r="E56" s="247">
        <f>B56+B57+B58</f>
        <v>0.31525000000000009</v>
      </c>
      <c r="F56" s="247">
        <f>C56+C57+C58</f>
        <v>0.29790000000000005</v>
      </c>
      <c r="G56" s="247">
        <f>F56/E56</f>
        <v>0.94496431403647885</v>
      </c>
    </row>
    <row r="57" spans="1:7" x14ac:dyDescent="0.3">
      <c r="A57" s="36">
        <v>2</v>
      </c>
      <c r="B57" s="94">
        <v>7.2000000000000022E-2</v>
      </c>
      <c r="C57" s="96">
        <v>7.2000000000000022E-2</v>
      </c>
      <c r="D57" s="247"/>
      <c r="E57" s="247"/>
      <c r="F57" s="247"/>
      <c r="G57" s="247"/>
    </row>
    <row r="58" spans="1:7" x14ac:dyDescent="0.3">
      <c r="A58" s="36">
        <v>3</v>
      </c>
      <c r="B58" s="94">
        <v>9.9750000000000019E-2</v>
      </c>
      <c r="C58" s="96">
        <v>8.9900000000000008E-2</v>
      </c>
      <c r="D58" s="247"/>
      <c r="E58" s="247"/>
      <c r="F58" s="247"/>
      <c r="G58" s="247"/>
    </row>
    <row r="59" spans="1:7" x14ac:dyDescent="0.3">
      <c r="A59" s="36">
        <v>4</v>
      </c>
      <c r="B59" s="94">
        <v>8.6250000000000007E-2</v>
      </c>
      <c r="C59" s="96">
        <v>2.0225000000000003E-2</v>
      </c>
      <c r="D59" s="247" t="s">
        <v>226</v>
      </c>
      <c r="E59" s="247">
        <f>E56+B59+B60+B61</f>
        <v>0.5192500000000001</v>
      </c>
      <c r="F59" s="247">
        <f>F56+C59+C60+C61</f>
        <v>0.31862500000000005</v>
      </c>
      <c r="G59" s="247">
        <f t="shared" ref="G59" si="5">F59/E59</f>
        <v>0.61362542128069331</v>
      </c>
    </row>
    <row r="60" spans="1:7" x14ac:dyDescent="0.3">
      <c r="A60" s="36">
        <v>5</v>
      </c>
      <c r="B60" s="94">
        <v>6.1000000000000006E-2</v>
      </c>
      <c r="C60" s="96">
        <v>5.0000000000000001E-4</v>
      </c>
      <c r="D60" s="247"/>
      <c r="E60" s="247"/>
      <c r="F60" s="247"/>
      <c r="G60" s="247"/>
    </row>
    <row r="61" spans="1:7" x14ac:dyDescent="0.3">
      <c r="A61" s="36">
        <v>6</v>
      </c>
      <c r="B61" s="94">
        <v>5.6750000000000009E-2</v>
      </c>
      <c r="C61" s="96">
        <v>0</v>
      </c>
      <c r="D61" s="247"/>
      <c r="E61" s="247"/>
      <c r="F61" s="247"/>
      <c r="G61" s="247"/>
    </row>
    <row r="62" spans="1:7" x14ac:dyDescent="0.3">
      <c r="A62" s="36">
        <v>7</v>
      </c>
      <c r="B62" s="94">
        <v>0.12400000000000001</v>
      </c>
      <c r="C62" s="96">
        <v>2E-3</v>
      </c>
      <c r="D62" s="247" t="s">
        <v>227</v>
      </c>
      <c r="E62" s="247">
        <f>E59+B62+B63+B64</f>
        <v>0.78325000000000011</v>
      </c>
      <c r="F62" s="247">
        <f>F59+C62+C63+C64</f>
        <v>0.32062500000000005</v>
      </c>
      <c r="G62" s="247">
        <f t="shared" ref="G62" si="6">F62/E62</f>
        <v>0.40935205872965208</v>
      </c>
    </row>
    <row r="63" spans="1:7" x14ac:dyDescent="0.3">
      <c r="A63" s="36">
        <v>8</v>
      </c>
      <c r="B63" s="94">
        <v>5.2500000000000005E-2</v>
      </c>
      <c r="C63" s="96">
        <v>0</v>
      </c>
      <c r="D63" s="247"/>
      <c r="E63" s="247"/>
      <c r="F63" s="247"/>
      <c r="G63" s="247"/>
    </row>
    <row r="64" spans="1:7" x14ac:dyDescent="0.3">
      <c r="A64" s="36">
        <v>9</v>
      </c>
      <c r="B64" s="94">
        <v>8.7500000000000022E-2</v>
      </c>
      <c r="C64" s="96">
        <v>0</v>
      </c>
      <c r="D64" s="247"/>
      <c r="E64" s="247"/>
      <c r="F64" s="247"/>
      <c r="G64" s="247"/>
    </row>
    <row r="65" spans="1:7" x14ac:dyDescent="0.3">
      <c r="A65" s="36">
        <v>10</v>
      </c>
      <c r="B65" s="94">
        <v>5.5500000000000008E-2</v>
      </c>
      <c r="C65" s="96">
        <v>0</v>
      </c>
      <c r="D65" s="247" t="s">
        <v>228</v>
      </c>
      <c r="E65" s="247">
        <f>E62+B65+B66+B67</f>
        <v>1.0000000000000002</v>
      </c>
      <c r="F65" s="247"/>
      <c r="G65" s="247"/>
    </row>
    <row r="66" spans="1:7" x14ac:dyDescent="0.3">
      <c r="A66" s="36">
        <v>11</v>
      </c>
      <c r="B66" s="94">
        <v>4.5250000000000012E-2</v>
      </c>
      <c r="C66" s="96">
        <v>0</v>
      </c>
      <c r="D66" s="247"/>
      <c r="E66" s="247"/>
      <c r="F66" s="247"/>
      <c r="G66" s="247"/>
    </row>
    <row r="67" spans="1:7" x14ac:dyDescent="0.3">
      <c r="A67" s="36">
        <v>12</v>
      </c>
      <c r="B67" s="94">
        <v>0.11600000000000002</v>
      </c>
      <c r="C67" s="96">
        <v>3.6235294117647051E-3</v>
      </c>
      <c r="D67" s="247"/>
      <c r="E67" s="247"/>
      <c r="F67" s="247"/>
      <c r="G67" s="247"/>
    </row>
    <row r="68" spans="1:7" x14ac:dyDescent="0.3">
      <c r="A68" s="36" t="s">
        <v>536</v>
      </c>
      <c r="B68" s="94"/>
      <c r="C68" s="96">
        <v>0</v>
      </c>
    </row>
    <row r="69" spans="1:7" x14ac:dyDescent="0.3">
      <c r="A69" s="36" t="s">
        <v>188</v>
      </c>
      <c r="B69" s="94">
        <v>1.0000000000000002</v>
      </c>
      <c r="C69" s="96">
        <v>0.32424852941176474</v>
      </c>
    </row>
    <row r="75" spans="1:7" x14ac:dyDescent="0.3">
      <c r="A75" s="35" t="s">
        <v>394</v>
      </c>
      <c r="B75" t="s">
        <v>472</v>
      </c>
    </row>
    <row r="77" spans="1:7" x14ac:dyDescent="0.3">
      <c r="A77" s="91" t="s">
        <v>221</v>
      </c>
      <c r="B77" t="s">
        <v>303</v>
      </c>
    </row>
    <row r="78" spans="1:7" x14ac:dyDescent="0.3">
      <c r="A78" s="36" t="s">
        <v>52</v>
      </c>
      <c r="B78" s="38">
        <v>9</v>
      </c>
    </row>
    <row r="79" spans="1:7" x14ac:dyDescent="0.3">
      <c r="A79" s="36" t="s">
        <v>50</v>
      </c>
      <c r="B79" s="38">
        <v>39</v>
      </c>
    </row>
    <row r="80" spans="1:7" x14ac:dyDescent="0.3">
      <c r="A80" s="36" t="s">
        <v>45</v>
      </c>
      <c r="B80" s="38">
        <v>46</v>
      </c>
    </row>
    <row r="81" spans="1:2" x14ac:dyDescent="0.3">
      <c r="A81" s="36" t="s">
        <v>51</v>
      </c>
      <c r="B81" s="38">
        <v>12</v>
      </c>
    </row>
    <row r="82" spans="1:2" x14ac:dyDescent="0.3">
      <c r="A82" s="36" t="s">
        <v>44</v>
      </c>
      <c r="B82" s="38">
        <v>33</v>
      </c>
    </row>
    <row r="83" spans="1:2" x14ac:dyDescent="0.3">
      <c r="A83" s="36" t="s">
        <v>43</v>
      </c>
      <c r="B83" s="38">
        <v>16</v>
      </c>
    </row>
    <row r="84" spans="1:2" x14ac:dyDescent="0.3">
      <c r="A84" s="36" t="s">
        <v>46</v>
      </c>
      <c r="B84" s="38">
        <v>36</v>
      </c>
    </row>
    <row r="85" spans="1:2" x14ac:dyDescent="0.3">
      <c r="A85" s="36" t="s">
        <v>47</v>
      </c>
      <c r="B85" s="38">
        <v>10</v>
      </c>
    </row>
    <row r="86" spans="1:2" x14ac:dyDescent="0.3">
      <c r="A86" s="36" t="s">
        <v>188</v>
      </c>
      <c r="B86" s="38">
        <v>201</v>
      </c>
    </row>
  </sheetData>
  <mergeCells count="20">
    <mergeCell ref="E62:E64"/>
    <mergeCell ref="E65:E67"/>
    <mergeCell ref="G59:G61"/>
    <mergeCell ref="G56:G58"/>
    <mergeCell ref="A31:A32"/>
    <mergeCell ref="B31:B32"/>
    <mergeCell ref="A43:H43"/>
    <mergeCell ref="D62:D64"/>
    <mergeCell ref="D65:D67"/>
    <mergeCell ref="A54:D54"/>
    <mergeCell ref="F56:F58"/>
    <mergeCell ref="F59:F61"/>
    <mergeCell ref="F62:F64"/>
    <mergeCell ref="F65:F67"/>
    <mergeCell ref="D59:D61"/>
    <mergeCell ref="D56:D58"/>
    <mergeCell ref="G62:G64"/>
    <mergeCell ref="G65:G67"/>
    <mergeCell ref="E56:E58"/>
    <mergeCell ref="E59:E61"/>
  </mergeCells>
  <phoneticPr fontId="37" type="noConversion"/>
  <pageMargins left="0.7" right="0.7" top="0.75" bottom="0.75" header="0.3" footer="0.3"/>
  <pageSetup paperSize="9" orientation="portrait" r:id="rId4"/>
  <ignoredErrors>
    <ignoredError sqref="C40:C41 D40:H41" formulaRange="1"/>
  </ignoredError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FQ1047359"/>
  <sheetViews>
    <sheetView showGridLines="0" tabSelected="1" topLeftCell="A18" zoomScaleNormal="100" zoomScaleSheetLayoutView="55" workbookViewId="0">
      <pane xSplit="1" ySplit="1" topLeftCell="W230" activePane="bottomRight" state="frozen"/>
      <selection activeCell="A18" sqref="A18"/>
      <selection pane="topRight" activeCell="B18" sqref="B18"/>
      <selection pane="bottomLeft" activeCell="A19" sqref="A19"/>
      <selection pane="bottomRight" activeCell="Y251" sqref="Y251"/>
    </sheetView>
  </sheetViews>
  <sheetFormatPr baseColWidth="10" defaultColWidth="11.44140625" defaultRowHeight="13.8" x14ac:dyDescent="0.25"/>
  <cols>
    <col min="1" max="1" width="14.6640625" style="1" customWidth="1"/>
    <col min="2" max="2" width="47.44140625" style="1" customWidth="1"/>
    <col min="3" max="3" width="19.44140625" style="1" hidden="1" customWidth="1"/>
    <col min="4" max="5" width="13.33203125" style="1" hidden="1" customWidth="1"/>
    <col min="6" max="6" width="16.44140625" style="1" customWidth="1"/>
    <col min="7" max="7" width="12.77734375" style="1" hidden="1" customWidth="1"/>
    <col min="8" max="9" width="12.77734375" style="1" customWidth="1"/>
    <col min="10" max="21" width="4.77734375" style="1" hidden="1" customWidth="1"/>
    <col min="22" max="22" width="12.109375" style="1" hidden="1" customWidth="1"/>
    <col min="23" max="23" width="11.44140625" style="1" customWidth="1"/>
    <col min="24" max="24" width="11.88671875" style="1" customWidth="1"/>
    <col min="25" max="27" width="25.5546875" style="1" customWidth="1"/>
    <col min="28" max="28" width="11.109375" style="1" customWidth="1"/>
    <col min="29" max="29" width="9.6640625" style="1" customWidth="1"/>
    <col min="30" max="30" width="11" style="22" customWidth="1"/>
    <col min="31" max="31" width="12.109375" style="1" customWidth="1"/>
    <col min="32" max="32" width="14.44140625" style="1" customWidth="1"/>
    <col min="33" max="33" width="10.44140625" style="1" hidden="1" customWidth="1"/>
    <col min="34" max="34" width="12.33203125" style="1" hidden="1" customWidth="1"/>
    <col min="35" max="35" width="11.44140625" style="1" hidden="1" customWidth="1"/>
    <col min="36" max="36" width="11.33203125" style="3" hidden="1" customWidth="1"/>
    <col min="37" max="37" width="11.33203125" style="1" customWidth="1"/>
    <col min="38" max="39" width="11.44140625" style="1" customWidth="1"/>
    <col min="40" max="16384" width="11.44140625" style="1"/>
  </cols>
  <sheetData>
    <row r="1" spans="1:36" ht="22.5" customHeight="1" x14ac:dyDescent="0.25">
      <c r="A1" s="286"/>
      <c r="B1" s="286"/>
      <c r="C1" s="286"/>
      <c r="D1" s="286"/>
      <c r="E1" s="287" t="s">
        <v>39</v>
      </c>
      <c r="F1" s="287"/>
      <c r="G1" s="287"/>
      <c r="H1" s="287"/>
      <c r="I1" s="287"/>
      <c r="J1" s="287"/>
      <c r="K1" s="287"/>
      <c r="L1" s="287"/>
      <c r="M1" s="287"/>
      <c r="N1" s="287"/>
      <c r="O1" s="287"/>
      <c r="P1" s="287"/>
      <c r="Q1" s="287"/>
      <c r="R1" s="287"/>
      <c r="S1" s="287"/>
      <c r="T1" s="287"/>
      <c r="U1" s="287"/>
      <c r="V1" s="287"/>
      <c r="W1" s="287"/>
      <c r="X1" s="287"/>
      <c r="Y1" s="287"/>
      <c r="Z1" s="4" t="s">
        <v>6</v>
      </c>
      <c r="AA1" s="285" t="s">
        <v>7</v>
      </c>
      <c r="AB1" s="285"/>
    </row>
    <row r="2" spans="1:36" ht="22.5" customHeight="1" x14ac:dyDescent="0.25">
      <c r="A2" s="286"/>
      <c r="B2" s="286"/>
      <c r="C2" s="286"/>
      <c r="D2" s="286"/>
      <c r="E2" s="287"/>
      <c r="F2" s="287"/>
      <c r="G2" s="287"/>
      <c r="H2" s="287"/>
      <c r="I2" s="287"/>
      <c r="J2" s="287"/>
      <c r="K2" s="287"/>
      <c r="L2" s="287"/>
      <c r="M2" s="287"/>
      <c r="N2" s="287"/>
      <c r="O2" s="287"/>
      <c r="P2" s="287"/>
      <c r="Q2" s="287"/>
      <c r="R2" s="287"/>
      <c r="S2" s="287"/>
      <c r="T2" s="287"/>
      <c r="U2" s="287"/>
      <c r="V2" s="287"/>
      <c r="W2" s="287"/>
      <c r="X2" s="287"/>
      <c r="Y2" s="287"/>
      <c r="Z2" s="4" t="s">
        <v>8</v>
      </c>
      <c r="AA2" s="285">
        <v>6</v>
      </c>
      <c r="AB2" s="285"/>
    </row>
    <row r="3" spans="1:36" ht="22.5" customHeight="1" x14ac:dyDescent="0.25">
      <c r="A3" s="286"/>
      <c r="B3" s="286"/>
      <c r="C3" s="286"/>
      <c r="D3" s="286"/>
      <c r="E3" s="287"/>
      <c r="F3" s="287"/>
      <c r="G3" s="287"/>
      <c r="H3" s="287"/>
      <c r="I3" s="287"/>
      <c r="J3" s="287"/>
      <c r="K3" s="287"/>
      <c r="L3" s="287"/>
      <c r="M3" s="287"/>
      <c r="N3" s="287"/>
      <c r="O3" s="287"/>
      <c r="P3" s="287"/>
      <c r="Q3" s="287"/>
      <c r="R3" s="287"/>
      <c r="S3" s="287"/>
      <c r="T3" s="287"/>
      <c r="U3" s="287"/>
      <c r="V3" s="287"/>
      <c r="W3" s="287"/>
      <c r="X3" s="287"/>
      <c r="Y3" s="287"/>
      <c r="Z3" s="4" t="s">
        <v>9</v>
      </c>
      <c r="AA3" s="296">
        <v>43839</v>
      </c>
      <c r="AB3" s="296"/>
    </row>
    <row r="4" spans="1:36" ht="6" customHeight="1" x14ac:dyDescent="0.25">
      <c r="A4" s="2"/>
      <c r="B4" s="2"/>
      <c r="C4" s="2"/>
      <c r="D4" s="2"/>
      <c r="E4" s="2"/>
      <c r="F4" s="2"/>
      <c r="G4" s="2"/>
      <c r="H4" s="2"/>
      <c r="I4" s="2"/>
      <c r="J4" s="2"/>
      <c r="K4" s="2"/>
      <c r="L4" s="2"/>
    </row>
    <row r="5" spans="1:36" s="114" customFormat="1" ht="17.25" customHeight="1" x14ac:dyDescent="0.3">
      <c r="A5" s="290" t="s">
        <v>0</v>
      </c>
      <c r="B5" s="291"/>
      <c r="C5" s="291"/>
      <c r="D5" s="291"/>
      <c r="E5" s="291"/>
      <c r="F5" s="290" t="s">
        <v>2</v>
      </c>
      <c r="G5" s="291"/>
      <c r="H5" s="291"/>
      <c r="I5" s="291"/>
      <c r="J5" s="291"/>
      <c r="K5" s="291"/>
      <c r="L5" s="291"/>
      <c r="M5" s="291"/>
      <c r="N5" s="291"/>
      <c r="O5" s="291"/>
      <c r="P5" s="291"/>
      <c r="Q5" s="291"/>
      <c r="R5" s="291"/>
      <c r="S5" s="291"/>
      <c r="T5" s="291"/>
      <c r="U5" s="291"/>
      <c r="V5" s="291"/>
      <c r="W5" s="297"/>
      <c r="X5" s="290" t="s">
        <v>3</v>
      </c>
      <c r="Y5" s="291"/>
      <c r="Z5" s="291"/>
      <c r="AA5" s="291"/>
      <c r="AB5" s="297"/>
      <c r="AD5" s="128"/>
      <c r="AJ5" s="129"/>
    </row>
    <row r="6" spans="1:36" s="114" customFormat="1" ht="17.25" customHeight="1" x14ac:dyDescent="0.3">
      <c r="A6" s="294" t="s">
        <v>41</v>
      </c>
      <c r="B6" s="295"/>
      <c r="C6" s="295"/>
      <c r="D6" s="295"/>
      <c r="E6" s="295"/>
      <c r="F6" s="292" t="s">
        <v>237</v>
      </c>
      <c r="G6" s="293"/>
      <c r="H6" s="293"/>
      <c r="I6" s="293"/>
      <c r="J6" s="293"/>
      <c r="K6" s="293"/>
      <c r="L6" s="293"/>
      <c r="M6" s="293"/>
      <c r="N6" s="293"/>
      <c r="O6" s="293"/>
      <c r="P6" s="293"/>
      <c r="Q6" s="293"/>
      <c r="R6" s="293"/>
      <c r="S6" s="293"/>
      <c r="T6" s="293"/>
      <c r="U6" s="293"/>
      <c r="V6" s="293"/>
      <c r="W6" s="298"/>
      <c r="X6" s="292" t="s">
        <v>238</v>
      </c>
      <c r="Y6" s="293"/>
      <c r="Z6" s="293"/>
      <c r="AA6" s="293"/>
      <c r="AB6" s="298"/>
      <c r="AD6" s="128"/>
      <c r="AJ6" s="129"/>
    </row>
    <row r="7" spans="1:36" s="114" customFormat="1" ht="17.25" customHeight="1" x14ac:dyDescent="0.3">
      <c r="A7" s="290" t="s">
        <v>1</v>
      </c>
      <c r="B7" s="291"/>
      <c r="C7" s="291"/>
      <c r="D7" s="291"/>
      <c r="E7" s="291"/>
      <c r="F7" s="292"/>
      <c r="G7" s="293"/>
      <c r="H7" s="293"/>
      <c r="I7" s="293"/>
      <c r="J7" s="293"/>
      <c r="K7" s="293"/>
      <c r="L7" s="293"/>
      <c r="M7" s="293"/>
      <c r="N7" s="293"/>
      <c r="O7" s="293"/>
      <c r="P7" s="293"/>
      <c r="Q7" s="293"/>
      <c r="R7" s="293"/>
      <c r="S7" s="293"/>
      <c r="T7" s="293"/>
      <c r="U7" s="293"/>
      <c r="V7" s="293"/>
      <c r="W7" s="298"/>
      <c r="X7" s="292"/>
      <c r="Y7" s="293"/>
      <c r="Z7" s="293"/>
      <c r="AA7" s="293"/>
      <c r="AB7" s="298"/>
      <c r="AD7" s="128"/>
      <c r="AJ7" s="129"/>
    </row>
    <row r="8" spans="1:36" s="114" customFormat="1" ht="17.25" customHeight="1" x14ac:dyDescent="0.3">
      <c r="A8" s="292" t="s">
        <v>42</v>
      </c>
      <c r="B8" s="293"/>
      <c r="C8" s="293"/>
      <c r="D8" s="293"/>
      <c r="E8" s="293"/>
      <c r="F8" s="294"/>
      <c r="G8" s="295"/>
      <c r="H8" s="295"/>
      <c r="I8" s="295"/>
      <c r="J8" s="295"/>
      <c r="K8" s="295"/>
      <c r="L8" s="295"/>
      <c r="M8" s="295"/>
      <c r="N8" s="295"/>
      <c r="O8" s="295"/>
      <c r="P8" s="295"/>
      <c r="Q8" s="295"/>
      <c r="R8" s="295"/>
      <c r="S8" s="295"/>
      <c r="T8" s="295"/>
      <c r="U8" s="295"/>
      <c r="V8" s="295"/>
      <c r="W8" s="299"/>
      <c r="X8" s="294"/>
      <c r="Y8" s="295"/>
      <c r="Z8" s="295"/>
      <c r="AA8" s="295"/>
      <c r="AB8" s="299"/>
      <c r="AD8" s="128"/>
      <c r="AJ8" s="129"/>
    </row>
    <row r="9" spans="1:36" ht="15" customHeight="1" x14ac:dyDescent="0.25">
      <c r="A9" s="288" t="s">
        <v>40</v>
      </c>
      <c r="B9" s="289"/>
      <c r="C9" s="289"/>
      <c r="D9" s="289"/>
      <c r="E9" s="289"/>
      <c r="F9" s="130"/>
      <c r="G9" s="127"/>
      <c r="H9" s="288" t="s">
        <v>5</v>
      </c>
      <c r="I9" s="289"/>
      <c r="J9" s="289"/>
      <c r="K9" s="289"/>
      <c r="L9" s="289"/>
      <c r="M9" s="289"/>
      <c r="N9" s="289"/>
      <c r="O9" s="289"/>
      <c r="P9" s="289"/>
      <c r="Q9" s="289"/>
      <c r="R9" s="289"/>
      <c r="S9" s="289"/>
      <c r="T9" s="289"/>
      <c r="U9" s="289"/>
      <c r="V9" s="289"/>
      <c r="W9" s="289"/>
      <c r="X9" s="288" t="s">
        <v>4</v>
      </c>
      <c r="Y9" s="289"/>
      <c r="Z9" s="289"/>
      <c r="AA9" s="289"/>
      <c r="AB9" s="300"/>
    </row>
    <row r="10" spans="1:36" ht="15" customHeight="1" x14ac:dyDescent="0.25">
      <c r="A10" s="277" t="s">
        <v>147</v>
      </c>
      <c r="B10" s="278"/>
      <c r="C10" s="278"/>
      <c r="D10" s="278"/>
      <c r="E10" s="278"/>
      <c r="F10" s="121"/>
      <c r="G10" s="126"/>
      <c r="H10" s="279" t="s">
        <v>153</v>
      </c>
      <c r="I10" s="280"/>
      <c r="J10" s="280"/>
      <c r="K10" s="280"/>
      <c r="L10" s="280"/>
      <c r="M10" s="280"/>
      <c r="N10" s="280"/>
      <c r="O10" s="280"/>
      <c r="P10" s="280"/>
      <c r="Q10" s="280"/>
      <c r="R10" s="280"/>
      <c r="S10" s="280"/>
      <c r="T10" s="280"/>
      <c r="U10" s="280"/>
      <c r="V10" s="280"/>
      <c r="W10" s="280"/>
      <c r="X10" s="279" t="s">
        <v>259</v>
      </c>
      <c r="Y10" s="280"/>
      <c r="Z10" s="280"/>
      <c r="AA10" s="280"/>
      <c r="AB10" s="304"/>
    </row>
    <row r="11" spans="1:36" ht="15" customHeight="1" x14ac:dyDescent="0.25">
      <c r="A11" s="256" t="s">
        <v>393</v>
      </c>
      <c r="B11" s="257"/>
      <c r="C11" s="258"/>
      <c r="D11" s="264" t="s">
        <v>11</v>
      </c>
      <c r="E11" s="265"/>
      <c r="F11" s="264" t="s">
        <v>10</v>
      </c>
      <c r="G11" s="265"/>
      <c r="H11" s="279"/>
      <c r="I11" s="280"/>
      <c r="J11" s="280"/>
      <c r="K11" s="280"/>
      <c r="L11" s="280"/>
      <c r="M11" s="280"/>
      <c r="N11" s="280"/>
      <c r="O11" s="280"/>
      <c r="P11" s="280"/>
      <c r="Q11" s="280"/>
      <c r="R11" s="280"/>
      <c r="S11" s="280"/>
      <c r="T11" s="280"/>
      <c r="U11" s="280"/>
      <c r="V11" s="280"/>
      <c r="W11" s="280"/>
      <c r="X11" s="279"/>
      <c r="Y11" s="280"/>
      <c r="Z11" s="280"/>
      <c r="AA11" s="280"/>
      <c r="AB11" s="304"/>
    </row>
    <row r="12" spans="1:36" ht="15" customHeight="1" x14ac:dyDescent="0.25">
      <c r="A12" s="253" t="s">
        <v>205</v>
      </c>
      <c r="B12" s="254"/>
      <c r="C12" s="255"/>
      <c r="D12" s="262">
        <v>44251</v>
      </c>
      <c r="E12" s="263"/>
      <c r="F12" s="283">
        <v>2021</v>
      </c>
      <c r="G12" s="284"/>
      <c r="H12" s="281"/>
      <c r="I12" s="282"/>
      <c r="J12" s="282"/>
      <c r="K12" s="282"/>
      <c r="L12" s="282"/>
      <c r="M12" s="282"/>
      <c r="N12" s="282"/>
      <c r="O12" s="282"/>
      <c r="P12" s="282"/>
      <c r="Q12" s="282"/>
      <c r="R12" s="282"/>
      <c r="S12" s="282"/>
      <c r="T12" s="282"/>
      <c r="U12" s="282"/>
      <c r="V12" s="282"/>
      <c r="W12" s="282"/>
      <c r="X12" s="279"/>
      <c r="Y12" s="280"/>
      <c r="Z12" s="280"/>
      <c r="AA12" s="280"/>
      <c r="AB12" s="304"/>
    </row>
    <row r="13" spans="1:36" ht="23.25" customHeight="1" x14ac:dyDescent="0.25">
      <c r="A13" s="266" t="s">
        <v>122</v>
      </c>
      <c r="B13" s="266" t="s">
        <v>118</v>
      </c>
      <c r="C13" s="270"/>
      <c r="D13" s="270"/>
      <c r="E13" s="271"/>
      <c r="F13" s="268" t="s">
        <v>256</v>
      </c>
      <c r="G13" s="269"/>
      <c r="H13" s="268" t="s">
        <v>119</v>
      </c>
      <c r="I13" s="269"/>
      <c r="J13" s="266" t="s">
        <v>120</v>
      </c>
      <c r="K13" s="270"/>
      <c r="L13" s="271"/>
      <c r="M13" s="266" t="s">
        <v>257</v>
      </c>
      <c r="N13" s="270"/>
      <c r="O13" s="270"/>
      <c r="P13" s="270"/>
      <c r="Q13" s="271"/>
      <c r="R13" s="266" t="s">
        <v>258</v>
      </c>
      <c r="S13" s="270"/>
      <c r="T13" s="270"/>
      <c r="U13" s="271"/>
      <c r="V13" s="266" t="s">
        <v>121</v>
      </c>
      <c r="W13" s="271"/>
      <c r="X13" s="279"/>
      <c r="Y13" s="280"/>
      <c r="Z13" s="280"/>
      <c r="AA13" s="280"/>
      <c r="AB13" s="304"/>
    </row>
    <row r="14" spans="1:36" ht="23.25" customHeight="1" x14ac:dyDescent="0.25">
      <c r="A14" s="267"/>
      <c r="B14" s="253" t="s">
        <v>255</v>
      </c>
      <c r="C14" s="275"/>
      <c r="D14" s="275"/>
      <c r="E14" s="276"/>
      <c r="F14" s="259">
        <v>7</v>
      </c>
      <c r="G14" s="261"/>
      <c r="H14" s="259">
        <v>1</v>
      </c>
      <c r="I14" s="261"/>
      <c r="J14" s="272">
        <v>0</v>
      </c>
      <c r="K14" s="273"/>
      <c r="L14" s="274"/>
      <c r="M14" s="259">
        <v>1</v>
      </c>
      <c r="N14" s="260"/>
      <c r="O14" s="260"/>
      <c r="P14" s="260"/>
      <c r="Q14" s="261"/>
      <c r="R14" s="259">
        <v>4</v>
      </c>
      <c r="S14" s="260"/>
      <c r="T14" s="260"/>
      <c r="U14" s="261"/>
      <c r="V14" s="259">
        <v>1</v>
      </c>
      <c r="W14" s="261"/>
      <c r="X14" s="281"/>
      <c r="Y14" s="282"/>
      <c r="Z14" s="282"/>
      <c r="AA14" s="282"/>
      <c r="AB14" s="305"/>
    </row>
    <row r="15" spans="1:36" ht="7.5" customHeight="1" x14ac:dyDescent="0.25">
      <c r="B15" s="2"/>
      <c r="C15" s="54"/>
      <c r="D15" s="54"/>
      <c r="E15" s="54"/>
      <c r="F15" s="54"/>
      <c r="G15" s="54"/>
      <c r="H15" s="54"/>
      <c r="I15" s="54"/>
      <c r="J15" s="68"/>
      <c r="K15" s="68">
        <f>DATE($F$12,2,1)</f>
        <v>44228</v>
      </c>
      <c r="L15" s="68">
        <f>DATE($F$12,3,1)</f>
        <v>44256</v>
      </c>
      <c r="M15" s="68">
        <f>DATE($F$12,4,1)</f>
        <v>44287</v>
      </c>
      <c r="N15" s="68">
        <f>DATE($F$12,5,1)</f>
        <v>44317</v>
      </c>
      <c r="O15" s="68">
        <f>DATE($F$12,6,1)</f>
        <v>44348</v>
      </c>
      <c r="P15" s="68">
        <f>DATE($F$12,7,1)</f>
        <v>44378</v>
      </c>
      <c r="Q15" s="68">
        <f>DATE($F$12,8,1)</f>
        <v>44409</v>
      </c>
      <c r="R15" s="68">
        <f>DATE($F$12,9,1)</f>
        <v>44440</v>
      </c>
      <c r="S15" s="68">
        <f>DATE($F$12,10,1)</f>
        <v>44470</v>
      </c>
      <c r="T15" s="68">
        <f>DATE($F$12,11,1)</f>
        <v>44501</v>
      </c>
      <c r="U15" s="68">
        <f>DATE($F$12,12,1)</f>
        <v>44531</v>
      </c>
      <c r="V15" s="55"/>
      <c r="W15" s="55"/>
      <c r="X15" s="55"/>
      <c r="Y15" s="55"/>
      <c r="Z15" s="55"/>
      <c r="AA15" s="55"/>
    </row>
    <row r="16" spans="1:36" ht="7.5" customHeight="1" x14ac:dyDescent="0.25">
      <c r="B16" s="2"/>
      <c r="C16" s="54"/>
      <c r="D16" s="54"/>
      <c r="E16" s="54"/>
      <c r="F16" s="54"/>
      <c r="G16" s="54"/>
      <c r="H16" s="54"/>
      <c r="I16" s="54"/>
      <c r="J16" s="68">
        <f>DATE($F$12,1,31)</f>
        <v>44227</v>
      </c>
      <c r="K16" s="68">
        <f>DATE($F$12,2,29)</f>
        <v>44256</v>
      </c>
      <c r="L16" s="68">
        <f>DATE($F$12,3,31)</f>
        <v>44286</v>
      </c>
      <c r="M16" s="68">
        <f>DATE($F$12,4,30)</f>
        <v>44316</v>
      </c>
      <c r="N16" s="68">
        <f>DATE($F$12,5,31)</f>
        <v>44347</v>
      </c>
      <c r="O16" s="68">
        <f>DATE($F$12,6,30)</f>
        <v>44377</v>
      </c>
      <c r="P16" s="68">
        <f>DATE($F$12,7,31)</f>
        <v>44408</v>
      </c>
      <c r="Q16" s="68">
        <f>DATE($F$12,8,31)</f>
        <v>44439</v>
      </c>
      <c r="R16" s="68">
        <f>DATE($F$12,9,30)</f>
        <v>44469</v>
      </c>
      <c r="S16" s="68">
        <f>DATE($F$12,10,31)</f>
        <v>44500</v>
      </c>
      <c r="T16" s="68">
        <f>DATE($F$12,11,30)</f>
        <v>44530</v>
      </c>
      <c r="U16" s="68">
        <f>DATE($F$12,12,31)</f>
        <v>44561</v>
      </c>
      <c r="V16" s="55"/>
      <c r="W16" s="55"/>
      <c r="X16" s="55"/>
      <c r="Y16" s="55"/>
      <c r="Z16" s="55"/>
      <c r="AA16" s="55"/>
    </row>
    <row r="17" spans="1:60" s="100" customFormat="1" ht="12" customHeight="1" x14ac:dyDescent="0.3">
      <c r="A17" s="122" t="s">
        <v>125</v>
      </c>
      <c r="B17" s="122" t="s">
        <v>18</v>
      </c>
      <c r="C17" s="122" t="s">
        <v>70</v>
      </c>
      <c r="D17" s="123" t="s">
        <v>12</v>
      </c>
      <c r="E17" s="123" t="s">
        <v>19</v>
      </c>
      <c r="F17" s="123" t="s">
        <v>20</v>
      </c>
      <c r="G17" s="123" t="s">
        <v>21</v>
      </c>
      <c r="H17" s="301" t="s">
        <v>13</v>
      </c>
      <c r="I17" s="301"/>
      <c r="J17" s="302" t="s">
        <v>14</v>
      </c>
      <c r="K17" s="302"/>
      <c r="L17" s="302"/>
      <c r="M17" s="302"/>
      <c r="N17" s="302"/>
      <c r="O17" s="302"/>
      <c r="P17" s="302"/>
      <c r="Q17" s="302"/>
      <c r="R17" s="302"/>
      <c r="S17" s="302"/>
      <c r="T17" s="302"/>
      <c r="U17" s="302"/>
      <c r="V17" s="123" t="s">
        <v>37</v>
      </c>
      <c r="W17" s="123" t="s">
        <v>56</v>
      </c>
      <c r="X17" s="303" t="s">
        <v>15</v>
      </c>
      <c r="Y17" s="303"/>
      <c r="Z17" s="303"/>
      <c r="AA17" s="125" t="s">
        <v>38</v>
      </c>
      <c r="AB17" s="125" t="s">
        <v>55</v>
      </c>
      <c r="AD17" s="124"/>
    </row>
    <row r="18" spans="1:60" s="3" customFormat="1" ht="46.5" customHeight="1" x14ac:dyDescent="0.2">
      <c r="A18" s="57" t="s">
        <v>125</v>
      </c>
      <c r="B18" s="57" t="s">
        <v>18</v>
      </c>
      <c r="C18" s="57" t="s">
        <v>70</v>
      </c>
      <c r="D18" s="57" t="s">
        <v>12</v>
      </c>
      <c r="E18" s="57" t="s">
        <v>19</v>
      </c>
      <c r="F18" s="57" t="s">
        <v>20</v>
      </c>
      <c r="G18" s="57" t="s">
        <v>21</v>
      </c>
      <c r="H18" s="57" t="s">
        <v>34</v>
      </c>
      <c r="I18" s="57" t="s">
        <v>35</v>
      </c>
      <c r="J18" s="58" t="s">
        <v>22</v>
      </c>
      <c r="K18" s="58" t="s">
        <v>23</v>
      </c>
      <c r="L18" s="58" t="s">
        <v>24</v>
      </c>
      <c r="M18" s="58" t="s">
        <v>25</v>
      </c>
      <c r="N18" s="58" t="s">
        <v>26</v>
      </c>
      <c r="O18" s="58" t="s">
        <v>27</v>
      </c>
      <c r="P18" s="58" t="s">
        <v>28</v>
      </c>
      <c r="Q18" s="58" t="s">
        <v>29</v>
      </c>
      <c r="R18" s="58" t="s">
        <v>30</v>
      </c>
      <c r="S18" s="58" t="s">
        <v>31</v>
      </c>
      <c r="T18" s="58" t="s">
        <v>32</v>
      </c>
      <c r="U18" s="58" t="s">
        <v>33</v>
      </c>
      <c r="V18" s="57" t="s">
        <v>37</v>
      </c>
      <c r="W18" s="56" t="s">
        <v>56</v>
      </c>
      <c r="X18" s="59" t="s">
        <v>36</v>
      </c>
      <c r="Y18" s="59" t="s">
        <v>16</v>
      </c>
      <c r="Z18" s="59" t="s">
        <v>17</v>
      </c>
      <c r="AA18" s="60" t="s">
        <v>38</v>
      </c>
      <c r="AB18" s="60" t="s">
        <v>55</v>
      </c>
      <c r="AC18" s="60" t="s">
        <v>187</v>
      </c>
      <c r="AD18" s="185" t="s">
        <v>243</v>
      </c>
      <c r="AE18" s="185" t="s">
        <v>271</v>
      </c>
      <c r="AF18" s="187">
        <v>44286</v>
      </c>
      <c r="AG18" s="185" t="s">
        <v>231</v>
      </c>
      <c r="AH18" s="185" t="s">
        <v>244</v>
      </c>
      <c r="AI18" s="185" t="s">
        <v>220</v>
      </c>
      <c r="AJ18" s="185" t="s">
        <v>394</v>
      </c>
    </row>
    <row r="19" spans="1:60" s="3" customFormat="1" ht="35.4" customHeight="1" x14ac:dyDescent="0.2">
      <c r="A19" s="154" t="s">
        <v>44</v>
      </c>
      <c r="B19" s="143" t="s">
        <v>272</v>
      </c>
      <c r="C19" s="142" t="s">
        <v>89</v>
      </c>
      <c r="D19" s="142" t="s">
        <v>96</v>
      </c>
      <c r="E19" s="142" t="s">
        <v>165</v>
      </c>
      <c r="F19" s="43" t="s">
        <v>159</v>
      </c>
      <c r="G19" s="44" t="str">
        <f t="shared" ref="G19:G82" si="0">IF(LEN(C19)&gt;0,VLOOKUP(C19,PROCESO2,3,0),"")</f>
        <v>Subdirector Financiero</v>
      </c>
      <c r="H19" s="137">
        <v>44174</v>
      </c>
      <c r="I19" s="137">
        <v>44204</v>
      </c>
      <c r="J19" s="61"/>
      <c r="K19" s="61"/>
      <c r="L19" s="61"/>
      <c r="M19" s="61"/>
      <c r="N19" s="61"/>
      <c r="O19" s="61"/>
      <c r="P19" s="61"/>
      <c r="Q19" s="61"/>
      <c r="R19" s="61"/>
      <c r="S19" s="61"/>
      <c r="T19" s="61"/>
      <c r="U19" s="61"/>
      <c r="V19" s="41" t="s">
        <v>123</v>
      </c>
      <c r="W19" s="206">
        <v>2E-3</v>
      </c>
      <c r="X19" s="137">
        <v>44204</v>
      </c>
      <c r="Y19" s="42" t="s">
        <v>275</v>
      </c>
      <c r="Z19" s="72" t="s">
        <v>411</v>
      </c>
      <c r="AA19" s="41" t="s">
        <v>176</v>
      </c>
      <c r="AB19" s="147">
        <f t="shared" ref="AB19:AB65" ca="1" si="1">IF(ISERROR(VLOOKUP(AA19,INDIRECT(VLOOKUP(A19,ACTA,2,0)&amp;"A"),2,0))=TRUE,0,W19*(VLOOKUP(AA19,INDIRECT(VLOOKUP(A19,ACTA,2,0)&amp;"A"),2,0)))</f>
        <v>1.9999999999999996E-3</v>
      </c>
      <c r="AC19" s="147">
        <f t="shared" ref="AC19:AC82" ca="1" si="2">+W19-AB19</f>
        <v>0</v>
      </c>
      <c r="AD19" s="233">
        <f t="shared" ref="AD19:AD70" si="3">MONTH(I19)</f>
        <v>1</v>
      </c>
      <c r="AE19" s="234">
        <f t="shared" ref="AE19:AE70" si="4">+I19-H19</f>
        <v>30</v>
      </c>
      <c r="AF19" s="234">
        <f t="shared" ref="AF19:AF70" si="5">+$AF$18-H19</f>
        <v>112</v>
      </c>
      <c r="AG19" s="235">
        <f t="shared" ref="AG19:AG70" si="6">+AF19/AE19</f>
        <v>3.7333333333333334</v>
      </c>
      <c r="AH19" s="236">
        <f t="shared" ref="AH19:AH70" si="7">+AG19*W19</f>
        <v>7.4666666666666666E-3</v>
      </c>
      <c r="AI19" s="235">
        <f t="shared" ref="AI19:AI70" ca="1" si="8">+AB19-AH19</f>
        <v>-5.4666666666666665E-3</v>
      </c>
      <c r="AJ19" s="186" t="s">
        <v>235</v>
      </c>
      <c r="BH19" s="3" t="s">
        <v>234</v>
      </c>
    </row>
    <row r="20" spans="1:60" s="3" customFormat="1" ht="35.4" customHeight="1" x14ac:dyDescent="0.2">
      <c r="A20" s="142" t="s">
        <v>51</v>
      </c>
      <c r="B20" s="136" t="s">
        <v>311</v>
      </c>
      <c r="C20" s="142" t="s">
        <v>90</v>
      </c>
      <c r="D20" s="142" t="s">
        <v>97</v>
      </c>
      <c r="E20" s="142" t="s">
        <v>165</v>
      </c>
      <c r="F20" s="144" t="s">
        <v>263</v>
      </c>
      <c r="G20" s="44" t="str">
        <f t="shared" si="0"/>
        <v>Asesor de Control Interno</v>
      </c>
      <c r="H20" s="137">
        <v>44174</v>
      </c>
      <c r="I20" s="137">
        <v>44217</v>
      </c>
      <c r="J20" s="61"/>
      <c r="K20" s="61"/>
      <c r="L20" s="61"/>
      <c r="M20" s="61"/>
      <c r="N20" s="61"/>
      <c r="O20" s="61"/>
      <c r="P20" s="61"/>
      <c r="Q20" s="61"/>
      <c r="R20" s="61"/>
      <c r="S20" s="61"/>
      <c r="T20" s="61"/>
      <c r="U20" s="61"/>
      <c r="V20" s="41" t="s">
        <v>215</v>
      </c>
      <c r="W20" s="206">
        <v>0.01</v>
      </c>
      <c r="X20" s="137">
        <v>44217</v>
      </c>
      <c r="Y20" s="42" t="s">
        <v>361</v>
      </c>
      <c r="Z20" s="72" t="s">
        <v>346</v>
      </c>
      <c r="AA20" s="41" t="s">
        <v>176</v>
      </c>
      <c r="AB20" s="147">
        <f t="shared" ca="1" si="1"/>
        <v>9.9999999999999985E-3</v>
      </c>
      <c r="AC20" s="147">
        <f ca="1">+W20-AB20</f>
        <v>0</v>
      </c>
      <c r="AD20" s="233">
        <f t="shared" si="3"/>
        <v>1</v>
      </c>
      <c r="AE20" s="234">
        <f t="shared" si="4"/>
        <v>43</v>
      </c>
      <c r="AF20" s="234">
        <f t="shared" si="5"/>
        <v>112</v>
      </c>
      <c r="AG20" s="235">
        <f t="shared" si="6"/>
        <v>2.6046511627906979</v>
      </c>
      <c r="AH20" s="236">
        <f t="shared" si="7"/>
        <v>2.6046511627906978E-2</v>
      </c>
      <c r="AI20" s="235">
        <f t="shared" ca="1" si="8"/>
        <v>-1.6046511627906979E-2</v>
      </c>
      <c r="AJ20" s="186" t="s">
        <v>235</v>
      </c>
      <c r="BH20" s="3" t="s">
        <v>233</v>
      </c>
    </row>
    <row r="21" spans="1:60" s="3" customFormat="1" ht="35.4" customHeight="1" x14ac:dyDescent="0.2">
      <c r="A21" s="142" t="s">
        <v>45</v>
      </c>
      <c r="B21" s="42" t="s">
        <v>287</v>
      </c>
      <c r="C21" s="142" t="s">
        <v>90</v>
      </c>
      <c r="D21" s="142" t="s">
        <v>97</v>
      </c>
      <c r="E21" s="142" t="s">
        <v>165</v>
      </c>
      <c r="F21" s="43" t="s">
        <v>206</v>
      </c>
      <c r="G21" s="44" t="str">
        <f t="shared" si="0"/>
        <v>Asesor de Control Interno</v>
      </c>
      <c r="H21" s="137">
        <v>44187</v>
      </c>
      <c r="I21" s="137">
        <v>44201</v>
      </c>
      <c r="J21" s="61"/>
      <c r="K21" s="61"/>
      <c r="L21" s="61"/>
      <c r="M21" s="61"/>
      <c r="N21" s="61"/>
      <c r="O21" s="61"/>
      <c r="P21" s="61"/>
      <c r="Q21" s="61"/>
      <c r="R21" s="61"/>
      <c r="S21" s="61"/>
      <c r="T21" s="61"/>
      <c r="U21" s="61"/>
      <c r="V21" s="142" t="s">
        <v>215</v>
      </c>
      <c r="W21" s="206">
        <v>3.0000000000000001E-3</v>
      </c>
      <c r="X21" s="137">
        <v>44201</v>
      </c>
      <c r="Y21" s="138" t="s">
        <v>285</v>
      </c>
      <c r="Z21" s="72" t="s">
        <v>286</v>
      </c>
      <c r="AA21" s="142" t="s">
        <v>57</v>
      </c>
      <c r="AB21" s="147">
        <f t="shared" ca="1" si="1"/>
        <v>3.0000000000000001E-3</v>
      </c>
      <c r="AC21" s="147">
        <f t="shared" ca="1" si="2"/>
        <v>0</v>
      </c>
      <c r="AD21" s="233">
        <f t="shared" si="3"/>
        <v>1</v>
      </c>
      <c r="AE21" s="234">
        <f t="shared" si="4"/>
        <v>14</v>
      </c>
      <c r="AF21" s="234">
        <f t="shared" si="5"/>
        <v>99</v>
      </c>
      <c r="AG21" s="235">
        <f t="shared" si="6"/>
        <v>7.0714285714285712</v>
      </c>
      <c r="AH21" s="236">
        <f t="shared" si="7"/>
        <v>2.1214285714285713E-2</v>
      </c>
      <c r="AI21" s="235">
        <f t="shared" ca="1" si="8"/>
        <v>-1.8214285714285714E-2</v>
      </c>
      <c r="AJ21" s="186" t="s">
        <v>235</v>
      </c>
    </row>
    <row r="22" spans="1:60" ht="35.4" customHeight="1" x14ac:dyDescent="0.25">
      <c r="A22" s="154" t="s">
        <v>51</v>
      </c>
      <c r="B22" s="143" t="s">
        <v>273</v>
      </c>
      <c r="C22" s="142" t="s">
        <v>98</v>
      </c>
      <c r="D22" s="142" t="s">
        <v>98</v>
      </c>
      <c r="E22" s="142" t="s">
        <v>165</v>
      </c>
      <c r="F22" s="144" t="s">
        <v>263</v>
      </c>
      <c r="G22" s="44" t="str">
        <f t="shared" si="0"/>
        <v>Líderes de Cada Proceso</v>
      </c>
      <c r="H22" s="137">
        <v>44193</v>
      </c>
      <c r="I22" s="137">
        <v>44210</v>
      </c>
      <c r="J22" s="61"/>
      <c r="K22" s="61"/>
      <c r="L22" s="61"/>
      <c r="M22" s="61"/>
      <c r="N22" s="61"/>
      <c r="O22" s="61"/>
      <c r="P22" s="61"/>
      <c r="Q22" s="61"/>
      <c r="R22" s="61"/>
      <c r="S22" s="61"/>
      <c r="T22" s="61"/>
      <c r="U22" s="61"/>
      <c r="V22" s="142" t="s">
        <v>123</v>
      </c>
      <c r="W22" s="206">
        <v>1.6E-2</v>
      </c>
      <c r="X22" s="137">
        <v>44210</v>
      </c>
      <c r="Y22" s="42" t="s">
        <v>412</v>
      </c>
      <c r="Z22" s="72" t="s">
        <v>413</v>
      </c>
      <c r="AA22" s="41" t="s">
        <v>176</v>
      </c>
      <c r="AB22" s="147">
        <f t="shared" ca="1" si="1"/>
        <v>1.5999999999999997E-2</v>
      </c>
      <c r="AC22" s="147">
        <f t="shared" ca="1" si="2"/>
        <v>0</v>
      </c>
      <c r="AD22" s="233">
        <f t="shared" si="3"/>
        <v>1</v>
      </c>
      <c r="AE22" s="234">
        <f t="shared" si="4"/>
        <v>17</v>
      </c>
      <c r="AF22" s="234">
        <f t="shared" si="5"/>
        <v>93</v>
      </c>
      <c r="AG22" s="235">
        <f t="shared" si="6"/>
        <v>5.4705882352941178</v>
      </c>
      <c r="AH22" s="236">
        <f t="shared" si="7"/>
        <v>8.7529411764705883E-2</v>
      </c>
      <c r="AI22" s="235">
        <f t="shared" ca="1" si="8"/>
        <v>-7.1529411764705883E-2</v>
      </c>
      <c r="AJ22" s="186" t="s">
        <v>235</v>
      </c>
    </row>
    <row r="23" spans="1:60" s="3" customFormat="1" ht="35.4" customHeight="1" x14ac:dyDescent="0.2">
      <c r="A23" s="154" t="s">
        <v>51</v>
      </c>
      <c r="B23" s="143" t="s">
        <v>274</v>
      </c>
      <c r="C23" s="142" t="s">
        <v>98</v>
      </c>
      <c r="D23" s="142" t="s">
        <v>98</v>
      </c>
      <c r="E23" s="142" t="s">
        <v>165</v>
      </c>
      <c r="F23" s="43" t="s">
        <v>206</v>
      </c>
      <c r="G23" s="44" t="str">
        <f t="shared" si="0"/>
        <v>Líderes de Cada Proceso</v>
      </c>
      <c r="H23" s="137">
        <v>44193</v>
      </c>
      <c r="I23" s="137">
        <v>44210</v>
      </c>
      <c r="J23" s="61"/>
      <c r="K23" s="61"/>
      <c r="L23" s="61"/>
      <c r="M23" s="61"/>
      <c r="N23" s="61"/>
      <c r="O23" s="61"/>
      <c r="P23" s="61"/>
      <c r="Q23" s="61"/>
      <c r="R23" s="61"/>
      <c r="S23" s="61"/>
      <c r="T23" s="61"/>
      <c r="U23" s="61"/>
      <c r="V23" s="142" t="s">
        <v>123</v>
      </c>
      <c r="W23" s="206">
        <v>1.6E-2</v>
      </c>
      <c r="X23" s="137">
        <v>44210</v>
      </c>
      <c r="Y23" s="42" t="s">
        <v>412</v>
      </c>
      <c r="Z23" s="72" t="s">
        <v>413</v>
      </c>
      <c r="AA23" s="41" t="s">
        <v>176</v>
      </c>
      <c r="AB23" s="147">
        <f t="shared" ca="1" si="1"/>
        <v>1.5999999999999997E-2</v>
      </c>
      <c r="AC23" s="147">
        <f t="shared" ca="1" si="2"/>
        <v>0</v>
      </c>
      <c r="AD23" s="233">
        <f t="shared" si="3"/>
        <v>1</v>
      </c>
      <c r="AE23" s="234">
        <f t="shared" si="4"/>
        <v>17</v>
      </c>
      <c r="AF23" s="234">
        <f t="shared" si="5"/>
        <v>93</v>
      </c>
      <c r="AG23" s="235">
        <f t="shared" si="6"/>
        <v>5.4705882352941178</v>
      </c>
      <c r="AH23" s="236">
        <f t="shared" si="7"/>
        <v>8.7529411764705883E-2</v>
      </c>
      <c r="AI23" s="235">
        <f t="shared" ca="1" si="8"/>
        <v>-7.1529411764705883E-2</v>
      </c>
      <c r="AJ23" s="186" t="s">
        <v>235</v>
      </c>
    </row>
    <row r="24" spans="1:60" s="3" customFormat="1" ht="35.4" customHeight="1" x14ac:dyDescent="0.2">
      <c r="A24" s="154" t="s">
        <v>43</v>
      </c>
      <c r="B24" s="143" t="s">
        <v>277</v>
      </c>
      <c r="C24" s="142" t="s">
        <v>98</v>
      </c>
      <c r="D24" s="142" t="s">
        <v>98</v>
      </c>
      <c r="E24" s="142" t="s">
        <v>165</v>
      </c>
      <c r="F24" s="144" t="s">
        <v>263</v>
      </c>
      <c r="G24" s="44" t="str">
        <f t="shared" si="0"/>
        <v>Líderes de Cada Proceso</v>
      </c>
      <c r="H24" s="137">
        <v>44194</v>
      </c>
      <c r="I24" s="137">
        <v>44218</v>
      </c>
      <c r="J24" s="61"/>
      <c r="K24" s="61"/>
      <c r="L24" s="61"/>
      <c r="M24" s="61"/>
      <c r="N24" s="61"/>
      <c r="O24" s="61"/>
      <c r="P24" s="61"/>
      <c r="Q24" s="61"/>
      <c r="R24" s="61"/>
      <c r="S24" s="61"/>
      <c r="T24" s="61"/>
      <c r="U24" s="61"/>
      <c r="V24" s="41" t="s">
        <v>215</v>
      </c>
      <c r="W24" s="206">
        <v>1.4999999999999999E-2</v>
      </c>
      <c r="X24" s="137">
        <v>44227</v>
      </c>
      <c r="Y24" s="143" t="s">
        <v>381</v>
      </c>
      <c r="Z24" s="143" t="s">
        <v>414</v>
      </c>
      <c r="AA24" s="41" t="s">
        <v>182</v>
      </c>
      <c r="AB24" s="147">
        <f t="shared" ca="1" si="1"/>
        <v>1.4999999999999999E-2</v>
      </c>
      <c r="AC24" s="147">
        <f t="shared" ca="1" si="2"/>
        <v>0</v>
      </c>
      <c r="AD24" s="233">
        <f t="shared" si="3"/>
        <v>1</v>
      </c>
      <c r="AE24" s="234">
        <f t="shared" si="4"/>
        <v>24</v>
      </c>
      <c r="AF24" s="234">
        <f t="shared" si="5"/>
        <v>92</v>
      </c>
      <c r="AG24" s="235">
        <f t="shared" si="6"/>
        <v>3.8333333333333335</v>
      </c>
      <c r="AH24" s="236">
        <f t="shared" si="7"/>
        <v>5.7500000000000002E-2</v>
      </c>
      <c r="AI24" s="235">
        <f t="shared" ca="1" si="8"/>
        <v>-4.2500000000000003E-2</v>
      </c>
      <c r="AJ24" s="186" t="s">
        <v>235</v>
      </c>
    </row>
    <row r="25" spans="1:60" s="3" customFormat="1" ht="35.4" customHeight="1" x14ac:dyDescent="0.2">
      <c r="A25" s="142" t="s">
        <v>43</v>
      </c>
      <c r="B25" s="42" t="s">
        <v>293</v>
      </c>
      <c r="C25" s="142" t="s">
        <v>90</v>
      </c>
      <c r="D25" s="142" t="s">
        <v>97</v>
      </c>
      <c r="E25" s="142" t="s">
        <v>165</v>
      </c>
      <c r="F25" s="43" t="s">
        <v>239</v>
      </c>
      <c r="G25" s="44" t="str">
        <f t="shared" si="0"/>
        <v>Asesor de Control Interno</v>
      </c>
      <c r="H25" s="137">
        <v>44200</v>
      </c>
      <c r="I25" s="137">
        <v>44202</v>
      </c>
      <c r="J25" s="61"/>
      <c r="K25" s="61"/>
      <c r="L25" s="61"/>
      <c r="M25" s="61"/>
      <c r="N25" s="61"/>
      <c r="O25" s="61"/>
      <c r="P25" s="61"/>
      <c r="Q25" s="61"/>
      <c r="R25" s="61"/>
      <c r="S25" s="61"/>
      <c r="T25" s="61"/>
      <c r="U25" s="61"/>
      <c r="V25" s="41" t="s">
        <v>123</v>
      </c>
      <c r="W25" s="208">
        <v>5.0000000000000001E-3</v>
      </c>
      <c r="X25" s="137">
        <v>44202</v>
      </c>
      <c r="Y25" s="72" t="s">
        <v>291</v>
      </c>
      <c r="Z25" s="72" t="s">
        <v>292</v>
      </c>
      <c r="AA25" s="142" t="s">
        <v>182</v>
      </c>
      <c r="AB25" s="147">
        <f t="shared" ca="1" si="1"/>
        <v>5.0000000000000001E-3</v>
      </c>
      <c r="AC25" s="147">
        <f t="shared" ca="1" si="2"/>
        <v>0</v>
      </c>
      <c r="AD25" s="233">
        <f t="shared" si="3"/>
        <v>1</v>
      </c>
      <c r="AE25" s="234">
        <f t="shared" si="4"/>
        <v>2</v>
      </c>
      <c r="AF25" s="234">
        <f t="shared" si="5"/>
        <v>86</v>
      </c>
      <c r="AG25" s="235">
        <f t="shared" si="6"/>
        <v>43</v>
      </c>
      <c r="AH25" s="236">
        <f t="shared" si="7"/>
        <v>0.215</v>
      </c>
      <c r="AI25" s="235">
        <f t="shared" ca="1" si="8"/>
        <v>-0.21</v>
      </c>
      <c r="AJ25" s="186" t="s">
        <v>235</v>
      </c>
    </row>
    <row r="26" spans="1:60" ht="35.4" customHeight="1" x14ac:dyDescent="0.25">
      <c r="A26" s="154" t="s">
        <v>46</v>
      </c>
      <c r="B26" s="143" t="s">
        <v>314</v>
      </c>
      <c r="C26" s="142" t="s">
        <v>127</v>
      </c>
      <c r="D26" s="142" t="s">
        <v>95</v>
      </c>
      <c r="E26" s="142" t="s">
        <v>165</v>
      </c>
      <c r="F26" s="43" t="s">
        <v>239</v>
      </c>
      <c r="G26" s="44" t="str">
        <f t="shared" si="0"/>
        <v xml:space="preserve">Director Jurídico </v>
      </c>
      <c r="H26" s="137">
        <v>44200</v>
      </c>
      <c r="I26" s="137">
        <v>44203</v>
      </c>
      <c r="J26" s="61"/>
      <c r="K26" s="61"/>
      <c r="L26" s="61"/>
      <c r="M26" s="61"/>
      <c r="N26" s="61"/>
      <c r="O26" s="61"/>
      <c r="P26" s="61"/>
      <c r="Q26" s="61"/>
      <c r="R26" s="61"/>
      <c r="S26" s="61"/>
      <c r="T26" s="61"/>
      <c r="U26" s="61"/>
      <c r="V26" s="140" t="s">
        <v>317</v>
      </c>
      <c r="W26" s="206">
        <v>1E-3</v>
      </c>
      <c r="X26" s="137">
        <v>44203</v>
      </c>
      <c r="Y26" s="72" t="s">
        <v>349</v>
      </c>
      <c r="Z26" s="72" t="s">
        <v>415</v>
      </c>
      <c r="AA26" s="41" t="s">
        <v>152</v>
      </c>
      <c r="AB26" s="147">
        <f t="shared" ca="1" si="1"/>
        <v>1E-3</v>
      </c>
      <c r="AC26" s="147">
        <f t="shared" ca="1" si="2"/>
        <v>0</v>
      </c>
      <c r="AD26" s="233">
        <f t="shared" si="3"/>
        <v>1</v>
      </c>
      <c r="AE26" s="234">
        <f t="shared" si="4"/>
        <v>3</v>
      </c>
      <c r="AF26" s="234">
        <f t="shared" si="5"/>
        <v>86</v>
      </c>
      <c r="AG26" s="235">
        <f t="shared" si="6"/>
        <v>28.666666666666668</v>
      </c>
      <c r="AH26" s="236">
        <f t="shared" si="7"/>
        <v>2.866666666666667E-2</v>
      </c>
      <c r="AI26" s="235">
        <f t="shared" ca="1" si="8"/>
        <v>-2.7666666666666669E-2</v>
      </c>
      <c r="AJ26" s="186" t="s">
        <v>235</v>
      </c>
      <c r="BH26" s="97" t="s">
        <v>235</v>
      </c>
    </row>
    <row r="27" spans="1:60" ht="35.4" customHeight="1" x14ac:dyDescent="0.25">
      <c r="A27" s="154" t="s">
        <v>44</v>
      </c>
      <c r="B27" s="143" t="s">
        <v>330</v>
      </c>
      <c r="C27" s="142" t="s">
        <v>127</v>
      </c>
      <c r="D27" s="142" t="s">
        <v>95</v>
      </c>
      <c r="E27" s="142" t="s">
        <v>165</v>
      </c>
      <c r="F27" s="145" t="s">
        <v>160</v>
      </c>
      <c r="G27" s="44" t="str">
        <f t="shared" si="0"/>
        <v xml:space="preserve">Director Jurídico </v>
      </c>
      <c r="H27" s="137">
        <v>44200</v>
      </c>
      <c r="I27" s="137">
        <v>44204</v>
      </c>
      <c r="J27" s="61"/>
      <c r="K27" s="61"/>
      <c r="L27" s="61"/>
      <c r="M27" s="61"/>
      <c r="N27" s="61"/>
      <c r="O27" s="61"/>
      <c r="P27" s="61"/>
      <c r="Q27" s="61"/>
      <c r="R27" s="61"/>
      <c r="S27" s="61"/>
      <c r="T27" s="61"/>
      <c r="U27" s="61"/>
      <c r="V27" s="41" t="s">
        <v>123</v>
      </c>
      <c r="W27" s="206">
        <v>2.5000000000000001E-3</v>
      </c>
      <c r="X27" s="137">
        <v>44203</v>
      </c>
      <c r="Y27" s="80" t="s">
        <v>347</v>
      </c>
      <c r="Z27" s="72" t="s">
        <v>416</v>
      </c>
      <c r="AA27" s="142" t="s">
        <v>176</v>
      </c>
      <c r="AB27" s="147">
        <f t="shared" ca="1" si="1"/>
        <v>2.4999999999999996E-3</v>
      </c>
      <c r="AC27" s="147">
        <f t="shared" ca="1" si="2"/>
        <v>0</v>
      </c>
      <c r="AD27" s="233">
        <f t="shared" si="3"/>
        <v>1</v>
      </c>
      <c r="AE27" s="234">
        <f t="shared" si="4"/>
        <v>4</v>
      </c>
      <c r="AF27" s="234">
        <f t="shared" si="5"/>
        <v>86</v>
      </c>
      <c r="AG27" s="235">
        <f t="shared" si="6"/>
        <v>21.5</v>
      </c>
      <c r="AH27" s="236">
        <f t="shared" si="7"/>
        <v>5.3749999999999999E-2</v>
      </c>
      <c r="AI27" s="235">
        <f t="shared" ca="1" si="8"/>
        <v>-5.1249999999999997E-2</v>
      </c>
      <c r="AJ27" s="186" t="s">
        <v>235</v>
      </c>
    </row>
    <row r="28" spans="1:60" ht="35.4" customHeight="1" x14ac:dyDescent="0.25">
      <c r="A28" s="142" t="s">
        <v>45</v>
      </c>
      <c r="B28" s="42" t="s">
        <v>114</v>
      </c>
      <c r="C28" s="142" t="s">
        <v>90</v>
      </c>
      <c r="D28" s="142" t="s">
        <v>97</v>
      </c>
      <c r="E28" s="142" t="s">
        <v>165</v>
      </c>
      <c r="F28" s="144" t="s">
        <v>206</v>
      </c>
      <c r="G28" s="44" t="str">
        <f t="shared" si="0"/>
        <v>Asesor de Control Interno</v>
      </c>
      <c r="H28" s="137">
        <v>44200</v>
      </c>
      <c r="I28" s="137">
        <v>44204</v>
      </c>
      <c r="J28" s="61"/>
      <c r="K28" s="61"/>
      <c r="L28" s="61"/>
      <c r="M28" s="61"/>
      <c r="N28" s="61"/>
      <c r="O28" s="61"/>
      <c r="P28" s="61"/>
      <c r="Q28" s="61"/>
      <c r="R28" s="61"/>
      <c r="S28" s="61"/>
      <c r="T28" s="61"/>
      <c r="U28" s="61"/>
      <c r="V28" s="41" t="s">
        <v>202</v>
      </c>
      <c r="W28" s="206">
        <v>3.0000000000000001E-3</v>
      </c>
      <c r="X28" s="137">
        <v>44204</v>
      </c>
      <c r="Y28" s="72" t="s">
        <v>399</v>
      </c>
      <c r="Z28" s="138" t="s">
        <v>362</v>
      </c>
      <c r="AA28" s="41" t="s">
        <v>57</v>
      </c>
      <c r="AB28" s="147">
        <f t="shared" ca="1" si="1"/>
        <v>3.0000000000000001E-3</v>
      </c>
      <c r="AC28" s="147">
        <f t="shared" ca="1" si="2"/>
        <v>0</v>
      </c>
      <c r="AD28" s="233">
        <f t="shared" si="3"/>
        <v>1</v>
      </c>
      <c r="AE28" s="234">
        <f t="shared" si="4"/>
        <v>4</v>
      </c>
      <c r="AF28" s="234">
        <f t="shared" si="5"/>
        <v>86</v>
      </c>
      <c r="AG28" s="235">
        <f t="shared" si="6"/>
        <v>21.5</v>
      </c>
      <c r="AH28" s="236">
        <f t="shared" si="7"/>
        <v>6.4500000000000002E-2</v>
      </c>
      <c r="AI28" s="235">
        <f t="shared" ca="1" si="8"/>
        <v>-6.1499999999999999E-2</v>
      </c>
      <c r="AJ28" s="186" t="s">
        <v>235</v>
      </c>
    </row>
    <row r="29" spans="1:60" ht="35.4" customHeight="1" x14ac:dyDescent="0.25">
      <c r="A29" s="142" t="s">
        <v>45</v>
      </c>
      <c r="B29" s="72" t="s">
        <v>254</v>
      </c>
      <c r="C29" s="142" t="s">
        <v>90</v>
      </c>
      <c r="D29" s="142" t="s">
        <v>97</v>
      </c>
      <c r="E29" s="142" t="s">
        <v>165</v>
      </c>
      <c r="F29" s="43" t="s">
        <v>160</v>
      </c>
      <c r="G29" s="44" t="str">
        <f t="shared" si="0"/>
        <v>Asesor de Control Interno</v>
      </c>
      <c r="H29" s="137">
        <v>44200</v>
      </c>
      <c r="I29" s="137">
        <v>44208</v>
      </c>
      <c r="J29" s="61"/>
      <c r="K29" s="61"/>
      <c r="L29" s="61"/>
      <c r="M29" s="61"/>
      <c r="N29" s="61"/>
      <c r="O29" s="61"/>
      <c r="P29" s="61"/>
      <c r="Q29" s="61"/>
      <c r="R29" s="61"/>
      <c r="S29" s="61"/>
      <c r="T29" s="61"/>
      <c r="U29" s="61"/>
      <c r="V29" s="41" t="s">
        <v>215</v>
      </c>
      <c r="W29" s="206">
        <v>3.0000000000000001E-3</v>
      </c>
      <c r="X29" s="137">
        <v>44204</v>
      </c>
      <c r="Y29" s="72" t="s">
        <v>417</v>
      </c>
      <c r="Z29" s="143" t="s">
        <v>284</v>
      </c>
      <c r="AA29" s="41" t="s">
        <v>57</v>
      </c>
      <c r="AB29" s="147">
        <f t="shared" ca="1" si="1"/>
        <v>3.0000000000000001E-3</v>
      </c>
      <c r="AC29" s="147">
        <f t="shared" ca="1" si="2"/>
        <v>0</v>
      </c>
      <c r="AD29" s="233">
        <f t="shared" si="3"/>
        <v>1</v>
      </c>
      <c r="AE29" s="234">
        <f t="shared" si="4"/>
        <v>8</v>
      </c>
      <c r="AF29" s="234">
        <f t="shared" si="5"/>
        <v>86</v>
      </c>
      <c r="AG29" s="235">
        <f t="shared" si="6"/>
        <v>10.75</v>
      </c>
      <c r="AH29" s="236">
        <f t="shared" si="7"/>
        <v>3.2250000000000001E-2</v>
      </c>
      <c r="AI29" s="235">
        <f t="shared" ca="1" si="8"/>
        <v>-2.9250000000000002E-2</v>
      </c>
      <c r="AJ29" s="186" t="s">
        <v>235</v>
      </c>
    </row>
    <row r="30" spans="1:60" ht="35.4" customHeight="1" x14ac:dyDescent="0.25">
      <c r="A30" s="154" t="s">
        <v>46</v>
      </c>
      <c r="B30" s="143" t="s">
        <v>93</v>
      </c>
      <c r="C30" s="142" t="s">
        <v>89</v>
      </c>
      <c r="D30" s="142" t="s">
        <v>96</v>
      </c>
      <c r="E30" s="142" t="s">
        <v>165</v>
      </c>
      <c r="F30" s="43" t="s">
        <v>240</v>
      </c>
      <c r="G30" s="44" t="str">
        <f t="shared" si="0"/>
        <v>Subdirector Financiero</v>
      </c>
      <c r="H30" s="137">
        <v>44200</v>
      </c>
      <c r="I30" s="137">
        <v>44209</v>
      </c>
      <c r="J30" s="61"/>
      <c r="K30" s="61"/>
      <c r="L30" s="61"/>
      <c r="M30" s="61"/>
      <c r="N30" s="61"/>
      <c r="O30" s="61"/>
      <c r="P30" s="61"/>
      <c r="Q30" s="61"/>
      <c r="R30" s="61"/>
      <c r="S30" s="61"/>
      <c r="T30" s="61"/>
      <c r="U30" s="61"/>
      <c r="V30" s="41" t="s">
        <v>332</v>
      </c>
      <c r="W30" s="206">
        <v>1E-3</v>
      </c>
      <c r="X30" s="137">
        <v>44215</v>
      </c>
      <c r="Y30" s="138" t="s">
        <v>402</v>
      </c>
      <c r="Z30" s="143" t="s">
        <v>418</v>
      </c>
      <c r="AA30" s="41" t="s">
        <v>152</v>
      </c>
      <c r="AB30" s="147">
        <f t="shared" ca="1" si="1"/>
        <v>1E-3</v>
      </c>
      <c r="AC30" s="147">
        <f t="shared" ca="1" si="2"/>
        <v>0</v>
      </c>
      <c r="AD30" s="233">
        <f t="shared" si="3"/>
        <v>1</v>
      </c>
      <c r="AE30" s="234">
        <f t="shared" si="4"/>
        <v>9</v>
      </c>
      <c r="AF30" s="234">
        <f t="shared" si="5"/>
        <v>86</v>
      </c>
      <c r="AG30" s="235">
        <f t="shared" si="6"/>
        <v>9.5555555555555554</v>
      </c>
      <c r="AH30" s="236">
        <f t="shared" si="7"/>
        <v>9.555555555555555E-3</v>
      </c>
      <c r="AI30" s="235">
        <f t="shared" ca="1" si="8"/>
        <v>-8.5555555555555558E-3</v>
      </c>
      <c r="AJ30" s="186" t="s">
        <v>235</v>
      </c>
    </row>
    <row r="31" spans="1:60" ht="35.4" customHeight="1" x14ac:dyDescent="0.25">
      <c r="A31" s="154" t="s">
        <v>44</v>
      </c>
      <c r="B31" s="143" t="s">
        <v>92</v>
      </c>
      <c r="C31" s="142" t="s">
        <v>89</v>
      </c>
      <c r="D31" s="142" t="s">
        <v>96</v>
      </c>
      <c r="E31" s="142" t="s">
        <v>165</v>
      </c>
      <c r="F31" s="43" t="s">
        <v>203</v>
      </c>
      <c r="G31" s="44" t="str">
        <f t="shared" si="0"/>
        <v>Subdirector Financiero</v>
      </c>
      <c r="H31" s="137">
        <v>44200</v>
      </c>
      <c r="I31" s="137">
        <v>44209</v>
      </c>
      <c r="J31" s="61"/>
      <c r="K31" s="61"/>
      <c r="L31" s="61"/>
      <c r="M31" s="61"/>
      <c r="N31" s="61"/>
      <c r="O31" s="61"/>
      <c r="P31" s="61"/>
      <c r="Q31" s="61"/>
      <c r="R31" s="61"/>
      <c r="S31" s="61"/>
      <c r="T31" s="61"/>
      <c r="U31" s="61"/>
      <c r="V31" s="41" t="s">
        <v>123</v>
      </c>
      <c r="W31" s="206">
        <v>1E-3</v>
      </c>
      <c r="X31" s="137">
        <v>44211</v>
      </c>
      <c r="Y31" s="72" t="s">
        <v>404</v>
      </c>
      <c r="Z31" s="72" t="s">
        <v>276</v>
      </c>
      <c r="AA31" s="142" t="s">
        <v>176</v>
      </c>
      <c r="AB31" s="147">
        <f t="shared" ca="1" si="1"/>
        <v>9.999999999999998E-4</v>
      </c>
      <c r="AC31" s="147">
        <f t="shared" ca="1" si="2"/>
        <v>0</v>
      </c>
      <c r="AD31" s="233">
        <f t="shared" si="3"/>
        <v>1</v>
      </c>
      <c r="AE31" s="234">
        <f t="shared" si="4"/>
        <v>9</v>
      </c>
      <c r="AF31" s="234">
        <f t="shared" si="5"/>
        <v>86</v>
      </c>
      <c r="AG31" s="235">
        <f t="shared" si="6"/>
        <v>9.5555555555555554</v>
      </c>
      <c r="AH31" s="236">
        <f t="shared" si="7"/>
        <v>9.555555555555555E-3</v>
      </c>
      <c r="AI31" s="235">
        <f t="shared" ca="1" si="8"/>
        <v>-8.5555555555555558E-3</v>
      </c>
      <c r="AJ31" s="186" t="s">
        <v>235</v>
      </c>
    </row>
    <row r="32" spans="1:60" ht="35.4" customHeight="1" x14ac:dyDescent="0.25">
      <c r="A32" s="142" t="s">
        <v>51</v>
      </c>
      <c r="B32" s="143" t="s">
        <v>278</v>
      </c>
      <c r="C32" s="142" t="s">
        <v>98</v>
      </c>
      <c r="D32" s="142" t="s">
        <v>98</v>
      </c>
      <c r="E32" s="142" t="s">
        <v>165</v>
      </c>
      <c r="F32" s="43" t="s">
        <v>206</v>
      </c>
      <c r="G32" s="44" t="str">
        <f t="shared" si="0"/>
        <v>Líderes de Cada Proceso</v>
      </c>
      <c r="H32" s="137">
        <v>44200</v>
      </c>
      <c r="I32" s="137">
        <v>44214</v>
      </c>
      <c r="J32" s="61"/>
      <c r="K32" s="61"/>
      <c r="L32" s="61"/>
      <c r="M32" s="61"/>
      <c r="N32" s="61"/>
      <c r="O32" s="61"/>
      <c r="P32" s="61"/>
      <c r="Q32" s="61"/>
      <c r="R32" s="61"/>
      <c r="S32" s="61"/>
      <c r="T32" s="61"/>
      <c r="U32" s="61"/>
      <c r="V32" s="41" t="s">
        <v>202</v>
      </c>
      <c r="W32" s="208">
        <v>5.0000000000000001E-3</v>
      </c>
      <c r="X32" s="137">
        <v>44214</v>
      </c>
      <c r="Y32" s="72" t="s">
        <v>363</v>
      </c>
      <c r="Z32" s="72" t="s">
        <v>348</v>
      </c>
      <c r="AA32" s="41" t="s">
        <v>176</v>
      </c>
      <c r="AB32" s="147">
        <f t="shared" ca="1" si="1"/>
        <v>4.9999999999999992E-3</v>
      </c>
      <c r="AC32" s="147">
        <f t="shared" ca="1" si="2"/>
        <v>0</v>
      </c>
      <c r="AD32" s="233">
        <f t="shared" si="3"/>
        <v>1</v>
      </c>
      <c r="AE32" s="234">
        <f t="shared" si="4"/>
        <v>14</v>
      </c>
      <c r="AF32" s="234">
        <f t="shared" si="5"/>
        <v>86</v>
      </c>
      <c r="AG32" s="235">
        <f t="shared" si="6"/>
        <v>6.1428571428571432</v>
      </c>
      <c r="AH32" s="236">
        <f t="shared" si="7"/>
        <v>3.0714285714285718E-2</v>
      </c>
      <c r="AI32" s="235">
        <f t="shared" ca="1" si="8"/>
        <v>-2.5714285714285717E-2</v>
      </c>
      <c r="AJ32" s="186" t="s">
        <v>235</v>
      </c>
    </row>
    <row r="33" spans="1:37" ht="35.4" customHeight="1" x14ac:dyDescent="0.25">
      <c r="A33" s="142" t="s">
        <v>52</v>
      </c>
      <c r="B33" s="143" t="s">
        <v>283</v>
      </c>
      <c r="C33" s="142" t="s">
        <v>90</v>
      </c>
      <c r="D33" s="142" t="s">
        <v>97</v>
      </c>
      <c r="E33" s="142" t="s">
        <v>165</v>
      </c>
      <c r="F33" s="43" t="s">
        <v>160</v>
      </c>
      <c r="G33" s="44" t="str">
        <f t="shared" si="0"/>
        <v>Asesor de Control Interno</v>
      </c>
      <c r="H33" s="137">
        <v>44200</v>
      </c>
      <c r="I33" s="137">
        <v>44540</v>
      </c>
      <c r="J33" s="61"/>
      <c r="K33" s="61"/>
      <c r="L33" s="61"/>
      <c r="M33" s="61"/>
      <c r="N33" s="61"/>
      <c r="O33" s="61"/>
      <c r="P33" s="61"/>
      <c r="Q33" s="61"/>
      <c r="R33" s="61"/>
      <c r="S33" s="61"/>
      <c r="T33" s="61"/>
      <c r="U33" s="61"/>
      <c r="V33" s="142" t="s">
        <v>214</v>
      </c>
      <c r="W33" s="208">
        <v>2E-3</v>
      </c>
      <c r="X33" s="137"/>
      <c r="Y33" s="73" t="s">
        <v>520</v>
      </c>
      <c r="Z33" s="73" t="s">
        <v>520</v>
      </c>
      <c r="AA33" s="41" t="s">
        <v>167</v>
      </c>
      <c r="AB33" s="242">
        <f t="shared" ca="1" si="1"/>
        <v>1E-4</v>
      </c>
      <c r="AC33" s="242">
        <f t="shared" ca="1" si="2"/>
        <v>1.9E-3</v>
      </c>
      <c r="AD33" s="233">
        <f t="shared" si="3"/>
        <v>12</v>
      </c>
      <c r="AE33" s="234">
        <f>+I33-H33</f>
        <v>340</v>
      </c>
      <c r="AF33" s="234">
        <f t="shared" si="5"/>
        <v>86</v>
      </c>
      <c r="AG33" s="235">
        <f t="shared" si="6"/>
        <v>0.25294117647058822</v>
      </c>
      <c r="AH33" s="236">
        <f>+AG33*W33</f>
        <v>5.0588235294117643E-4</v>
      </c>
      <c r="AI33" s="235">
        <f t="shared" ca="1" si="8"/>
        <v>-4.0588235294117644E-4</v>
      </c>
      <c r="AJ33" s="190" t="s">
        <v>430</v>
      </c>
    </row>
    <row r="34" spans="1:37" ht="35.4" customHeight="1" x14ac:dyDescent="0.25">
      <c r="A34" s="142" t="s">
        <v>52</v>
      </c>
      <c r="B34" s="143" t="s">
        <v>283</v>
      </c>
      <c r="C34" s="142" t="s">
        <v>90</v>
      </c>
      <c r="D34" s="142" t="s">
        <v>97</v>
      </c>
      <c r="E34" s="142" t="s">
        <v>165</v>
      </c>
      <c r="F34" s="144" t="s">
        <v>260</v>
      </c>
      <c r="G34" s="44" t="str">
        <f t="shared" si="0"/>
        <v>Asesor de Control Interno</v>
      </c>
      <c r="H34" s="137"/>
      <c r="I34" s="137"/>
      <c r="J34" s="61"/>
      <c r="K34" s="61"/>
      <c r="L34" s="61"/>
      <c r="M34" s="61"/>
      <c r="N34" s="61"/>
      <c r="O34" s="61"/>
      <c r="P34" s="61"/>
      <c r="Q34" s="61"/>
      <c r="R34" s="61"/>
      <c r="S34" s="61"/>
      <c r="T34" s="61"/>
      <c r="U34" s="61"/>
      <c r="V34" s="41" t="s">
        <v>214</v>
      </c>
      <c r="W34" s="208"/>
      <c r="X34" s="137"/>
      <c r="Y34" s="72"/>
      <c r="Z34" s="72"/>
      <c r="AA34" s="41"/>
      <c r="AB34" s="70">
        <f t="shared" ca="1" si="1"/>
        <v>0</v>
      </c>
      <c r="AC34" s="70">
        <f t="shared" ca="1" si="2"/>
        <v>0</v>
      </c>
      <c r="AD34" s="233"/>
      <c r="AE34" s="234"/>
      <c r="AF34" s="234"/>
      <c r="AG34" s="235"/>
      <c r="AH34" s="236"/>
      <c r="AI34" s="235"/>
      <c r="AJ34" s="193" t="s">
        <v>242</v>
      </c>
    </row>
    <row r="35" spans="1:37" s="3" customFormat="1" ht="35.4" customHeight="1" x14ac:dyDescent="0.2">
      <c r="A35" s="142" t="s">
        <v>52</v>
      </c>
      <c r="B35" s="143" t="s">
        <v>283</v>
      </c>
      <c r="C35" s="142" t="s">
        <v>90</v>
      </c>
      <c r="D35" s="142" t="s">
        <v>97</v>
      </c>
      <c r="E35" s="142" t="s">
        <v>165</v>
      </c>
      <c r="F35" s="43" t="s">
        <v>240</v>
      </c>
      <c r="G35" s="44" t="str">
        <f t="shared" si="0"/>
        <v>Asesor de Control Interno</v>
      </c>
      <c r="H35" s="137">
        <v>44200</v>
      </c>
      <c r="I35" s="137">
        <v>44540</v>
      </c>
      <c r="J35" s="61"/>
      <c r="K35" s="61"/>
      <c r="L35" s="61"/>
      <c r="M35" s="61"/>
      <c r="N35" s="61"/>
      <c r="O35" s="61"/>
      <c r="P35" s="61"/>
      <c r="Q35" s="61"/>
      <c r="R35" s="61"/>
      <c r="S35" s="61"/>
      <c r="T35" s="61"/>
      <c r="U35" s="61"/>
      <c r="V35" s="41" t="s">
        <v>214</v>
      </c>
      <c r="W35" s="208">
        <v>2E-3</v>
      </c>
      <c r="X35" s="137"/>
      <c r="Y35" s="73" t="s">
        <v>521</v>
      </c>
      <c r="Z35" s="73" t="s">
        <v>521</v>
      </c>
      <c r="AA35" s="41" t="s">
        <v>167</v>
      </c>
      <c r="AB35" s="152">
        <v>5.0588235294117643E-4</v>
      </c>
      <c r="AC35" s="152">
        <f t="shared" si="2"/>
        <v>1.4941176470588237E-3</v>
      </c>
      <c r="AD35" s="233">
        <f t="shared" si="3"/>
        <v>12</v>
      </c>
      <c r="AE35" s="234">
        <f t="shared" si="4"/>
        <v>340</v>
      </c>
      <c r="AF35" s="234">
        <f t="shared" si="5"/>
        <v>86</v>
      </c>
      <c r="AG35" s="235">
        <f t="shared" si="6"/>
        <v>0.25294117647058822</v>
      </c>
      <c r="AH35" s="236">
        <f t="shared" si="7"/>
        <v>5.0588235294117643E-4</v>
      </c>
      <c r="AI35" s="235">
        <f t="shared" si="8"/>
        <v>0</v>
      </c>
      <c r="AJ35" s="188" t="s">
        <v>408</v>
      </c>
    </row>
    <row r="36" spans="1:37" s="3" customFormat="1" ht="35.4" customHeight="1" x14ac:dyDescent="0.25">
      <c r="A36" s="142" t="s">
        <v>52</v>
      </c>
      <c r="B36" s="143" t="s">
        <v>283</v>
      </c>
      <c r="C36" s="142" t="s">
        <v>90</v>
      </c>
      <c r="D36" s="142" t="s">
        <v>97</v>
      </c>
      <c r="E36" s="142" t="s">
        <v>165</v>
      </c>
      <c r="F36" s="43" t="s">
        <v>239</v>
      </c>
      <c r="G36" s="44" t="str">
        <f t="shared" si="0"/>
        <v>Asesor de Control Interno</v>
      </c>
      <c r="H36" s="137">
        <v>44200</v>
      </c>
      <c r="I36" s="137">
        <v>44540</v>
      </c>
      <c r="J36" s="61"/>
      <c r="K36" s="61"/>
      <c r="L36" s="61"/>
      <c r="M36" s="61"/>
      <c r="N36" s="61"/>
      <c r="O36" s="61"/>
      <c r="P36" s="61"/>
      <c r="Q36" s="61"/>
      <c r="R36" s="61"/>
      <c r="S36" s="61"/>
      <c r="T36" s="61"/>
      <c r="U36" s="61"/>
      <c r="V36" s="41" t="s">
        <v>214</v>
      </c>
      <c r="W36" s="208">
        <v>2E-3</v>
      </c>
      <c r="X36" s="137"/>
      <c r="Y36" s="72" t="s">
        <v>522</v>
      </c>
      <c r="Z36" s="72" t="s">
        <v>522</v>
      </c>
      <c r="AA36" s="41" t="s">
        <v>167</v>
      </c>
      <c r="AB36" s="152">
        <v>5.0588235294117643E-4</v>
      </c>
      <c r="AC36" s="152">
        <f t="shared" si="2"/>
        <v>1.4941176470588237E-3</v>
      </c>
      <c r="AD36" s="233">
        <f t="shared" si="3"/>
        <v>12</v>
      </c>
      <c r="AE36" s="234">
        <f t="shared" si="4"/>
        <v>340</v>
      </c>
      <c r="AF36" s="234">
        <f t="shared" si="5"/>
        <v>86</v>
      </c>
      <c r="AG36" s="235">
        <f t="shared" si="6"/>
        <v>0.25294117647058822</v>
      </c>
      <c r="AH36" s="236">
        <f t="shared" si="7"/>
        <v>5.0588235294117643E-4</v>
      </c>
      <c r="AI36" s="235">
        <f t="shared" si="8"/>
        <v>0</v>
      </c>
      <c r="AJ36" s="188" t="s">
        <v>408</v>
      </c>
      <c r="AK36" s="1"/>
    </row>
    <row r="37" spans="1:37" s="3" customFormat="1" ht="35.4" customHeight="1" x14ac:dyDescent="0.2">
      <c r="A37" s="142" t="s">
        <v>52</v>
      </c>
      <c r="B37" s="143" t="s">
        <v>283</v>
      </c>
      <c r="C37" s="142" t="s">
        <v>90</v>
      </c>
      <c r="D37" s="142" t="s">
        <v>97</v>
      </c>
      <c r="E37" s="142" t="s">
        <v>165</v>
      </c>
      <c r="F37" s="43" t="s">
        <v>263</v>
      </c>
      <c r="G37" s="44" t="str">
        <f t="shared" si="0"/>
        <v>Asesor de Control Interno</v>
      </c>
      <c r="H37" s="137">
        <v>44200</v>
      </c>
      <c r="I37" s="137">
        <v>44540</v>
      </c>
      <c r="J37" s="61"/>
      <c r="K37" s="61"/>
      <c r="L37" s="61"/>
      <c r="M37" s="61"/>
      <c r="N37" s="61"/>
      <c r="O37" s="61"/>
      <c r="P37" s="61"/>
      <c r="Q37" s="61"/>
      <c r="R37" s="61"/>
      <c r="S37" s="61"/>
      <c r="T37" s="61"/>
      <c r="U37" s="61"/>
      <c r="V37" s="142" t="s">
        <v>214</v>
      </c>
      <c r="W37" s="208">
        <v>2E-3</v>
      </c>
      <c r="X37" s="137"/>
      <c r="Y37" s="72" t="s">
        <v>419</v>
      </c>
      <c r="Z37" s="72" t="s">
        <v>419</v>
      </c>
      <c r="AA37" s="41" t="s">
        <v>167</v>
      </c>
      <c r="AB37" s="152">
        <v>5.0588235294117643E-4</v>
      </c>
      <c r="AC37" s="152">
        <f t="shared" si="2"/>
        <v>1.4941176470588237E-3</v>
      </c>
      <c r="AD37" s="233">
        <f t="shared" si="3"/>
        <v>12</v>
      </c>
      <c r="AE37" s="234">
        <f t="shared" si="4"/>
        <v>340</v>
      </c>
      <c r="AF37" s="234">
        <f t="shared" si="5"/>
        <v>86</v>
      </c>
      <c r="AG37" s="235">
        <f t="shared" si="6"/>
        <v>0.25294117647058822</v>
      </c>
      <c r="AH37" s="236">
        <f t="shared" si="7"/>
        <v>5.0588235294117643E-4</v>
      </c>
      <c r="AI37" s="235">
        <f t="shared" si="8"/>
        <v>0</v>
      </c>
      <c r="AJ37" s="188" t="s">
        <v>408</v>
      </c>
    </row>
    <row r="38" spans="1:37" s="3" customFormat="1" ht="35.4" customHeight="1" x14ac:dyDescent="0.2">
      <c r="A38" s="142" t="s">
        <v>52</v>
      </c>
      <c r="B38" s="143" t="s">
        <v>283</v>
      </c>
      <c r="C38" s="142" t="s">
        <v>90</v>
      </c>
      <c r="D38" s="142" t="s">
        <v>97</v>
      </c>
      <c r="E38" s="142" t="s">
        <v>165</v>
      </c>
      <c r="F38" s="43" t="s">
        <v>159</v>
      </c>
      <c r="G38" s="44" t="str">
        <f t="shared" si="0"/>
        <v>Asesor de Control Interno</v>
      </c>
      <c r="H38" s="137">
        <v>44200</v>
      </c>
      <c r="I38" s="137">
        <v>44540</v>
      </c>
      <c r="J38" s="61"/>
      <c r="K38" s="61"/>
      <c r="L38" s="61"/>
      <c r="M38" s="61"/>
      <c r="N38" s="61"/>
      <c r="O38" s="61"/>
      <c r="P38" s="61"/>
      <c r="Q38" s="61"/>
      <c r="R38" s="61"/>
      <c r="S38" s="61"/>
      <c r="T38" s="61"/>
      <c r="U38" s="61"/>
      <c r="V38" s="142" t="s">
        <v>214</v>
      </c>
      <c r="W38" s="208">
        <v>2E-3</v>
      </c>
      <c r="X38" s="137"/>
      <c r="Y38" s="143" t="s">
        <v>373</v>
      </c>
      <c r="Z38" s="143" t="s">
        <v>373</v>
      </c>
      <c r="AA38" s="41" t="s">
        <v>167</v>
      </c>
      <c r="AB38" s="152">
        <v>5.0588235294117643E-4</v>
      </c>
      <c r="AC38" s="152">
        <f t="shared" si="2"/>
        <v>1.4941176470588237E-3</v>
      </c>
      <c r="AD38" s="233">
        <f t="shared" si="3"/>
        <v>12</v>
      </c>
      <c r="AE38" s="234">
        <f t="shared" si="4"/>
        <v>340</v>
      </c>
      <c r="AF38" s="234">
        <f t="shared" si="5"/>
        <v>86</v>
      </c>
      <c r="AG38" s="235">
        <f t="shared" si="6"/>
        <v>0.25294117647058822</v>
      </c>
      <c r="AH38" s="236">
        <f t="shared" si="7"/>
        <v>5.0588235294117643E-4</v>
      </c>
      <c r="AI38" s="235">
        <f t="shared" si="8"/>
        <v>0</v>
      </c>
      <c r="AJ38" s="188" t="s">
        <v>408</v>
      </c>
      <c r="AK38" s="189"/>
    </row>
    <row r="39" spans="1:37" s="3" customFormat="1" ht="35.4" customHeight="1" x14ac:dyDescent="0.2">
      <c r="A39" s="142" t="s">
        <v>43</v>
      </c>
      <c r="B39" s="72" t="s">
        <v>304</v>
      </c>
      <c r="C39" s="142" t="s">
        <v>98</v>
      </c>
      <c r="D39" s="142" t="s">
        <v>98</v>
      </c>
      <c r="E39" s="142" t="s">
        <v>165</v>
      </c>
      <c r="F39" s="43" t="s">
        <v>160</v>
      </c>
      <c r="G39" s="44" t="str">
        <f t="shared" si="0"/>
        <v>Líderes de Cada Proceso</v>
      </c>
      <c r="H39" s="137">
        <v>44200</v>
      </c>
      <c r="I39" s="137">
        <v>44540</v>
      </c>
      <c r="J39" s="61"/>
      <c r="K39" s="61"/>
      <c r="L39" s="61"/>
      <c r="M39" s="61"/>
      <c r="N39" s="61"/>
      <c r="O39" s="61"/>
      <c r="P39" s="61"/>
      <c r="Q39" s="61"/>
      <c r="R39" s="61"/>
      <c r="S39" s="61"/>
      <c r="T39" s="61"/>
      <c r="U39" s="61"/>
      <c r="V39" s="41" t="s">
        <v>334</v>
      </c>
      <c r="W39" s="208">
        <v>2.5000000000000001E-3</v>
      </c>
      <c r="X39" s="137"/>
      <c r="Y39" s="72" t="s">
        <v>370</v>
      </c>
      <c r="Z39" s="72" t="s">
        <v>466</v>
      </c>
      <c r="AA39" s="41" t="s">
        <v>180</v>
      </c>
      <c r="AB39" s="152">
        <f t="shared" ca="1" si="1"/>
        <v>7.5000000000000002E-4</v>
      </c>
      <c r="AC39" s="152">
        <f t="shared" ca="1" si="2"/>
        <v>1.75E-3</v>
      </c>
      <c r="AD39" s="233">
        <f t="shared" si="3"/>
        <v>12</v>
      </c>
      <c r="AE39" s="234">
        <f t="shared" si="4"/>
        <v>340</v>
      </c>
      <c r="AF39" s="234">
        <f t="shared" si="5"/>
        <v>86</v>
      </c>
      <c r="AG39" s="235">
        <f t="shared" si="6"/>
        <v>0.25294117647058822</v>
      </c>
      <c r="AH39" s="236">
        <f t="shared" si="7"/>
        <v>6.3235294117647061E-4</v>
      </c>
      <c r="AI39" s="235">
        <f t="shared" ca="1" si="8"/>
        <v>1.176470588235294E-4</v>
      </c>
      <c r="AJ39" s="188" t="s">
        <v>408</v>
      </c>
    </row>
    <row r="40" spans="1:37" s="3" customFormat="1" ht="35.4" customHeight="1" x14ac:dyDescent="0.25">
      <c r="A40" s="142" t="s">
        <v>43</v>
      </c>
      <c r="B40" s="72" t="s">
        <v>304</v>
      </c>
      <c r="C40" s="142" t="s">
        <v>98</v>
      </c>
      <c r="D40" s="142" t="s">
        <v>98</v>
      </c>
      <c r="E40" s="142" t="s">
        <v>165</v>
      </c>
      <c r="F40" s="43" t="s">
        <v>240</v>
      </c>
      <c r="G40" s="44" t="str">
        <f t="shared" si="0"/>
        <v>Líderes de Cada Proceso</v>
      </c>
      <c r="H40" s="137">
        <v>44200</v>
      </c>
      <c r="I40" s="137">
        <v>44540</v>
      </c>
      <c r="J40" s="61"/>
      <c r="K40" s="61"/>
      <c r="L40" s="61"/>
      <c r="M40" s="61"/>
      <c r="N40" s="61"/>
      <c r="O40" s="61"/>
      <c r="P40" s="61"/>
      <c r="Q40" s="61"/>
      <c r="R40" s="61"/>
      <c r="S40" s="61"/>
      <c r="T40" s="61"/>
      <c r="U40" s="61"/>
      <c r="V40" s="142" t="s">
        <v>334</v>
      </c>
      <c r="W40" s="208">
        <v>2.5000000000000001E-3</v>
      </c>
      <c r="X40" s="137"/>
      <c r="Y40" s="72"/>
      <c r="Z40" s="72" t="s">
        <v>467</v>
      </c>
      <c r="AA40" s="41" t="s">
        <v>180</v>
      </c>
      <c r="AB40" s="152">
        <f t="shared" ca="1" si="1"/>
        <v>7.5000000000000002E-4</v>
      </c>
      <c r="AC40" s="152">
        <f t="shared" ca="1" si="2"/>
        <v>1.75E-3</v>
      </c>
      <c r="AD40" s="233">
        <f t="shared" si="3"/>
        <v>12</v>
      </c>
      <c r="AE40" s="234">
        <f t="shared" si="4"/>
        <v>340</v>
      </c>
      <c r="AF40" s="234">
        <f t="shared" si="5"/>
        <v>86</v>
      </c>
      <c r="AG40" s="235">
        <f t="shared" si="6"/>
        <v>0.25294117647058822</v>
      </c>
      <c r="AH40" s="236">
        <f t="shared" si="7"/>
        <v>6.3235294117647061E-4</v>
      </c>
      <c r="AI40" s="235">
        <f t="shared" ca="1" si="8"/>
        <v>1.176470588235294E-4</v>
      </c>
      <c r="AJ40" s="188" t="s">
        <v>408</v>
      </c>
      <c r="AK40" s="1"/>
    </row>
    <row r="41" spans="1:37" s="3" customFormat="1" ht="35.4" customHeight="1" x14ac:dyDescent="0.2">
      <c r="A41" s="142" t="s">
        <v>43</v>
      </c>
      <c r="B41" s="72" t="s">
        <v>304</v>
      </c>
      <c r="C41" s="142" t="s">
        <v>98</v>
      </c>
      <c r="D41" s="142" t="s">
        <v>98</v>
      </c>
      <c r="E41" s="142" t="s">
        <v>165</v>
      </c>
      <c r="F41" s="43" t="s">
        <v>263</v>
      </c>
      <c r="G41" s="44" t="str">
        <f t="shared" si="0"/>
        <v>Líderes de Cada Proceso</v>
      </c>
      <c r="H41" s="137">
        <v>44200</v>
      </c>
      <c r="I41" s="137">
        <v>44540</v>
      </c>
      <c r="J41" s="61"/>
      <c r="K41" s="61"/>
      <c r="L41" s="61"/>
      <c r="M41" s="61"/>
      <c r="N41" s="61"/>
      <c r="O41" s="61"/>
      <c r="P41" s="61"/>
      <c r="Q41" s="61"/>
      <c r="R41" s="61"/>
      <c r="S41" s="61"/>
      <c r="T41" s="61"/>
      <c r="U41" s="61"/>
      <c r="V41" s="41" t="s">
        <v>334</v>
      </c>
      <c r="W41" s="208">
        <v>2.5000000000000001E-3</v>
      </c>
      <c r="X41" s="137"/>
      <c r="Y41" s="72"/>
      <c r="Z41" s="72" t="s">
        <v>380</v>
      </c>
      <c r="AA41" s="41" t="s">
        <v>180</v>
      </c>
      <c r="AB41" s="152">
        <f t="shared" ca="1" si="1"/>
        <v>7.5000000000000002E-4</v>
      </c>
      <c r="AC41" s="152">
        <f t="shared" ca="1" si="2"/>
        <v>1.75E-3</v>
      </c>
      <c r="AD41" s="233">
        <f t="shared" si="3"/>
        <v>12</v>
      </c>
      <c r="AE41" s="234">
        <f t="shared" si="4"/>
        <v>340</v>
      </c>
      <c r="AF41" s="234">
        <f t="shared" si="5"/>
        <v>86</v>
      </c>
      <c r="AG41" s="235">
        <f t="shared" si="6"/>
        <v>0.25294117647058822</v>
      </c>
      <c r="AH41" s="236">
        <f t="shared" si="7"/>
        <v>6.3235294117647061E-4</v>
      </c>
      <c r="AI41" s="235">
        <f t="shared" ca="1" si="8"/>
        <v>1.176470588235294E-4</v>
      </c>
      <c r="AJ41" s="188" t="s">
        <v>408</v>
      </c>
    </row>
    <row r="42" spans="1:37" s="3" customFormat="1" ht="35.4" customHeight="1" x14ac:dyDescent="0.2">
      <c r="A42" s="142" t="s">
        <v>43</v>
      </c>
      <c r="B42" s="72" t="s">
        <v>304</v>
      </c>
      <c r="C42" s="142" t="s">
        <v>98</v>
      </c>
      <c r="D42" s="142" t="s">
        <v>98</v>
      </c>
      <c r="E42" s="142" t="s">
        <v>165</v>
      </c>
      <c r="F42" s="144" t="s">
        <v>159</v>
      </c>
      <c r="G42" s="44" t="str">
        <f t="shared" si="0"/>
        <v>Líderes de Cada Proceso</v>
      </c>
      <c r="H42" s="137">
        <v>44200</v>
      </c>
      <c r="I42" s="137">
        <v>44540</v>
      </c>
      <c r="J42" s="61"/>
      <c r="K42" s="61"/>
      <c r="L42" s="61"/>
      <c r="M42" s="61"/>
      <c r="N42" s="61"/>
      <c r="O42" s="61"/>
      <c r="P42" s="61"/>
      <c r="Q42" s="61"/>
      <c r="R42" s="61"/>
      <c r="S42" s="61"/>
      <c r="T42" s="61"/>
      <c r="U42" s="61"/>
      <c r="V42" s="41" t="s">
        <v>334</v>
      </c>
      <c r="W42" s="208">
        <v>2.5000000000000001E-3</v>
      </c>
      <c r="X42" s="137"/>
      <c r="Y42" s="72"/>
      <c r="Z42" s="72" t="s">
        <v>497</v>
      </c>
      <c r="AA42" s="41" t="s">
        <v>180</v>
      </c>
      <c r="AB42" s="152">
        <f t="shared" ca="1" si="1"/>
        <v>7.5000000000000002E-4</v>
      </c>
      <c r="AC42" s="152">
        <f t="shared" ca="1" si="2"/>
        <v>1.75E-3</v>
      </c>
      <c r="AD42" s="233">
        <f t="shared" si="3"/>
        <v>12</v>
      </c>
      <c r="AE42" s="234">
        <f t="shared" si="4"/>
        <v>340</v>
      </c>
      <c r="AF42" s="234">
        <f t="shared" si="5"/>
        <v>86</v>
      </c>
      <c r="AG42" s="235">
        <f t="shared" si="6"/>
        <v>0.25294117647058822</v>
      </c>
      <c r="AH42" s="236">
        <f t="shared" si="7"/>
        <v>6.3235294117647061E-4</v>
      </c>
      <c r="AI42" s="235">
        <f t="shared" ca="1" si="8"/>
        <v>1.176470588235294E-4</v>
      </c>
      <c r="AJ42" s="188" t="s">
        <v>408</v>
      </c>
    </row>
    <row r="43" spans="1:37" s="3" customFormat="1" ht="35.4" customHeight="1" x14ac:dyDescent="0.2">
      <c r="A43" s="154" t="s">
        <v>44</v>
      </c>
      <c r="B43" s="143" t="s">
        <v>209</v>
      </c>
      <c r="C43" s="142" t="s">
        <v>87</v>
      </c>
      <c r="D43" s="142" t="s">
        <v>96</v>
      </c>
      <c r="E43" s="142" t="s">
        <v>165</v>
      </c>
      <c r="F43" s="43" t="s">
        <v>240</v>
      </c>
      <c r="G43" s="44" t="str">
        <f t="shared" si="0"/>
        <v>Subdirector Administrativo</v>
      </c>
      <c r="H43" s="137">
        <v>44201</v>
      </c>
      <c r="I43" s="137">
        <v>44223</v>
      </c>
      <c r="J43" s="61"/>
      <c r="K43" s="61"/>
      <c r="L43" s="61"/>
      <c r="M43" s="61"/>
      <c r="N43" s="61"/>
      <c r="O43" s="61"/>
      <c r="P43" s="61"/>
      <c r="Q43" s="61"/>
      <c r="R43" s="61"/>
      <c r="S43" s="61"/>
      <c r="T43" s="61"/>
      <c r="U43" s="61"/>
      <c r="V43" s="142" t="s">
        <v>123</v>
      </c>
      <c r="W43" s="206">
        <v>7.4999999999999997E-3</v>
      </c>
      <c r="X43" s="137">
        <v>44225</v>
      </c>
      <c r="Y43" s="72" t="s">
        <v>376</v>
      </c>
      <c r="Z43" s="72" t="s">
        <v>420</v>
      </c>
      <c r="AA43" s="142" t="s">
        <v>176</v>
      </c>
      <c r="AB43" s="147">
        <f t="shared" ca="1" si="1"/>
        <v>7.4999999999999989E-3</v>
      </c>
      <c r="AC43" s="147">
        <f t="shared" ca="1" si="2"/>
        <v>0</v>
      </c>
      <c r="AD43" s="233">
        <f t="shared" si="3"/>
        <v>1</v>
      </c>
      <c r="AE43" s="234">
        <f t="shared" si="4"/>
        <v>22</v>
      </c>
      <c r="AF43" s="234">
        <f t="shared" si="5"/>
        <v>85</v>
      </c>
      <c r="AG43" s="235">
        <f t="shared" si="6"/>
        <v>3.8636363636363638</v>
      </c>
      <c r="AH43" s="236">
        <f t="shared" si="7"/>
        <v>2.8977272727272727E-2</v>
      </c>
      <c r="AI43" s="235">
        <f t="shared" ca="1" si="8"/>
        <v>-2.1477272727272727E-2</v>
      </c>
      <c r="AJ43" s="186" t="s">
        <v>235</v>
      </c>
    </row>
    <row r="44" spans="1:37" s="3" customFormat="1" ht="35.4" customHeight="1" x14ac:dyDescent="0.2">
      <c r="A44" s="154" t="s">
        <v>44</v>
      </c>
      <c r="B44" s="72" t="s">
        <v>279</v>
      </c>
      <c r="C44" s="142" t="s">
        <v>89</v>
      </c>
      <c r="D44" s="142" t="s">
        <v>96</v>
      </c>
      <c r="E44" s="142" t="s">
        <v>165</v>
      </c>
      <c r="F44" s="43" t="s">
        <v>240</v>
      </c>
      <c r="G44" s="44" t="str">
        <f t="shared" si="0"/>
        <v>Subdirector Financiero</v>
      </c>
      <c r="H44" s="137">
        <v>44201</v>
      </c>
      <c r="I44" s="184">
        <v>44253</v>
      </c>
      <c r="J44" s="61"/>
      <c r="K44" s="61"/>
      <c r="L44" s="61"/>
      <c r="M44" s="61"/>
      <c r="N44" s="61"/>
      <c r="O44" s="61"/>
      <c r="P44" s="61"/>
      <c r="Q44" s="61"/>
      <c r="R44" s="61"/>
      <c r="S44" s="61"/>
      <c r="T44" s="61"/>
      <c r="U44" s="61"/>
      <c r="V44" s="142" t="s">
        <v>123</v>
      </c>
      <c r="W44" s="206">
        <v>3.0000000000000001E-3</v>
      </c>
      <c r="X44" s="137">
        <v>44253</v>
      </c>
      <c r="Y44" s="72" t="s">
        <v>469</v>
      </c>
      <c r="Z44" s="72" t="s">
        <v>468</v>
      </c>
      <c r="AA44" s="142" t="s">
        <v>176</v>
      </c>
      <c r="AB44" s="147">
        <f t="shared" ca="1" si="1"/>
        <v>2.9999999999999996E-3</v>
      </c>
      <c r="AC44" s="147">
        <f t="shared" ca="1" si="2"/>
        <v>0</v>
      </c>
      <c r="AD44" s="233">
        <f t="shared" si="3"/>
        <v>2</v>
      </c>
      <c r="AE44" s="234">
        <f t="shared" si="4"/>
        <v>52</v>
      </c>
      <c r="AF44" s="234">
        <f t="shared" si="5"/>
        <v>85</v>
      </c>
      <c r="AG44" s="235">
        <f t="shared" si="6"/>
        <v>1.6346153846153846</v>
      </c>
      <c r="AH44" s="236">
        <f t="shared" si="7"/>
        <v>4.9038461538461536E-3</v>
      </c>
      <c r="AI44" s="235">
        <f t="shared" ca="1" si="8"/>
        <v>-1.903846153846154E-3</v>
      </c>
      <c r="AJ44" s="186" t="s">
        <v>235</v>
      </c>
    </row>
    <row r="45" spans="1:37" s="3" customFormat="1" ht="35.4" customHeight="1" x14ac:dyDescent="0.2">
      <c r="A45" s="154" t="s">
        <v>45</v>
      </c>
      <c r="B45" s="143" t="s">
        <v>306</v>
      </c>
      <c r="C45" s="142" t="s">
        <v>90</v>
      </c>
      <c r="D45" s="142" t="s">
        <v>97</v>
      </c>
      <c r="E45" s="142" t="s">
        <v>165</v>
      </c>
      <c r="F45" s="43" t="s">
        <v>239</v>
      </c>
      <c r="G45" s="44" t="str">
        <f t="shared" si="0"/>
        <v>Asesor de Control Interno</v>
      </c>
      <c r="H45" s="137">
        <v>44202</v>
      </c>
      <c r="I45" s="137">
        <v>44214</v>
      </c>
      <c r="J45" s="61"/>
      <c r="K45" s="61"/>
      <c r="L45" s="61"/>
      <c r="M45" s="61"/>
      <c r="N45" s="61"/>
      <c r="O45" s="61"/>
      <c r="P45" s="61"/>
      <c r="Q45" s="61"/>
      <c r="R45" s="61"/>
      <c r="S45" s="61"/>
      <c r="T45" s="61"/>
      <c r="U45" s="61"/>
      <c r="V45" s="41" t="s">
        <v>123</v>
      </c>
      <c r="W45" s="206">
        <v>1.2E-2</v>
      </c>
      <c r="X45" s="137">
        <v>44227</v>
      </c>
      <c r="Y45" s="80" t="s">
        <v>377</v>
      </c>
      <c r="Z45" s="80" t="s">
        <v>377</v>
      </c>
      <c r="AA45" s="41" t="s">
        <v>57</v>
      </c>
      <c r="AB45" s="147">
        <f t="shared" ca="1" si="1"/>
        <v>1.2E-2</v>
      </c>
      <c r="AC45" s="147">
        <f t="shared" ca="1" si="2"/>
        <v>0</v>
      </c>
      <c r="AD45" s="233">
        <f t="shared" si="3"/>
        <v>1</v>
      </c>
      <c r="AE45" s="234">
        <f t="shared" si="4"/>
        <v>12</v>
      </c>
      <c r="AF45" s="234">
        <f t="shared" si="5"/>
        <v>84</v>
      </c>
      <c r="AG45" s="235">
        <f t="shared" si="6"/>
        <v>7</v>
      </c>
      <c r="AH45" s="236">
        <f t="shared" si="7"/>
        <v>8.4000000000000005E-2</v>
      </c>
      <c r="AI45" s="235">
        <f t="shared" ca="1" si="8"/>
        <v>-7.2000000000000008E-2</v>
      </c>
      <c r="AJ45" s="186" t="s">
        <v>235</v>
      </c>
    </row>
    <row r="46" spans="1:37" s="3" customFormat="1" ht="35.4" customHeight="1" x14ac:dyDescent="0.2">
      <c r="A46" s="154" t="s">
        <v>43</v>
      </c>
      <c r="B46" s="143" t="s">
        <v>208</v>
      </c>
      <c r="C46" s="142" t="s">
        <v>98</v>
      </c>
      <c r="D46" s="142" t="s">
        <v>98</v>
      </c>
      <c r="E46" s="142" t="s">
        <v>165</v>
      </c>
      <c r="F46" s="43" t="s">
        <v>160</v>
      </c>
      <c r="G46" s="44" t="str">
        <f t="shared" si="0"/>
        <v>Líderes de Cada Proceso</v>
      </c>
      <c r="H46" s="137">
        <v>44202</v>
      </c>
      <c r="I46" s="184">
        <v>44281</v>
      </c>
      <c r="J46" s="61"/>
      <c r="K46" s="61"/>
      <c r="L46" s="61"/>
      <c r="M46" s="61"/>
      <c r="N46" s="61"/>
      <c r="O46" s="61"/>
      <c r="P46" s="61"/>
      <c r="Q46" s="61"/>
      <c r="R46" s="61"/>
      <c r="S46" s="61"/>
      <c r="T46" s="61"/>
      <c r="U46" s="61"/>
      <c r="V46" s="41" t="s">
        <v>215</v>
      </c>
      <c r="W46" s="206">
        <v>1.4999999999999999E-2</v>
      </c>
      <c r="X46" s="137"/>
      <c r="Y46" s="72" t="s">
        <v>369</v>
      </c>
      <c r="Z46" s="72" t="s">
        <v>507</v>
      </c>
      <c r="AA46" s="142" t="s">
        <v>175</v>
      </c>
      <c r="AB46" s="240">
        <f t="shared" ca="1" si="1"/>
        <v>1.3650000000000001E-2</v>
      </c>
      <c r="AC46" s="239">
        <f t="shared" ca="1" si="2"/>
        <v>1.3499999999999988E-3</v>
      </c>
      <c r="AD46" s="233">
        <f t="shared" si="3"/>
        <v>3</v>
      </c>
      <c r="AE46" s="234">
        <f t="shared" si="4"/>
        <v>79</v>
      </c>
      <c r="AF46" s="234">
        <f t="shared" si="5"/>
        <v>84</v>
      </c>
      <c r="AG46" s="235">
        <f t="shared" si="6"/>
        <v>1.0632911392405062</v>
      </c>
      <c r="AH46" s="236">
        <f t="shared" si="7"/>
        <v>1.5949367088607593E-2</v>
      </c>
      <c r="AI46" s="235">
        <f t="shared" ca="1" si="8"/>
        <v>-2.2993670886075918E-3</v>
      </c>
      <c r="AJ46" s="232" t="s">
        <v>508</v>
      </c>
    </row>
    <row r="47" spans="1:37" s="3" customFormat="1" ht="35.4" customHeight="1" x14ac:dyDescent="0.2">
      <c r="A47" s="154" t="s">
        <v>47</v>
      </c>
      <c r="B47" s="146" t="s">
        <v>308</v>
      </c>
      <c r="C47" s="142" t="s">
        <v>98</v>
      </c>
      <c r="D47" s="142" t="s">
        <v>98</v>
      </c>
      <c r="E47" s="142" t="s">
        <v>165</v>
      </c>
      <c r="F47" s="43" t="s">
        <v>263</v>
      </c>
      <c r="G47" s="44" t="str">
        <f t="shared" si="0"/>
        <v>Líderes de Cada Proceso</v>
      </c>
      <c r="H47" s="137">
        <v>44204</v>
      </c>
      <c r="I47" s="137">
        <v>44224</v>
      </c>
      <c r="J47" s="61"/>
      <c r="K47" s="61"/>
      <c r="L47" s="61"/>
      <c r="M47" s="61"/>
      <c r="N47" s="61"/>
      <c r="O47" s="61"/>
      <c r="P47" s="61"/>
      <c r="Q47" s="61"/>
      <c r="R47" s="61"/>
      <c r="S47" s="61"/>
      <c r="T47" s="61"/>
      <c r="U47" s="61"/>
      <c r="V47" s="142" t="s">
        <v>215</v>
      </c>
      <c r="W47" s="208">
        <v>0.02</v>
      </c>
      <c r="X47" s="137">
        <v>44227</v>
      </c>
      <c r="Y47" s="143" t="s">
        <v>379</v>
      </c>
      <c r="Z47" s="72" t="s">
        <v>378</v>
      </c>
      <c r="AA47" s="41" t="s">
        <v>176</v>
      </c>
      <c r="AB47" s="147">
        <f t="shared" ca="1" si="1"/>
        <v>1.9999999999999997E-2</v>
      </c>
      <c r="AC47" s="147">
        <f t="shared" ca="1" si="2"/>
        <v>0</v>
      </c>
      <c r="AD47" s="233">
        <f t="shared" si="3"/>
        <v>1</v>
      </c>
      <c r="AE47" s="234">
        <f t="shared" si="4"/>
        <v>20</v>
      </c>
      <c r="AF47" s="234">
        <f t="shared" si="5"/>
        <v>82</v>
      </c>
      <c r="AG47" s="235">
        <f t="shared" si="6"/>
        <v>4.0999999999999996</v>
      </c>
      <c r="AH47" s="236">
        <f t="shared" si="7"/>
        <v>8.199999999999999E-2</v>
      </c>
      <c r="AI47" s="235">
        <f t="shared" ca="1" si="8"/>
        <v>-6.1999999999999993E-2</v>
      </c>
      <c r="AJ47" s="186" t="s">
        <v>235</v>
      </c>
    </row>
    <row r="48" spans="1:37" s="3" customFormat="1" ht="35.4" customHeight="1" x14ac:dyDescent="0.2">
      <c r="A48" s="142" t="s">
        <v>43</v>
      </c>
      <c r="B48" s="143" t="s">
        <v>290</v>
      </c>
      <c r="C48" s="142" t="s">
        <v>90</v>
      </c>
      <c r="D48" s="142" t="s">
        <v>97</v>
      </c>
      <c r="E48" s="142" t="s">
        <v>165</v>
      </c>
      <c r="F48" s="144" t="s">
        <v>239</v>
      </c>
      <c r="G48" s="44" t="str">
        <f t="shared" si="0"/>
        <v>Asesor de Control Interno</v>
      </c>
      <c r="H48" s="137">
        <v>44208</v>
      </c>
      <c r="I48" s="137">
        <v>44214</v>
      </c>
      <c r="J48" s="61"/>
      <c r="K48" s="61"/>
      <c r="L48" s="61"/>
      <c r="M48" s="61"/>
      <c r="N48" s="61"/>
      <c r="O48" s="61"/>
      <c r="P48" s="61"/>
      <c r="Q48" s="61"/>
      <c r="R48" s="61"/>
      <c r="S48" s="61"/>
      <c r="T48" s="61"/>
      <c r="U48" s="61"/>
      <c r="V48" s="41" t="s">
        <v>215</v>
      </c>
      <c r="W48" s="208">
        <v>5.0000000000000001E-3</v>
      </c>
      <c r="X48" s="137">
        <v>44222</v>
      </c>
      <c r="Y48" s="72" t="s">
        <v>365</v>
      </c>
      <c r="Z48" s="72" t="s">
        <v>364</v>
      </c>
      <c r="AA48" s="142" t="s">
        <v>182</v>
      </c>
      <c r="AB48" s="147">
        <f t="shared" ca="1" si="1"/>
        <v>5.0000000000000001E-3</v>
      </c>
      <c r="AC48" s="147">
        <f t="shared" ca="1" si="2"/>
        <v>0</v>
      </c>
      <c r="AD48" s="233">
        <f t="shared" si="3"/>
        <v>1</v>
      </c>
      <c r="AE48" s="234">
        <f t="shared" si="4"/>
        <v>6</v>
      </c>
      <c r="AF48" s="234">
        <f t="shared" si="5"/>
        <v>78</v>
      </c>
      <c r="AG48" s="235">
        <f t="shared" si="6"/>
        <v>13</v>
      </c>
      <c r="AH48" s="236">
        <f t="shared" si="7"/>
        <v>6.5000000000000002E-2</v>
      </c>
      <c r="AI48" s="235">
        <f t="shared" ca="1" si="8"/>
        <v>-6.0000000000000005E-2</v>
      </c>
      <c r="AJ48" s="186" t="s">
        <v>235</v>
      </c>
    </row>
    <row r="49" spans="1:36" s="3" customFormat="1" ht="35.4" customHeight="1" x14ac:dyDescent="0.2">
      <c r="A49" s="142" t="s">
        <v>43</v>
      </c>
      <c r="B49" s="143" t="s">
        <v>305</v>
      </c>
      <c r="C49" s="142" t="s">
        <v>90</v>
      </c>
      <c r="D49" s="142" t="s">
        <v>97</v>
      </c>
      <c r="E49" s="142" t="s">
        <v>165</v>
      </c>
      <c r="F49" s="43" t="s">
        <v>239</v>
      </c>
      <c r="G49" s="44" t="str">
        <f t="shared" si="0"/>
        <v>Asesor de Control Interno</v>
      </c>
      <c r="H49" s="137">
        <v>44208</v>
      </c>
      <c r="I49" s="137">
        <v>44235</v>
      </c>
      <c r="J49" s="61"/>
      <c r="K49" s="61"/>
      <c r="L49" s="61"/>
      <c r="M49" s="61"/>
      <c r="N49" s="61"/>
      <c r="O49" s="61"/>
      <c r="P49" s="61"/>
      <c r="Q49" s="61"/>
      <c r="R49" s="61"/>
      <c r="S49" s="61"/>
      <c r="T49" s="61"/>
      <c r="U49" s="61"/>
      <c r="V49" s="41" t="s">
        <v>334</v>
      </c>
      <c r="W49" s="208">
        <v>5.0000000000000001E-3</v>
      </c>
      <c r="X49" s="137">
        <v>44249</v>
      </c>
      <c r="Y49" s="143" t="s">
        <v>368</v>
      </c>
      <c r="Z49" s="72" t="s">
        <v>470</v>
      </c>
      <c r="AA49" s="41" t="s">
        <v>182</v>
      </c>
      <c r="AB49" s="147">
        <f t="shared" ca="1" si="1"/>
        <v>5.0000000000000001E-3</v>
      </c>
      <c r="AC49" s="147">
        <f t="shared" ca="1" si="2"/>
        <v>0</v>
      </c>
      <c r="AD49" s="233">
        <f t="shared" si="3"/>
        <v>2</v>
      </c>
      <c r="AE49" s="234">
        <f t="shared" si="4"/>
        <v>27</v>
      </c>
      <c r="AF49" s="234">
        <f t="shared" si="5"/>
        <v>78</v>
      </c>
      <c r="AG49" s="235">
        <f t="shared" si="6"/>
        <v>2.8888888888888888</v>
      </c>
      <c r="AH49" s="236">
        <f t="shared" si="7"/>
        <v>1.4444444444444444E-2</v>
      </c>
      <c r="AI49" s="235">
        <f t="shared" ca="1" si="8"/>
        <v>-9.4444444444444428E-3</v>
      </c>
      <c r="AJ49" s="186" t="s">
        <v>235</v>
      </c>
    </row>
    <row r="50" spans="1:36" s="3" customFormat="1" ht="35.4" customHeight="1" x14ac:dyDescent="0.2">
      <c r="A50" s="154" t="s">
        <v>50</v>
      </c>
      <c r="B50" s="143" t="s">
        <v>299</v>
      </c>
      <c r="C50" s="142" t="s">
        <v>140</v>
      </c>
      <c r="D50" s="142" t="s">
        <v>100</v>
      </c>
      <c r="E50" s="142" t="s">
        <v>165</v>
      </c>
      <c r="F50" s="43" t="s">
        <v>159</v>
      </c>
      <c r="G50" s="44" t="str">
        <f t="shared" si="0"/>
        <v>Director de Gestión Corporativa y CID</v>
      </c>
      <c r="H50" s="137">
        <v>44208</v>
      </c>
      <c r="I50" s="184">
        <v>44267</v>
      </c>
      <c r="J50" s="61"/>
      <c r="K50" s="61"/>
      <c r="L50" s="61"/>
      <c r="M50" s="61"/>
      <c r="N50" s="61"/>
      <c r="O50" s="61"/>
      <c r="P50" s="61"/>
      <c r="Q50" s="61"/>
      <c r="R50" s="61"/>
      <c r="S50" s="61"/>
      <c r="T50" s="61"/>
      <c r="U50" s="61"/>
      <c r="V50" s="41" t="s">
        <v>123</v>
      </c>
      <c r="W50" s="206">
        <v>2.5000000000000001E-3</v>
      </c>
      <c r="X50" s="137">
        <v>44278</v>
      </c>
      <c r="Y50" s="72" t="s">
        <v>509</v>
      </c>
      <c r="Z50" s="72" t="s">
        <v>492</v>
      </c>
      <c r="AA50" s="41" t="s">
        <v>177</v>
      </c>
      <c r="AB50" s="241">
        <f t="shared" ca="1" si="1"/>
        <v>2.5000000000000005E-3</v>
      </c>
      <c r="AC50" s="147">
        <f t="shared" ca="1" si="2"/>
        <v>0</v>
      </c>
      <c r="AD50" s="233">
        <f t="shared" si="3"/>
        <v>3</v>
      </c>
      <c r="AE50" s="234">
        <f t="shared" si="4"/>
        <v>59</v>
      </c>
      <c r="AF50" s="234">
        <f t="shared" si="5"/>
        <v>78</v>
      </c>
      <c r="AG50" s="235">
        <f t="shared" si="6"/>
        <v>1.3220338983050848</v>
      </c>
      <c r="AH50" s="236">
        <f t="shared" si="7"/>
        <v>3.3050847457627118E-3</v>
      </c>
      <c r="AI50" s="235">
        <f t="shared" ca="1" si="8"/>
        <v>-8.0508474576271132E-4</v>
      </c>
      <c r="AJ50" s="186" t="s">
        <v>235</v>
      </c>
    </row>
    <row r="51" spans="1:36" ht="35.4" customHeight="1" x14ac:dyDescent="0.25">
      <c r="A51" s="142" t="s">
        <v>45</v>
      </c>
      <c r="B51" s="42" t="s">
        <v>354</v>
      </c>
      <c r="C51" s="142" t="s">
        <v>90</v>
      </c>
      <c r="D51" s="142" t="s">
        <v>97</v>
      </c>
      <c r="E51" s="142" t="s">
        <v>165</v>
      </c>
      <c r="F51" s="43" t="s">
        <v>239</v>
      </c>
      <c r="G51" s="44" t="str">
        <f t="shared" si="0"/>
        <v>Asesor de Control Interno</v>
      </c>
      <c r="H51" s="137">
        <v>44210</v>
      </c>
      <c r="I51" s="184">
        <v>44253</v>
      </c>
      <c r="J51" s="61"/>
      <c r="K51" s="61"/>
      <c r="L51" s="61"/>
      <c r="M51" s="61"/>
      <c r="N51" s="61"/>
      <c r="O51" s="61"/>
      <c r="P51" s="61"/>
      <c r="Q51" s="61"/>
      <c r="R51" s="61"/>
      <c r="S51" s="61"/>
      <c r="T51" s="61"/>
      <c r="U51" s="61"/>
      <c r="V51" s="41" t="s">
        <v>334</v>
      </c>
      <c r="W51" s="206">
        <v>5.0000000000000001E-3</v>
      </c>
      <c r="X51" s="137">
        <v>44255</v>
      </c>
      <c r="Y51" s="72" t="s">
        <v>371</v>
      </c>
      <c r="Z51" s="72" t="s">
        <v>456</v>
      </c>
      <c r="AA51" s="41" t="s">
        <v>57</v>
      </c>
      <c r="AB51" s="147">
        <f t="shared" ca="1" si="1"/>
        <v>5.0000000000000001E-3</v>
      </c>
      <c r="AC51" s="147">
        <f t="shared" ca="1" si="2"/>
        <v>0</v>
      </c>
      <c r="AD51" s="233">
        <f t="shared" si="3"/>
        <v>2</v>
      </c>
      <c r="AE51" s="234">
        <f t="shared" si="4"/>
        <v>43</v>
      </c>
      <c r="AF51" s="234">
        <f t="shared" si="5"/>
        <v>76</v>
      </c>
      <c r="AG51" s="235">
        <f t="shared" si="6"/>
        <v>1.7674418604651163</v>
      </c>
      <c r="AH51" s="236">
        <f t="shared" si="7"/>
        <v>8.8372093023255816E-3</v>
      </c>
      <c r="AI51" s="235">
        <f t="shared" ca="1" si="8"/>
        <v>-3.8372093023255815E-3</v>
      </c>
      <c r="AJ51" s="186" t="s">
        <v>235</v>
      </c>
    </row>
    <row r="52" spans="1:36" ht="35.4" customHeight="1" x14ac:dyDescent="0.25">
      <c r="A52" s="142" t="s">
        <v>45</v>
      </c>
      <c r="B52" s="42" t="s">
        <v>355</v>
      </c>
      <c r="C52" s="142" t="s">
        <v>90</v>
      </c>
      <c r="D52" s="142" t="s">
        <v>97</v>
      </c>
      <c r="E52" s="142" t="s">
        <v>165</v>
      </c>
      <c r="F52" s="43" t="s">
        <v>160</v>
      </c>
      <c r="G52" s="44" t="str">
        <f t="shared" si="0"/>
        <v>Asesor de Control Interno</v>
      </c>
      <c r="H52" s="137">
        <v>44210</v>
      </c>
      <c r="I52" s="184">
        <v>44253</v>
      </c>
      <c r="J52" s="61"/>
      <c r="K52" s="61"/>
      <c r="L52" s="61"/>
      <c r="M52" s="61"/>
      <c r="N52" s="61"/>
      <c r="O52" s="61"/>
      <c r="P52" s="61"/>
      <c r="Q52" s="61"/>
      <c r="R52" s="61"/>
      <c r="S52" s="61"/>
      <c r="T52" s="61"/>
      <c r="U52" s="61"/>
      <c r="V52" s="41" t="s">
        <v>334</v>
      </c>
      <c r="W52" s="206">
        <v>5.0000000000000001E-3</v>
      </c>
      <c r="X52" s="137">
        <v>44255</v>
      </c>
      <c r="Y52" s="72" t="s">
        <v>371</v>
      </c>
      <c r="Z52" s="72" t="s">
        <v>456</v>
      </c>
      <c r="AA52" s="142" t="s">
        <v>57</v>
      </c>
      <c r="AB52" s="147">
        <f t="shared" ca="1" si="1"/>
        <v>5.0000000000000001E-3</v>
      </c>
      <c r="AC52" s="147">
        <f t="shared" ca="1" si="2"/>
        <v>0</v>
      </c>
      <c r="AD52" s="233">
        <f t="shared" si="3"/>
        <v>2</v>
      </c>
      <c r="AE52" s="234">
        <f t="shared" si="4"/>
        <v>43</v>
      </c>
      <c r="AF52" s="234">
        <f t="shared" si="5"/>
        <v>76</v>
      </c>
      <c r="AG52" s="235">
        <f t="shared" si="6"/>
        <v>1.7674418604651163</v>
      </c>
      <c r="AH52" s="236">
        <f t="shared" si="7"/>
        <v>8.8372093023255816E-3</v>
      </c>
      <c r="AI52" s="235">
        <f t="shared" ca="1" si="8"/>
        <v>-3.8372093023255815E-3</v>
      </c>
      <c r="AJ52" s="186" t="s">
        <v>235</v>
      </c>
    </row>
    <row r="53" spans="1:36" ht="35.4" customHeight="1" x14ac:dyDescent="0.25">
      <c r="A53" s="154" t="s">
        <v>46</v>
      </c>
      <c r="B53" s="143" t="s">
        <v>350</v>
      </c>
      <c r="C53" s="142" t="s">
        <v>98</v>
      </c>
      <c r="D53" s="142" t="s">
        <v>98</v>
      </c>
      <c r="E53" s="142" t="s">
        <v>165</v>
      </c>
      <c r="F53" s="43" t="s">
        <v>240</v>
      </c>
      <c r="G53" s="44" t="str">
        <f t="shared" si="0"/>
        <v>Líderes de Cada Proceso</v>
      </c>
      <c r="H53" s="137">
        <v>44211</v>
      </c>
      <c r="I53" s="137">
        <v>44242</v>
      </c>
      <c r="J53" s="61"/>
      <c r="K53" s="61"/>
      <c r="L53" s="61"/>
      <c r="M53" s="61"/>
      <c r="N53" s="61"/>
      <c r="O53" s="61"/>
      <c r="P53" s="61"/>
      <c r="Q53" s="61"/>
      <c r="R53" s="61"/>
      <c r="S53" s="61"/>
      <c r="T53" s="61"/>
      <c r="U53" s="61"/>
      <c r="V53" s="41" t="s">
        <v>332</v>
      </c>
      <c r="W53" s="206">
        <v>0.01</v>
      </c>
      <c r="X53" s="137">
        <v>44242</v>
      </c>
      <c r="Y53" s="72" t="s">
        <v>372</v>
      </c>
      <c r="Z53" s="72" t="s">
        <v>421</v>
      </c>
      <c r="AA53" s="142" t="s">
        <v>152</v>
      </c>
      <c r="AB53" s="147">
        <f t="shared" ca="1" si="1"/>
        <v>0.01</v>
      </c>
      <c r="AC53" s="147">
        <f t="shared" ca="1" si="2"/>
        <v>0</v>
      </c>
      <c r="AD53" s="233">
        <f t="shared" si="3"/>
        <v>2</v>
      </c>
      <c r="AE53" s="234">
        <f t="shared" si="4"/>
        <v>31</v>
      </c>
      <c r="AF53" s="234">
        <f t="shared" si="5"/>
        <v>75</v>
      </c>
      <c r="AG53" s="235">
        <f t="shared" si="6"/>
        <v>2.4193548387096775</v>
      </c>
      <c r="AH53" s="236">
        <f t="shared" si="7"/>
        <v>2.4193548387096777E-2</v>
      </c>
      <c r="AI53" s="235">
        <f t="shared" ca="1" si="8"/>
        <v>-1.4193548387096777E-2</v>
      </c>
      <c r="AJ53" s="186" t="s">
        <v>235</v>
      </c>
    </row>
    <row r="54" spans="1:36" ht="35.4" customHeight="1" x14ac:dyDescent="0.25">
      <c r="A54" s="154" t="s">
        <v>44</v>
      </c>
      <c r="B54" s="143" t="s">
        <v>288</v>
      </c>
      <c r="C54" s="142" t="s">
        <v>90</v>
      </c>
      <c r="D54" s="142" t="s">
        <v>97</v>
      </c>
      <c r="E54" s="142" t="s">
        <v>165</v>
      </c>
      <c r="F54" s="43" t="s">
        <v>239</v>
      </c>
      <c r="G54" s="44" t="str">
        <f t="shared" si="0"/>
        <v>Asesor de Control Interno</v>
      </c>
      <c r="H54" s="137">
        <v>44214</v>
      </c>
      <c r="I54" s="137">
        <v>44224</v>
      </c>
      <c r="J54" s="61"/>
      <c r="K54" s="61"/>
      <c r="L54" s="61"/>
      <c r="M54" s="61"/>
      <c r="N54" s="61"/>
      <c r="O54" s="61"/>
      <c r="P54" s="61"/>
      <c r="Q54" s="61"/>
      <c r="R54" s="61"/>
      <c r="S54" s="61"/>
      <c r="T54" s="61"/>
      <c r="U54" s="61"/>
      <c r="V54" s="142" t="s">
        <v>215</v>
      </c>
      <c r="W54" s="206">
        <v>5.0000000000000001E-3</v>
      </c>
      <c r="X54" s="137">
        <v>44222</v>
      </c>
      <c r="Y54" s="72" t="s">
        <v>366</v>
      </c>
      <c r="Z54" s="72" t="s">
        <v>422</v>
      </c>
      <c r="AA54" s="142" t="s">
        <v>176</v>
      </c>
      <c r="AB54" s="147">
        <f t="shared" ca="1" si="1"/>
        <v>4.9999999999999992E-3</v>
      </c>
      <c r="AC54" s="147">
        <f t="shared" ca="1" si="2"/>
        <v>0</v>
      </c>
      <c r="AD54" s="233">
        <f t="shared" si="3"/>
        <v>1</v>
      </c>
      <c r="AE54" s="234">
        <f t="shared" si="4"/>
        <v>10</v>
      </c>
      <c r="AF54" s="234">
        <f t="shared" si="5"/>
        <v>72</v>
      </c>
      <c r="AG54" s="235">
        <f t="shared" si="6"/>
        <v>7.2</v>
      </c>
      <c r="AH54" s="236">
        <f t="shared" si="7"/>
        <v>3.6000000000000004E-2</v>
      </c>
      <c r="AI54" s="235">
        <f t="shared" ca="1" si="8"/>
        <v>-3.1000000000000007E-2</v>
      </c>
      <c r="AJ54" s="186" t="s">
        <v>235</v>
      </c>
    </row>
    <row r="55" spans="1:36" ht="35.4" customHeight="1" x14ac:dyDescent="0.25">
      <c r="A55" s="142" t="s">
        <v>45</v>
      </c>
      <c r="B55" s="42" t="s">
        <v>310</v>
      </c>
      <c r="C55" s="142" t="s">
        <v>90</v>
      </c>
      <c r="D55" s="142" t="s">
        <v>97</v>
      </c>
      <c r="E55" s="142" t="s">
        <v>165</v>
      </c>
      <c r="F55" s="43" t="s">
        <v>239</v>
      </c>
      <c r="G55" s="44" t="str">
        <f t="shared" si="0"/>
        <v>Asesor de Control Interno</v>
      </c>
      <c r="H55" s="137">
        <v>44215</v>
      </c>
      <c r="I55" s="137">
        <v>44222</v>
      </c>
      <c r="J55" s="61"/>
      <c r="K55" s="61"/>
      <c r="L55" s="61"/>
      <c r="M55" s="61"/>
      <c r="N55" s="61"/>
      <c r="O55" s="61"/>
      <c r="P55" s="61"/>
      <c r="Q55" s="61"/>
      <c r="R55" s="61"/>
      <c r="S55" s="61"/>
      <c r="T55" s="61"/>
      <c r="U55" s="61"/>
      <c r="V55" s="41" t="s">
        <v>215</v>
      </c>
      <c r="W55" s="206">
        <v>3.0000000000000001E-3</v>
      </c>
      <c r="X55" s="137">
        <v>44223</v>
      </c>
      <c r="Y55" s="72" t="s">
        <v>367</v>
      </c>
      <c r="Z55" s="72" t="s">
        <v>367</v>
      </c>
      <c r="AA55" s="41" t="s">
        <v>57</v>
      </c>
      <c r="AB55" s="147">
        <f t="shared" ca="1" si="1"/>
        <v>3.0000000000000001E-3</v>
      </c>
      <c r="AC55" s="147">
        <f t="shared" ca="1" si="2"/>
        <v>0</v>
      </c>
      <c r="AD55" s="233">
        <f t="shared" si="3"/>
        <v>1</v>
      </c>
      <c r="AE55" s="234">
        <f t="shared" si="4"/>
        <v>7</v>
      </c>
      <c r="AF55" s="234">
        <f t="shared" si="5"/>
        <v>71</v>
      </c>
      <c r="AG55" s="235">
        <f t="shared" si="6"/>
        <v>10.142857142857142</v>
      </c>
      <c r="AH55" s="236">
        <f t="shared" si="7"/>
        <v>3.0428571428571426E-2</v>
      </c>
      <c r="AI55" s="235">
        <f t="shared" ca="1" si="8"/>
        <v>-2.7428571428571427E-2</v>
      </c>
      <c r="AJ55" s="186" t="s">
        <v>235</v>
      </c>
    </row>
    <row r="56" spans="1:36" ht="35.4" customHeight="1" x14ac:dyDescent="0.25">
      <c r="A56" s="154" t="s">
        <v>46</v>
      </c>
      <c r="B56" s="143" t="s">
        <v>294</v>
      </c>
      <c r="C56" s="142" t="s">
        <v>98</v>
      </c>
      <c r="D56" s="142" t="s">
        <v>98</v>
      </c>
      <c r="E56" s="142" t="s">
        <v>165</v>
      </c>
      <c r="F56" s="43" t="s">
        <v>240</v>
      </c>
      <c r="G56" s="44" t="str">
        <f t="shared" si="0"/>
        <v>Líderes de Cada Proceso</v>
      </c>
      <c r="H56" s="137">
        <v>44215</v>
      </c>
      <c r="I56" s="137">
        <v>44242</v>
      </c>
      <c r="J56" s="61"/>
      <c r="K56" s="61"/>
      <c r="L56" s="61"/>
      <c r="M56" s="61"/>
      <c r="N56" s="61"/>
      <c r="O56" s="61"/>
      <c r="P56" s="61"/>
      <c r="Q56" s="61"/>
      <c r="R56" s="61"/>
      <c r="S56" s="61"/>
      <c r="T56" s="61"/>
      <c r="U56" s="61"/>
      <c r="V56" s="41" t="s">
        <v>123</v>
      </c>
      <c r="W56" s="206">
        <v>2E-3</v>
      </c>
      <c r="X56" s="137">
        <v>44242</v>
      </c>
      <c r="Y56" s="72" t="s">
        <v>372</v>
      </c>
      <c r="Z56" s="72" t="s">
        <v>423</v>
      </c>
      <c r="AA56" s="142" t="s">
        <v>152</v>
      </c>
      <c r="AB56" s="147">
        <f t="shared" ca="1" si="1"/>
        <v>2E-3</v>
      </c>
      <c r="AC56" s="147">
        <f t="shared" ca="1" si="2"/>
        <v>0</v>
      </c>
      <c r="AD56" s="233">
        <f t="shared" si="3"/>
        <v>2</v>
      </c>
      <c r="AE56" s="234">
        <f t="shared" si="4"/>
        <v>27</v>
      </c>
      <c r="AF56" s="234">
        <f t="shared" si="5"/>
        <v>71</v>
      </c>
      <c r="AG56" s="235">
        <f t="shared" si="6"/>
        <v>2.6296296296296298</v>
      </c>
      <c r="AH56" s="236">
        <f t="shared" si="7"/>
        <v>5.2592592592592595E-3</v>
      </c>
      <c r="AI56" s="235">
        <f t="shared" ca="1" si="8"/>
        <v>-3.2592592592592595E-3</v>
      </c>
      <c r="AJ56" s="186" t="s">
        <v>235</v>
      </c>
    </row>
    <row r="57" spans="1:36" ht="35.4" customHeight="1" x14ac:dyDescent="0.25">
      <c r="A57" s="154" t="s">
        <v>46</v>
      </c>
      <c r="B57" s="143" t="s">
        <v>295</v>
      </c>
      <c r="C57" s="142" t="s">
        <v>87</v>
      </c>
      <c r="D57" s="142" t="s">
        <v>96</v>
      </c>
      <c r="E57" s="142" t="s">
        <v>165</v>
      </c>
      <c r="F57" s="43" t="s">
        <v>240</v>
      </c>
      <c r="G57" s="44" t="str">
        <f t="shared" si="0"/>
        <v>Subdirector Administrativo</v>
      </c>
      <c r="H57" s="137">
        <v>44215</v>
      </c>
      <c r="I57" s="137">
        <v>44242</v>
      </c>
      <c r="J57" s="61"/>
      <c r="K57" s="61"/>
      <c r="L57" s="61"/>
      <c r="M57" s="61"/>
      <c r="N57" s="61"/>
      <c r="O57" s="61"/>
      <c r="P57" s="61"/>
      <c r="Q57" s="61"/>
      <c r="R57" s="61"/>
      <c r="S57" s="61"/>
      <c r="T57" s="61"/>
      <c r="U57" s="61"/>
      <c r="V57" s="41" t="s">
        <v>123</v>
      </c>
      <c r="W57" s="206">
        <v>2E-3</v>
      </c>
      <c r="X57" s="137">
        <v>44242</v>
      </c>
      <c r="Y57" s="72" t="s">
        <v>372</v>
      </c>
      <c r="Z57" s="72" t="s">
        <v>395</v>
      </c>
      <c r="AA57" s="142" t="s">
        <v>152</v>
      </c>
      <c r="AB57" s="147">
        <f t="shared" ca="1" si="1"/>
        <v>2E-3</v>
      </c>
      <c r="AC57" s="147">
        <f t="shared" ca="1" si="2"/>
        <v>0</v>
      </c>
      <c r="AD57" s="233">
        <f t="shared" si="3"/>
        <v>2</v>
      </c>
      <c r="AE57" s="234">
        <f t="shared" si="4"/>
        <v>27</v>
      </c>
      <c r="AF57" s="234">
        <f t="shared" si="5"/>
        <v>71</v>
      </c>
      <c r="AG57" s="235">
        <f t="shared" si="6"/>
        <v>2.6296296296296298</v>
      </c>
      <c r="AH57" s="236">
        <f t="shared" si="7"/>
        <v>5.2592592592592595E-3</v>
      </c>
      <c r="AI57" s="235">
        <f t="shared" ca="1" si="8"/>
        <v>-3.2592592592592595E-3</v>
      </c>
      <c r="AJ57" s="186" t="s">
        <v>235</v>
      </c>
    </row>
    <row r="58" spans="1:36" ht="35.4" customHeight="1" x14ac:dyDescent="0.25">
      <c r="A58" s="154" t="s">
        <v>46</v>
      </c>
      <c r="B58" s="143" t="s">
        <v>296</v>
      </c>
      <c r="C58" s="142" t="s">
        <v>87</v>
      </c>
      <c r="D58" s="142" t="s">
        <v>96</v>
      </c>
      <c r="E58" s="142" t="s">
        <v>165</v>
      </c>
      <c r="F58" s="43" t="s">
        <v>240</v>
      </c>
      <c r="G58" s="44" t="str">
        <f t="shared" si="0"/>
        <v>Subdirector Administrativo</v>
      </c>
      <c r="H58" s="137">
        <v>44215</v>
      </c>
      <c r="I58" s="137">
        <v>44242</v>
      </c>
      <c r="J58" s="61"/>
      <c r="K58" s="61"/>
      <c r="L58" s="61"/>
      <c r="M58" s="61"/>
      <c r="N58" s="61"/>
      <c r="O58" s="61"/>
      <c r="P58" s="61"/>
      <c r="Q58" s="61"/>
      <c r="R58" s="61"/>
      <c r="S58" s="61"/>
      <c r="T58" s="61"/>
      <c r="U58" s="61"/>
      <c r="V58" s="41" t="s">
        <v>123</v>
      </c>
      <c r="W58" s="206">
        <v>2E-3</v>
      </c>
      <c r="X58" s="137">
        <v>44242</v>
      </c>
      <c r="Y58" s="72" t="s">
        <v>372</v>
      </c>
      <c r="Z58" s="72" t="s">
        <v>424</v>
      </c>
      <c r="AA58" s="142" t="s">
        <v>152</v>
      </c>
      <c r="AB58" s="147">
        <f t="shared" ca="1" si="1"/>
        <v>2E-3</v>
      </c>
      <c r="AC58" s="147">
        <f t="shared" ca="1" si="2"/>
        <v>0</v>
      </c>
      <c r="AD58" s="233">
        <f t="shared" si="3"/>
        <v>2</v>
      </c>
      <c r="AE58" s="234">
        <f t="shared" si="4"/>
        <v>27</v>
      </c>
      <c r="AF58" s="234">
        <f t="shared" si="5"/>
        <v>71</v>
      </c>
      <c r="AG58" s="235">
        <f t="shared" si="6"/>
        <v>2.6296296296296298</v>
      </c>
      <c r="AH58" s="236">
        <f t="shared" si="7"/>
        <v>5.2592592592592595E-3</v>
      </c>
      <c r="AI58" s="235">
        <f t="shared" ca="1" si="8"/>
        <v>-3.2592592592592595E-3</v>
      </c>
      <c r="AJ58" s="186" t="s">
        <v>235</v>
      </c>
    </row>
    <row r="59" spans="1:36" ht="35.4" customHeight="1" x14ac:dyDescent="0.25">
      <c r="A59" s="154" t="s">
        <v>46</v>
      </c>
      <c r="B59" s="143" t="s">
        <v>298</v>
      </c>
      <c r="C59" s="142" t="s">
        <v>90</v>
      </c>
      <c r="D59" s="142" t="s">
        <v>97</v>
      </c>
      <c r="E59" s="142" t="s">
        <v>165</v>
      </c>
      <c r="F59" s="43" t="s">
        <v>240</v>
      </c>
      <c r="G59" s="44" t="str">
        <f t="shared" si="0"/>
        <v>Asesor de Control Interno</v>
      </c>
      <c r="H59" s="137">
        <v>44215</v>
      </c>
      <c r="I59" s="137">
        <v>44242</v>
      </c>
      <c r="J59" s="61"/>
      <c r="K59" s="61"/>
      <c r="L59" s="61"/>
      <c r="M59" s="61"/>
      <c r="N59" s="61"/>
      <c r="O59" s="61"/>
      <c r="P59" s="61"/>
      <c r="Q59" s="61"/>
      <c r="R59" s="61"/>
      <c r="S59" s="61"/>
      <c r="T59" s="61"/>
      <c r="U59" s="61"/>
      <c r="V59" s="41" t="s">
        <v>123</v>
      </c>
      <c r="W59" s="206">
        <v>2E-3</v>
      </c>
      <c r="X59" s="137">
        <v>44242</v>
      </c>
      <c r="Y59" s="72" t="s">
        <v>372</v>
      </c>
      <c r="Z59" s="72" t="s">
        <v>425</v>
      </c>
      <c r="AA59" s="142" t="s">
        <v>152</v>
      </c>
      <c r="AB59" s="147">
        <f t="shared" ca="1" si="1"/>
        <v>2E-3</v>
      </c>
      <c r="AC59" s="147">
        <f t="shared" ca="1" si="2"/>
        <v>0</v>
      </c>
      <c r="AD59" s="233">
        <f t="shared" si="3"/>
        <v>2</v>
      </c>
      <c r="AE59" s="234">
        <f t="shared" si="4"/>
        <v>27</v>
      </c>
      <c r="AF59" s="234">
        <f t="shared" si="5"/>
        <v>71</v>
      </c>
      <c r="AG59" s="235">
        <f t="shared" si="6"/>
        <v>2.6296296296296298</v>
      </c>
      <c r="AH59" s="236">
        <f t="shared" si="7"/>
        <v>5.2592592592592595E-3</v>
      </c>
      <c r="AI59" s="235">
        <f t="shared" ca="1" si="8"/>
        <v>-3.2592592592592595E-3</v>
      </c>
      <c r="AJ59" s="186" t="s">
        <v>235</v>
      </c>
    </row>
    <row r="60" spans="1:36" ht="35.4" customHeight="1" x14ac:dyDescent="0.25">
      <c r="A60" s="154" t="s">
        <v>46</v>
      </c>
      <c r="B60" s="143" t="s">
        <v>297</v>
      </c>
      <c r="C60" s="142" t="s">
        <v>87</v>
      </c>
      <c r="D60" s="142" t="s">
        <v>96</v>
      </c>
      <c r="E60" s="142" t="s">
        <v>165</v>
      </c>
      <c r="F60" s="43" t="s">
        <v>240</v>
      </c>
      <c r="G60" s="44" t="str">
        <f t="shared" si="0"/>
        <v>Subdirector Administrativo</v>
      </c>
      <c r="H60" s="137">
        <v>44215</v>
      </c>
      <c r="I60" s="137">
        <v>44242</v>
      </c>
      <c r="J60" s="61"/>
      <c r="K60" s="61"/>
      <c r="L60" s="61"/>
      <c r="M60" s="61"/>
      <c r="N60" s="61"/>
      <c r="O60" s="61"/>
      <c r="P60" s="61"/>
      <c r="Q60" s="61"/>
      <c r="R60" s="61"/>
      <c r="S60" s="61"/>
      <c r="T60" s="61"/>
      <c r="U60" s="61"/>
      <c r="V60" s="41" t="s">
        <v>123</v>
      </c>
      <c r="W60" s="206">
        <v>2E-3</v>
      </c>
      <c r="X60" s="137">
        <v>44242</v>
      </c>
      <c r="Y60" s="72" t="s">
        <v>372</v>
      </c>
      <c r="Z60" s="72" t="s">
        <v>426</v>
      </c>
      <c r="AA60" s="142" t="s">
        <v>152</v>
      </c>
      <c r="AB60" s="147">
        <f t="shared" ca="1" si="1"/>
        <v>2E-3</v>
      </c>
      <c r="AC60" s="147">
        <f t="shared" ca="1" si="2"/>
        <v>0</v>
      </c>
      <c r="AD60" s="233">
        <f t="shared" si="3"/>
        <v>2</v>
      </c>
      <c r="AE60" s="234">
        <f t="shared" si="4"/>
        <v>27</v>
      </c>
      <c r="AF60" s="234">
        <f t="shared" si="5"/>
        <v>71</v>
      </c>
      <c r="AG60" s="235">
        <f t="shared" si="6"/>
        <v>2.6296296296296298</v>
      </c>
      <c r="AH60" s="236">
        <f t="shared" si="7"/>
        <v>5.2592592592592595E-3</v>
      </c>
      <c r="AI60" s="235">
        <f t="shared" ca="1" si="8"/>
        <v>-3.2592592592592595E-3</v>
      </c>
      <c r="AJ60" s="186" t="s">
        <v>235</v>
      </c>
    </row>
    <row r="61" spans="1:36" ht="35.4" customHeight="1" x14ac:dyDescent="0.25">
      <c r="A61" s="142" t="s">
        <v>45</v>
      </c>
      <c r="B61" s="42" t="s">
        <v>289</v>
      </c>
      <c r="C61" s="142" t="s">
        <v>90</v>
      </c>
      <c r="D61" s="142" t="s">
        <v>97</v>
      </c>
      <c r="E61" s="142" t="s">
        <v>165</v>
      </c>
      <c r="F61" s="43" t="s">
        <v>239</v>
      </c>
      <c r="G61" s="44" t="str">
        <f t="shared" si="0"/>
        <v>Asesor de Control Interno</v>
      </c>
      <c r="H61" s="137">
        <v>44223</v>
      </c>
      <c r="I61" s="137">
        <v>44229</v>
      </c>
      <c r="J61" s="61"/>
      <c r="K61" s="61"/>
      <c r="L61" s="61"/>
      <c r="M61" s="61"/>
      <c r="N61" s="61"/>
      <c r="O61" s="61"/>
      <c r="P61" s="61"/>
      <c r="Q61" s="61"/>
      <c r="R61" s="61"/>
      <c r="S61" s="61"/>
      <c r="T61" s="61"/>
      <c r="U61" s="61"/>
      <c r="V61" s="41" t="s">
        <v>215</v>
      </c>
      <c r="W61" s="206">
        <v>3.0000000000000001E-3</v>
      </c>
      <c r="X61" s="137">
        <v>44230</v>
      </c>
      <c r="Y61" s="143" t="s">
        <v>396</v>
      </c>
      <c r="Z61" s="72" t="s">
        <v>397</v>
      </c>
      <c r="AA61" s="142" t="s">
        <v>57</v>
      </c>
      <c r="AB61" s="147">
        <f t="shared" ca="1" si="1"/>
        <v>3.0000000000000001E-3</v>
      </c>
      <c r="AC61" s="147">
        <f t="shared" ca="1" si="2"/>
        <v>0</v>
      </c>
      <c r="AD61" s="233">
        <f t="shared" si="3"/>
        <v>2</v>
      </c>
      <c r="AE61" s="234">
        <f t="shared" si="4"/>
        <v>6</v>
      </c>
      <c r="AF61" s="234">
        <f t="shared" si="5"/>
        <v>63</v>
      </c>
      <c r="AG61" s="235">
        <f t="shared" si="6"/>
        <v>10.5</v>
      </c>
      <c r="AH61" s="236">
        <f t="shared" si="7"/>
        <v>3.15E-2</v>
      </c>
      <c r="AI61" s="235">
        <f t="shared" ca="1" si="8"/>
        <v>-2.8500000000000001E-2</v>
      </c>
      <c r="AJ61" s="186" t="s">
        <v>235</v>
      </c>
    </row>
    <row r="62" spans="1:36" ht="35.4" customHeight="1" x14ac:dyDescent="0.25">
      <c r="A62" s="154" t="s">
        <v>46</v>
      </c>
      <c r="B62" s="143" t="s">
        <v>314</v>
      </c>
      <c r="C62" s="142" t="s">
        <v>82</v>
      </c>
      <c r="D62" s="142" t="s">
        <v>100</v>
      </c>
      <c r="E62" s="142" t="s">
        <v>165</v>
      </c>
      <c r="F62" s="43" t="s">
        <v>239</v>
      </c>
      <c r="G62" s="44" t="str">
        <f t="shared" si="0"/>
        <v>Director de Mejoramiento de Barrios</v>
      </c>
      <c r="H62" s="137">
        <v>44224</v>
      </c>
      <c r="I62" s="137">
        <v>44229</v>
      </c>
      <c r="J62" s="61"/>
      <c r="K62" s="61"/>
      <c r="L62" s="61"/>
      <c r="M62" s="61"/>
      <c r="N62" s="61"/>
      <c r="O62" s="61"/>
      <c r="P62" s="61"/>
      <c r="Q62" s="61"/>
      <c r="R62" s="61"/>
      <c r="S62" s="61"/>
      <c r="T62" s="61"/>
      <c r="U62" s="61"/>
      <c r="V62" s="140" t="s">
        <v>317</v>
      </c>
      <c r="W62" s="206">
        <v>1E-3</v>
      </c>
      <c r="X62" s="137">
        <v>44229</v>
      </c>
      <c r="Y62" s="72" t="s">
        <v>374</v>
      </c>
      <c r="Z62" s="72" t="s">
        <v>398</v>
      </c>
      <c r="AA62" s="142" t="s">
        <v>152</v>
      </c>
      <c r="AB62" s="147">
        <f t="shared" ca="1" si="1"/>
        <v>1E-3</v>
      </c>
      <c r="AC62" s="147">
        <f t="shared" ca="1" si="2"/>
        <v>0</v>
      </c>
      <c r="AD62" s="233">
        <f t="shared" si="3"/>
        <v>2</v>
      </c>
      <c r="AE62" s="234">
        <f t="shared" si="4"/>
        <v>5</v>
      </c>
      <c r="AF62" s="234">
        <f t="shared" si="5"/>
        <v>62</v>
      </c>
      <c r="AG62" s="235">
        <f t="shared" si="6"/>
        <v>12.4</v>
      </c>
      <c r="AH62" s="236">
        <f t="shared" si="7"/>
        <v>1.2400000000000001E-2</v>
      </c>
      <c r="AI62" s="235">
        <f t="shared" ca="1" si="8"/>
        <v>-1.14E-2</v>
      </c>
      <c r="AJ62" s="186" t="s">
        <v>235</v>
      </c>
    </row>
    <row r="63" spans="1:36" ht="35.4" customHeight="1" x14ac:dyDescent="0.25">
      <c r="A63" s="142" t="s">
        <v>45</v>
      </c>
      <c r="B63" s="143" t="s">
        <v>114</v>
      </c>
      <c r="C63" s="142" t="s">
        <v>90</v>
      </c>
      <c r="D63" s="142" t="s">
        <v>97</v>
      </c>
      <c r="E63" s="142" t="s">
        <v>165</v>
      </c>
      <c r="F63" s="43" t="s">
        <v>206</v>
      </c>
      <c r="G63" s="44" t="str">
        <f t="shared" si="0"/>
        <v>Asesor de Control Interno</v>
      </c>
      <c r="H63" s="137">
        <v>44228</v>
      </c>
      <c r="I63" s="137">
        <v>44231</v>
      </c>
      <c r="J63" s="61"/>
      <c r="K63" s="61"/>
      <c r="L63" s="61"/>
      <c r="M63" s="61"/>
      <c r="N63" s="61"/>
      <c r="O63" s="61"/>
      <c r="P63" s="61"/>
      <c r="Q63" s="61"/>
      <c r="R63" s="61"/>
      <c r="S63" s="61"/>
      <c r="T63" s="61"/>
      <c r="U63" s="61"/>
      <c r="V63" s="142" t="s">
        <v>202</v>
      </c>
      <c r="W63" s="206">
        <v>3.0000000000000001E-3</v>
      </c>
      <c r="X63" s="137">
        <v>44231</v>
      </c>
      <c r="Y63" s="72" t="s">
        <v>400</v>
      </c>
      <c r="Z63" s="138" t="s">
        <v>401</v>
      </c>
      <c r="AA63" s="142" t="s">
        <v>57</v>
      </c>
      <c r="AB63" s="147">
        <f t="shared" ca="1" si="1"/>
        <v>3.0000000000000001E-3</v>
      </c>
      <c r="AC63" s="147">
        <f t="shared" ca="1" si="2"/>
        <v>0</v>
      </c>
      <c r="AD63" s="233">
        <f t="shared" si="3"/>
        <v>2</v>
      </c>
      <c r="AE63" s="234">
        <f t="shared" si="4"/>
        <v>3</v>
      </c>
      <c r="AF63" s="234">
        <f t="shared" si="5"/>
        <v>58</v>
      </c>
      <c r="AG63" s="235">
        <f t="shared" si="6"/>
        <v>19.333333333333332</v>
      </c>
      <c r="AH63" s="236">
        <f t="shared" si="7"/>
        <v>5.7999999999999996E-2</v>
      </c>
      <c r="AI63" s="235">
        <f t="shared" ca="1" si="8"/>
        <v>-5.4999999999999993E-2</v>
      </c>
      <c r="AJ63" s="186" t="s">
        <v>235</v>
      </c>
    </row>
    <row r="64" spans="1:36" ht="35.4" customHeight="1" x14ac:dyDescent="0.25">
      <c r="A64" s="154" t="s">
        <v>46</v>
      </c>
      <c r="B64" s="143" t="s">
        <v>93</v>
      </c>
      <c r="C64" s="142" t="s">
        <v>141</v>
      </c>
      <c r="D64" s="142" t="s">
        <v>96</v>
      </c>
      <c r="E64" s="142" t="s">
        <v>165</v>
      </c>
      <c r="F64" s="144" t="s">
        <v>240</v>
      </c>
      <c r="G64" s="44" t="str">
        <f t="shared" si="0"/>
        <v>Director de Gestión Corporativa y CID</v>
      </c>
      <c r="H64" s="137">
        <v>44228</v>
      </c>
      <c r="I64" s="137">
        <v>44236</v>
      </c>
      <c r="J64" s="61"/>
      <c r="K64" s="61"/>
      <c r="L64" s="61"/>
      <c r="M64" s="61"/>
      <c r="N64" s="61"/>
      <c r="O64" s="61"/>
      <c r="P64" s="61"/>
      <c r="Q64" s="61"/>
      <c r="R64" s="61"/>
      <c r="S64" s="61"/>
      <c r="T64" s="61"/>
      <c r="U64" s="61"/>
      <c r="V64" s="142" t="s">
        <v>332</v>
      </c>
      <c r="W64" s="206">
        <v>1E-3</v>
      </c>
      <c r="X64" s="137">
        <v>44237</v>
      </c>
      <c r="Y64" s="72" t="s">
        <v>403</v>
      </c>
      <c r="Z64" s="143" t="s">
        <v>427</v>
      </c>
      <c r="AA64" s="142" t="s">
        <v>152</v>
      </c>
      <c r="AB64" s="147">
        <f t="shared" ca="1" si="1"/>
        <v>1E-3</v>
      </c>
      <c r="AC64" s="147">
        <f t="shared" ca="1" si="2"/>
        <v>0</v>
      </c>
      <c r="AD64" s="233">
        <f t="shared" si="3"/>
        <v>2</v>
      </c>
      <c r="AE64" s="234">
        <f t="shared" si="4"/>
        <v>8</v>
      </c>
      <c r="AF64" s="234">
        <f t="shared" si="5"/>
        <v>58</v>
      </c>
      <c r="AG64" s="235">
        <f t="shared" si="6"/>
        <v>7.25</v>
      </c>
      <c r="AH64" s="236">
        <f t="shared" si="7"/>
        <v>7.2500000000000004E-3</v>
      </c>
      <c r="AI64" s="235">
        <f t="shared" ca="1" si="8"/>
        <v>-6.2500000000000003E-3</v>
      </c>
      <c r="AJ64" s="186" t="s">
        <v>235</v>
      </c>
    </row>
    <row r="65" spans="1:36" ht="35.4" customHeight="1" x14ac:dyDescent="0.25">
      <c r="A65" s="154" t="s">
        <v>44</v>
      </c>
      <c r="B65" s="143" t="s">
        <v>92</v>
      </c>
      <c r="C65" s="142" t="s">
        <v>89</v>
      </c>
      <c r="D65" s="142" t="s">
        <v>96</v>
      </c>
      <c r="E65" s="142" t="s">
        <v>165</v>
      </c>
      <c r="F65" s="43" t="s">
        <v>203</v>
      </c>
      <c r="G65" s="44" t="str">
        <f t="shared" si="0"/>
        <v>Subdirector Financiero</v>
      </c>
      <c r="H65" s="137">
        <v>44228</v>
      </c>
      <c r="I65" s="137">
        <v>44236</v>
      </c>
      <c r="J65" s="61"/>
      <c r="K65" s="61"/>
      <c r="L65" s="61"/>
      <c r="M65" s="61"/>
      <c r="N65" s="61"/>
      <c r="O65" s="61"/>
      <c r="P65" s="61"/>
      <c r="Q65" s="61"/>
      <c r="R65" s="61"/>
      <c r="S65" s="61"/>
      <c r="T65" s="61"/>
      <c r="U65" s="61"/>
      <c r="V65" s="142" t="s">
        <v>123</v>
      </c>
      <c r="W65" s="206">
        <v>1E-3</v>
      </c>
      <c r="X65" s="137">
        <v>44237</v>
      </c>
      <c r="Y65" s="72" t="s">
        <v>405</v>
      </c>
      <c r="Z65" s="72" t="s">
        <v>276</v>
      </c>
      <c r="AA65" s="142" t="s">
        <v>176</v>
      </c>
      <c r="AB65" s="147">
        <f t="shared" ca="1" si="1"/>
        <v>9.999999999999998E-4</v>
      </c>
      <c r="AC65" s="147">
        <f t="shared" ca="1" si="2"/>
        <v>0</v>
      </c>
      <c r="AD65" s="233">
        <f t="shared" si="3"/>
        <v>2</v>
      </c>
      <c r="AE65" s="234">
        <f t="shared" si="4"/>
        <v>8</v>
      </c>
      <c r="AF65" s="234">
        <f t="shared" si="5"/>
        <v>58</v>
      </c>
      <c r="AG65" s="235">
        <f t="shared" si="6"/>
        <v>7.25</v>
      </c>
      <c r="AH65" s="236">
        <f t="shared" si="7"/>
        <v>7.2500000000000004E-3</v>
      </c>
      <c r="AI65" s="235">
        <f t="shared" ca="1" si="8"/>
        <v>-6.2500000000000003E-3</v>
      </c>
      <c r="AJ65" s="186" t="s">
        <v>235</v>
      </c>
    </row>
    <row r="66" spans="1:36" ht="35.4" customHeight="1" x14ac:dyDescent="0.25">
      <c r="A66" s="142" t="s">
        <v>47</v>
      </c>
      <c r="B66" s="146" t="s">
        <v>192</v>
      </c>
      <c r="C66" s="142" t="s">
        <v>90</v>
      </c>
      <c r="D66" s="142" t="s">
        <v>97</v>
      </c>
      <c r="E66" s="142" t="s">
        <v>165</v>
      </c>
      <c r="F66" s="43" t="s">
        <v>263</v>
      </c>
      <c r="G66" s="44" t="str">
        <f t="shared" si="0"/>
        <v>Asesor de Control Interno</v>
      </c>
      <c r="H66" s="137">
        <v>44228</v>
      </c>
      <c r="I66" s="137">
        <v>44540</v>
      </c>
      <c r="J66" s="61"/>
      <c r="K66" s="61"/>
      <c r="L66" s="61"/>
      <c r="M66" s="61"/>
      <c r="N66" s="61"/>
      <c r="O66" s="61"/>
      <c r="P66" s="61"/>
      <c r="Q66" s="61"/>
      <c r="R66" s="61"/>
      <c r="S66" s="61"/>
      <c r="T66" s="61"/>
      <c r="U66" s="61"/>
      <c r="V66" s="142" t="s">
        <v>215</v>
      </c>
      <c r="W66" s="208">
        <v>7.4999999999999997E-3</v>
      </c>
      <c r="X66" s="207"/>
      <c r="Y66" s="72"/>
      <c r="Z66" s="72"/>
      <c r="AA66" s="41"/>
      <c r="AB66" s="70">
        <f t="shared" ref="AB66:AB71" ca="1" si="9">IF(ISERROR(VLOOKUP(AA66,INDIRECT(VLOOKUP(A66,ACTA,2,0)&amp;"A"),2,0))=TRUE,0,W66*(VLOOKUP(AA66,INDIRECT(VLOOKUP(A66,ACTA,2,0)&amp;"A"),2,0)))</f>
        <v>0</v>
      </c>
      <c r="AC66" s="70">
        <f t="shared" ca="1" si="2"/>
        <v>7.4999999999999997E-3</v>
      </c>
      <c r="AD66" s="233">
        <f t="shared" si="3"/>
        <v>12</v>
      </c>
      <c r="AE66" s="234">
        <f t="shared" si="4"/>
        <v>312</v>
      </c>
      <c r="AF66" s="234">
        <f t="shared" si="5"/>
        <v>58</v>
      </c>
      <c r="AG66" s="235">
        <f t="shared" si="6"/>
        <v>0.1858974358974359</v>
      </c>
      <c r="AH66" s="236">
        <f t="shared" si="7"/>
        <v>1.3942307692307691E-3</v>
      </c>
      <c r="AI66" s="235">
        <f t="shared" ca="1" si="8"/>
        <v>-1.3942307692307691E-3</v>
      </c>
      <c r="AJ66" s="237"/>
    </row>
    <row r="67" spans="1:36" ht="35.4" customHeight="1" x14ac:dyDescent="0.25">
      <c r="A67" s="142" t="s">
        <v>47</v>
      </c>
      <c r="B67" s="146" t="s">
        <v>192</v>
      </c>
      <c r="C67" s="142" t="s">
        <v>90</v>
      </c>
      <c r="D67" s="142" t="s">
        <v>97</v>
      </c>
      <c r="E67" s="142" t="s">
        <v>165</v>
      </c>
      <c r="F67" s="144" t="s">
        <v>159</v>
      </c>
      <c r="G67" s="44" t="str">
        <f t="shared" si="0"/>
        <v>Asesor de Control Interno</v>
      </c>
      <c r="H67" s="137">
        <v>44228</v>
      </c>
      <c r="I67" s="137">
        <v>44540</v>
      </c>
      <c r="J67" s="61"/>
      <c r="K67" s="61"/>
      <c r="L67" s="61"/>
      <c r="M67" s="61"/>
      <c r="N67" s="61"/>
      <c r="O67" s="61"/>
      <c r="P67" s="61"/>
      <c r="Q67" s="61"/>
      <c r="R67" s="61"/>
      <c r="S67" s="61"/>
      <c r="T67" s="61"/>
      <c r="U67" s="61"/>
      <c r="V67" s="41" t="s">
        <v>215</v>
      </c>
      <c r="W67" s="208">
        <v>7.4999999999999997E-3</v>
      </c>
      <c r="X67" s="207"/>
      <c r="Y67" s="72" t="s">
        <v>493</v>
      </c>
      <c r="Z67" s="72" t="s">
        <v>493</v>
      </c>
      <c r="AA67" s="41"/>
      <c r="AB67" s="70">
        <f t="shared" ca="1" si="9"/>
        <v>0</v>
      </c>
      <c r="AC67" s="70">
        <f t="shared" ca="1" si="2"/>
        <v>7.4999999999999997E-3</v>
      </c>
      <c r="AD67" s="233">
        <f t="shared" si="3"/>
        <v>12</v>
      </c>
      <c r="AE67" s="234">
        <f t="shared" si="4"/>
        <v>312</v>
      </c>
      <c r="AF67" s="234">
        <f t="shared" si="5"/>
        <v>58</v>
      </c>
      <c r="AG67" s="235">
        <f t="shared" si="6"/>
        <v>0.1858974358974359</v>
      </c>
      <c r="AH67" s="236">
        <f t="shared" si="7"/>
        <v>1.3942307692307691E-3</v>
      </c>
      <c r="AI67" s="235">
        <f t="shared" ca="1" si="8"/>
        <v>-1.3942307692307691E-3</v>
      </c>
      <c r="AJ67" s="237"/>
    </row>
    <row r="68" spans="1:36" ht="35.4" customHeight="1" x14ac:dyDescent="0.25">
      <c r="A68" s="154" t="s">
        <v>45</v>
      </c>
      <c r="B68" s="143" t="s">
        <v>356</v>
      </c>
      <c r="C68" s="142" t="s">
        <v>90</v>
      </c>
      <c r="D68" s="142" t="s">
        <v>97</v>
      </c>
      <c r="E68" s="142" t="s">
        <v>165</v>
      </c>
      <c r="F68" s="144" t="s">
        <v>203</v>
      </c>
      <c r="G68" s="44" t="str">
        <f t="shared" si="0"/>
        <v>Asesor de Control Interno</v>
      </c>
      <c r="H68" s="137">
        <v>44230</v>
      </c>
      <c r="I68" s="137">
        <v>44249</v>
      </c>
      <c r="J68" s="61"/>
      <c r="K68" s="61"/>
      <c r="L68" s="61"/>
      <c r="M68" s="61"/>
      <c r="N68" s="61"/>
      <c r="O68" s="61"/>
      <c r="P68" s="61"/>
      <c r="Q68" s="61"/>
      <c r="R68" s="61"/>
      <c r="S68" s="61"/>
      <c r="T68" s="61"/>
      <c r="U68" s="61"/>
      <c r="V68" s="41" t="s">
        <v>332</v>
      </c>
      <c r="W68" s="206">
        <v>1E-3</v>
      </c>
      <c r="X68" s="137">
        <v>44245</v>
      </c>
      <c r="Y68" s="72" t="s">
        <v>428</v>
      </c>
      <c r="Z68" s="72" t="s">
        <v>406</v>
      </c>
      <c r="AA68" s="142" t="s">
        <v>57</v>
      </c>
      <c r="AB68" s="147">
        <f t="shared" ca="1" si="9"/>
        <v>1E-3</v>
      </c>
      <c r="AC68" s="147">
        <f t="shared" ca="1" si="2"/>
        <v>0</v>
      </c>
      <c r="AD68" s="233">
        <f t="shared" si="3"/>
        <v>2</v>
      </c>
      <c r="AE68" s="234">
        <f t="shared" si="4"/>
        <v>19</v>
      </c>
      <c r="AF68" s="234">
        <f t="shared" si="5"/>
        <v>56</v>
      </c>
      <c r="AG68" s="235">
        <f t="shared" si="6"/>
        <v>2.9473684210526314</v>
      </c>
      <c r="AH68" s="236">
        <f t="shared" si="7"/>
        <v>2.9473684210526317E-3</v>
      </c>
      <c r="AI68" s="235">
        <f t="shared" ca="1" si="8"/>
        <v>-1.9473684210526317E-3</v>
      </c>
      <c r="AJ68" s="186" t="s">
        <v>235</v>
      </c>
    </row>
    <row r="69" spans="1:36" ht="35.4" customHeight="1" x14ac:dyDescent="0.25">
      <c r="A69" s="154" t="s">
        <v>44</v>
      </c>
      <c r="B69" s="72" t="s">
        <v>312</v>
      </c>
      <c r="C69" s="142" t="s">
        <v>89</v>
      </c>
      <c r="D69" s="142" t="s">
        <v>96</v>
      </c>
      <c r="E69" s="142" t="s">
        <v>165</v>
      </c>
      <c r="F69" s="43" t="s">
        <v>240</v>
      </c>
      <c r="G69" s="44" t="str">
        <f t="shared" si="0"/>
        <v>Subdirector Financiero</v>
      </c>
      <c r="H69" s="184">
        <v>44237</v>
      </c>
      <c r="I69" s="184">
        <v>44251</v>
      </c>
      <c r="J69" s="61"/>
      <c r="K69" s="61"/>
      <c r="L69" s="61"/>
      <c r="M69" s="61"/>
      <c r="N69" s="61"/>
      <c r="O69" s="61"/>
      <c r="P69" s="61"/>
      <c r="Q69" s="61"/>
      <c r="R69" s="61"/>
      <c r="S69" s="61"/>
      <c r="T69" s="61"/>
      <c r="U69" s="61"/>
      <c r="V69" s="142" t="s">
        <v>123</v>
      </c>
      <c r="W69" s="206">
        <v>0.01</v>
      </c>
      <c r="X69" s="137">
        <v>44253</v>
      </c>
      <c r="Y69" s="72" t="s">
        <v>409</v>
      </c>
      <c r="Z69" s="72" t="s">
        <v>457</v>
      </c>
      <c r="AA69" s="142" t="s">
        <v>176</v>
      </c>
      <c r="AB69" s="147">
        <f t="shared" ca="1" si="9"/>
        <v>9.9999999999999985E-3</v>
      </c>
      <c r="AC69" s="147">
        <f t="shared" ca="1" si="2"/>
        <v>0</v>
      </c>
      <c r="AD69" s="233">
        <f t="shared" si="3"/>
        <v>2</v>
      </c>
      <c r="AE69" s="234">
        <f t="shared" si="4"/>
        <v>14</v>
      </c>
      <c r="AF69" s="234">
        <f t="shared" si="5"/>
        <v>49</v>
      </c>
      <c r="AG69" s="235">
        <f t="shared" si="6"/>
        <v>3.5</v>
      </c>
      <c r="AH69" s="236">
        <f t="shared" si="7"/>
        <v>3.5000000000000003E-2</v>
      </c>
      <c r="AI69" s="235">
        <f t="shared" ca="1" si="8"/>
        <v>-2.5000000000000005E-2</v>
      </c>
      <c r="AJ69" s="186" t="s">
        <v>235</v>
      </c>
    </row>
    <row r="70" spans="1:36" ht="35.4" customHeight="1" x14ac:dyDescent="0.25">
      <c r="A70" s="154" t="s">
        <v>44</v>
      </c>
      <c r="B70" s="72" t="s">
        <v>312</v>
      </c>
      <c r="C70" s="142" t="s">
        <v>89</v>
      </c>
      <c r="D70" s="142" t="s">
        <v>96</v>
      </c>
      <c r="E70" s="142" t="s">
        <v>165</v>
      </c>
      <c r="F70" s="144" t="s">
        <v>159</v>
      </c>
      <c r="G70" s="44" t="str">
        <f t="shared" si="0"/>
        <v>Subdirector Financiero</v>
      </c>
      <c r="H70" s="184">
        <v>44237</v>
      </c>
      <c r="I70" s="184">
        <v>44251</v>
      </c>
      <c r="J70" s="61"/>
      <c r="K70" s="61"/>
      <c r="L70" s="61"/>
      <c r="M70" s="61"/>
      <c r="N70" s="61"/>
      <c r="O70" s="61"/>
      <c r="P70" s="61"/>
      <c r="Q70" s="61"/>
      <c r="R70" s="61"/>
      <c r="S70" s="61"/>
      <c r="T70" s="61"/>
      <c r="U70" s="61"/>
      <c r="V70" s="41" t="s">
        <v>123</v>
      </c>
      <c r="W70" s="206">
        <v>0.01</v>
      </c>
      <c r="X70" s="137">
        <v>44253</v>
      </c>
      <c r="Y70" s="72" t="s">
        <v>409</v>
      </c>
      <c r="Z70" s="72" t="s">
        <v>457</v>
      </c>
      <c r="AA70" s="142" t="s">
        <v>176</v>
      </c>
      <c r="AB70" s="147">
        <f t="shared" ca="1" si="9"/>
        <v>9.9999999999999985E-3</v>
      </c>
      <c r="AC70" s="147">
        <f t="shared" ca="1" si="2"/>
        <v>0</v>
      </c>
      <c r="AD70" s="233">
        <f t="shared" si="3"/>
        <v>2</v>
      </c>
      <c r="AE70" s="234">
        <f t="shared" si="4"/>
        <v>14</v>
      </c>
      <c r="AF70" s="234">
        <f t="shared" si="5"/>
        <v>49</v>
      </c>
      <c r="AG70" s="235">
        <f t="shared" si="6"/>
        <v>3.5</v>
      </c>
      <c r="AH70" s="236">
        <f t="shared" si="7"/>
        <v>3.5000000000000003E-2</v>
      </c>
      <c r="AI70" s="235">
        <f t="shared" ca="1" si="8"/>
        <v>-2.5000000000000005E-2</v>
      </c>
      <c r="AJ70" s="186" t="s">
        <v>235</v>
      </c>
    </row>
    <row r="71" spans="1:36" ht="35.4" customHeight="1" x14ac:dyDescent="0.25">
      <c r="A71" s="142" t="s">
        <v>43</v>
      </c>
      <c r="B71" s="143" t="s">
        <v>305</v>
      </c>
      <c r="C71" s="142" t="s">
        <v>90</v>
      </c>
      <c r="D71" s="142" t="s">
        <v>97</v>
      </c>
      <c r="E71" s="142" t="s">
        <v>165</v>
      </c>
      <c r="F71" s="144" t="s">
        <v>239</v>
      </c>
      <c r="G71" s="44" t="str">
        <f t="shared" si="0"/>
        <v>Asesor de Control Interno</v>
      </c>
      <c r="H71" s="137">
        <v>44241</v>
      </c>
      <c r="I71" s="137">
        <v>44260</v>
      </c>
      <c r="J71" s="61"/>
      <c r="K71" s="61"/>
      <c r="L71" s="61"/>
      <c r="M71" s="61"/>
      <c r="N71" s="61"/>
      <c r="O71" s="61"/>
      <c r="P71" s="61"/>
      <c r="Q71" s="61"/>
      <c r="R71" s="61"/>
      <c r="S71" s="61"/>
      <c r="T71" s="61"/>
      <c r="U71" s="61"/>
      <c r="V71" s="41" t="s">
        <v>334</v>
      </c>
      <c r="W71" s="208">
        <v>5.0000000000000001E-3</v>
      </c>
      <c r="X71" s="137"/>
      <c r="Y71" s="143" t="s">
        <v>431</v>
      </c>
      <c r="Z71" s="72" t="s">
        <v>512</v>
      </c>
      <c r="AA71" s="41" t="s">
        <v>175</v>
      </c>
      <c r="AB71" s="240">
        <f t="shared" ca="1" si="9"/>
        <v>4.5500000000000002E-3</v>
      </c>
      <c r="AC71" s="239">
        <f t="shared" ca="1" si="2"/>
        <v>4.4999999999999988E-4</v>
      </c>
      <c r="AD71" s="233">
        <f t="shared" ref="AD71" si="10">MONTH(I71)</f>
        <v>3</v>
      </c>
      <c r="AE71" s="234">
        <f>+I71-H71</f>
        <v>19</v>
      </c>
      <c r="AF71" s="234">
        <f>+$AF$18-H71</f>
        <v>45</v>
      </c>
      <c r="AG71" s="235">
        <f>+AF71/AE71</f>
        <v>2.3684210526315788</v>
      </c>
      <c r="AH71" s="236">
        <f>+AG71*W71</f>
        <v>1.1842105263157893E-2</v>
      </c>
      <c r="AI71" s="235">
        <f ca="1">+AB71-AH71</f>
        <v>-7.2921052631578932E-3</v>
      </c>
      <c r="AJ71" s="232" t="s">
        <v>508</v>
      </c>
    </row>
    <row r="72" spans="1:36" ht="35.4" customHeight="1" x14ac:dyDescent="0.25">
      <c r="A72" s="154" t="s">
        <v>46</v>
      </c>
      <c r="B72" s="143" t="s">
        <v>219</v>
      </c>
      <c r="C72" s="142" t="s">
        <v>89</v>
      </c>
      <c r="D72" s="142" t="s">
        <v>96</v>
      </c>
      <c r="E72" s="142" t="s">
        <v>165</v>
      </c>
      <c r="F72" s="144" t="s">
        <v>240</v>
      </c>
      <c r="G72" s="44" t="str">
        <f t="shared" si="0"/>
        <v>Subdirector Financiero</v>
      </c>
      <c r="H72" s="137">
        <v>44250</v>
      </c>
      <c r="I72" s="137">
        <v>44253</v>
      </c>
      <c r="J72" s="61"/>
      <c r="K72" s="61"/>
      <c r="L72" s="61"/>
      <c r="M72" s="61"/>
      <c r="N72" s="61"/>
      <c r="O72" s="61"/>
      <c r="P72" s="61"/>
      <c r="Q72" s="61"/>
      <c r="R72" s="61"/>
      <c r="S72" s="61"/>
      <c r="T72" s="61"/>
      <c r="U72" s="61"/>
      <c r="V72" s="142" t="s">
        <v>332</v>
      </c>
      <c r="W72" s="206">
        <v>2E-3</v>
      </c>
      <c r="X72" s="137">
        <v>44253</v>
      </c>
      <c r="Y72" s="79" t="s">
        <v>410</v>
      </c>
      <c r="Z72" s="72" t="s">
        <v>457</v>
      </c>
      <c r="AA72" s="142" t="s">
        <v>152</v>
      </c>
      <c r="AB72" s="147">
        <f t="shared" ref="AB72:AB104" ca="1" si="11">IF(ISERROR(VLOOKUP(AA72,INDIRECT(VLOOKUP(A72,ACTA,2,0)&amp;"A"),2,0))=TRUE,0,W72*(VLOOKUP(AA72,INDIRECT(VLOOKUP(A72,ACTA,2,0)&amp;"A"),2,0)))</f>
        <v>2E-3</v>
      </c>
      <c r="AC72" s="147">
        <f t="shared" ca="1" si="2"/>
        <v>0</v>
      </c>
      <c r="AD72" s="233">
        <f t="shared" ref="AD72:AD135" si="12">MONTH(I72)</f>
        <v>2</v>
      </c>
      <c r="AE72" s="234">
        <f t="shared" ref="AE72:AE135" si="13">+I72-H72</f>
        <v>3</v>
      </c>
      <c r="AF72" s="234">
        <f t="shared" ref="AF72:AF135" si="14">+$AF$18-H72</f>
        <v>36</v>
      </c>
      <c r="AG72" s="235">
        <f t="shared" ref="AG72:AG135" si="15">+AF72/AE72</f>
        <v>12</v>
      </c>
      <c r="AH72" s="236">
        <f t="shared" ref="AH72:AH135" si="16">+AG72*W72</f>
        <v>2.4E-2</v>
      </c>
      <c r="AI72" s="235">
        <f t="shared" ref="AI72:AI135" ca="1" si="17">+AB72-AH72</f>
        <v>-2.1999999999999999E-2</v>
      </c>
      <c r="AJ72" s="186" t="s">
        <v>235</v>
      </c>
    </row>
    <row r="73" spans="1:36" ht="35.4" customHeight="1" x14ac:dyDescent="0.25">
      <c r="A73" s="154" t="s">
        <v>46</v>
      </c>
      <c r="B73" s="143" t="s">
        <v>313</v>
      </c>
      <c r="C73" s="142" t="s">
        <v>89</v>
      </c>
      <c r="D73" s="142" t="s">
        <v>96</v>
      </c>
      <c r="E73" s="142" t="s">
        <v>165</v>
      </c>
      <c r="F73" s="43" t="s">
        <v>240</v>
      </c>
      <c r="G73" s="44" t="str">
        <f t="shared" si="0"/>
        <v>Subdirector Financiero</v>
      </c>
      <c r="H73" s="137">
        <v>44250</v>
      </c>
      <c r="I73" s="137">
        <v>44253</v>
      </c>
      <c r="J73" s="61"/>
      <c r="K73" s="61"/>
      <c r="L73" s="61"/>
      <c r="M73" s="61"/>
      <c r="N73" s="61"/>
      <c r="O73" s="61"/>
      <c r="P73" s="61"/>
      <c r="Q73" s="61"/>
      <c r="R73" s="61"/>
      <c r="S73" s="61"/>
      <c r="T73" s="61"/>
      <c r="U73" s="61"/>
      <c r="V73" s="41" t="s">
        <v>332</v>
      </c>
      <c r="W73" s="206">
        <v>2E-3</v>
      </c>
      <c r="X73" s="137">
        <v>44253</v>
      </c>
      <c r="Y73" s="80" t="s">
        <v>407</v>
      </c>
      <c r="Z73" s="72" t="s">
        <v>457</v>
      </c>
      <c r="AA73" s="142" t="s">
        <v>152</v>
      </c>
      <c r="AB73" s="147">
        <f t="shared" ca="1" si="11"/>
        <v>2E-3</v>
      </c>
      <c r="AC73" s="147">
        <f t="shared" ca="1" si="2"/>
        <v>0</v>
      </c>
      <c r="AD73" s="233">
        <f t="shared" si="12"/>
        <v>2</v>
      </c>
      <c r="AE73" s="234">
        <f t="shared" si="13"/>
        <v>3</v>
      </c>
      <c r="AF73" s="234">
        <f t="shared" si="14"/>
        <v>36</v>
      </c>
      <c r="AG73" s="235">
        <f t="shared" si="15"/>
        <v>12</v>
      </c>
      <c r="AH73" s="236">
        <f t="shared" si="16"/>
        <v>2.4E-2</v>
      </c>
      <c r="AI73" s="235">
        <f t="shared" ca="1" si="17"/>
        <v>-2.1999999999999999E-2</v>
      </c>
      <c r="AJ73" s="186" t="s">
        <v>235</v>
      </c>
    </row>
    <row r="74" spans="1:36" ht="35.4" customHeight="1" x14ac:dyDescent="0.25">
      <c r="A74" s="142" t="s">
        <v>45</v>
      </c>
      <c r="B74" s="143" t="s">
        <v>289</v>
      </c>
      <c r="C74" s="142" t="s">
        <v>90</v>
      </c>
      <c r="D74" s="142" t="s">
        <v>97</v>
      </c>
      <c r="E74" s="142" t="s">
        <v>165</v>
      </c>
      <c r="F74" s="43" t="s">
        <v>239</v>
      </c>
      <c r="G74" s="44" t="str">
        <f t="shared" si="0"/>
        <v>Asesor de Control Interno</v>
      </c>
      <c r="H74" s="137">
        <v>44251</v>
      </c>
      <c r="I74" s="137">
        <v>44257</v>
      </c>
      <c r="J74" s="61"/>
      <c r="K74" s="61"/>
      <c r="L74" s="61"/>
      <c r="M74" s="61"/>
      <c r="N74" s="61"/>
      <c r="O74" s="61"/>
      <c r="P74" s="61"/>
      <c r="Q74" s="61"/>
      <c r="R74" s="61"/>
      <c r="S74" s="61"/>
      <c r="T74" s="61"/>
      <c r="U74" s="61"/>
      <c r="V74" s="41" t="s">
        <v>215</v>
      </c>
      <c r="W74" s="206">
        <v>3.0000000000000001E-3</v>
      </c>
      <c r="X74" s="137">
        <v>44258</v>
      </c>
      <c r="Y74" s="143" t="s">
        <v>396</v>
      </c>
      <c r="Z74" s="72" t="s">
        <v>490</v>
      </c>
      <c r="AA74" s="41" t="s">
        <v>57</v>
      </c>
      <c r="AB74" s="241">
        <f t="shared" ca="1" si="11"/>
        <v>3.0000000000000001E-3</v>
      </c>
      <c r="AC74" s="147">
        <f t="shared" ca="1" si="2"/>
        <v>0</v>
      </c>
      <c r="AD74" s="233">
        <f t="shared" si="12"/>
        <v>3</v>
      </c>
      <c r="AE74" s="234">
        <f t="shared" si="13"/>
        <v>6</v>
      </c>
      <c r="AF74" s="234">
        <f t="shared" si="14"/>
        <v>35</v>
      </c>
      <c r="AG74" s="235">
        <f t="shared" si="15"/>
        <v>5.833333333333333</v>
      </c>
      <c r="AH74" s="236">
        <f t="shared" si="16"/>
        <v>1.7499999999999998E-2</v>
      </c>
      <c r="AI74" s="235">
        <f t="shared" ca="1" si="17"/>
        <v>-1.4499999999999999E-2</v>
      </c>
      <c r="AJ74" s="186" t="s">
        <v>235</v>
      </c>
    </row>
    <row r="75" spans="1:36" ht="35.4" customHeight="1" x14ac:dyDescent="0.25">
      <c r="A75" s="154" t="s">
        <v>46</v>
      </c>
      <c r="B75" s="143" t="s">
        <v>314</v>
      </c>
      <c r="C75" s="142" t="s">
        <v>82</v>
      </c>
      <c r="D75" s="142" t="s">
        <v>100</v>
      </c>
      <c r="E75" s="142" t="s">
        <v>165</v>
      </c>
      <c r="F75" s="43" t="s">
        <v>239</v>
      </c>
      <c r="G75" s="44" t="str">
        <f t="shared" si="0"/>
        <v>Director de Mejoramiento de Barrios</v>
      </c>
      <c r="H75" s="137">
        <v>44252</v>
      </c>
      <c r="I75" s="137">
        <v>44257</v>
      </c>
      <c r="J75" s="61"/>
      <c r="K75" s="61"/>
      <c r="L75" s="61"/>
      <c r="M75" s="61"/>
      <c r="N75" s="61"/>
      <c r="O75" s="61"/>
      <c r="P75" s="61"/>
      <c r="Q75" s="61"/>
      <c r="R75" s="61"/>
      <c r="S75" s="61"/>
      <c r="T75" s="61"/>
      <c r="U75" s="61"/>
      <c r="V75" s="140" t="s">
        <v>317</v>
      </c>
      <c r="W75" s="206">
        <v>1E-3</v>
      </c>
      <c r="X75" s="137">
        <v>44260</v>
      </c>
      <c r="Y75" s="72" t="s">
        <v>429</v>
      </c>
      <c r="Z75" s="72" t="s">
        <v>501</v>
      </c>
      <c r="AA75" s="41" t="s">
        <v>152</v>
      </c>
      <c r="AB75" s="241">
        <f t="shared" ca="1" si="11"/>
        <v>1E-3</v>
      </c>
      <c r="AC75" s="147">
        <f t="shared" ca="1" si="2"/>
        <v>0</v>
      </c>
      <c r="AD75" s="233">
        <f t="shared" si="12"/>
        <v>3</v>
      </c>
      <c r="AE75" s="234">
        <f t="shared" si="13"/>
        <v>5</v>
      </c>
      <c r="AF75" s="234">
        <f t="shared" si="14"/>
        <v>34</v>
      </c>
      <c r="AG75" s="235">
        <f t="shared" si="15"/>
        <v>6.8</v>
      </c>
      <c r="AH75" s="236">
        <f t="shared" si="16"/>
        <v>6.7999999999999996E-3</v>
      </c>
      <c r="AI75" s="235">
        <f t="shared" ca="1" si="17"/>
        <v>-5.7999999999999996E-3</v>
      </c>
      <c r="AJ75" s="186" t="s">
        <v>235</v>
      </c>
    </row>
    <row r="76" spans="1:36" ht="35.4" customHeight="1" x14ac:dyDescent="0.25">
      <c r="A76" s="154" t="s">
        <v>44</v>
      </c>
      <c r="B76" s="143" t="s">
        <v>331</v>
      </c>
      <c r="C76" s="142" t="s">
        <v>98</v>
      </c>
      <c r="D76" s="142" t="s">
        <v>98</v>
      </c>
      <c r="E76" s="142" t="s">
        <v>165</v>
      </c>
      <c r="F76" s="145" t="s">
        <v>239</v>
      </c>
      <c r="G76" s="44" t="str">
        <f t="shared" si="0"/>
        <v>Líderes de Cada Proceso</v>
      </c>
      <c r="H76" s="184">
        <v>44252</v>
      </c>
      <c r="I76" s="184">
        <v>44280</v>
      </c>
      <c r="J76" s="61"/>
      <c r="K76" s="61"/>
      <c r="L76" s="61"/>
      <c r="M76" s="61"/>
      <c r="N76" s="61"/>
      <c r="O76" s="61"/>
      <c r="P76" s="61"/>
      <c r="Q76" s="61"/>
      <c r="R76" s="61"/>
      <c r="S76" s="61"/>
      <c r="T76" s="61"/>
      <c r="U76" s="61"/>
      <c r="V76" s="142" t="s">
        <v>332</v>
      </c>
      <c r="W76" s="206">
        <v>0.02</v>
      </c>
      <c r="X76" s="137">
        <v>44280</v>
      </c>
      <c r="Y76" s="80" t="s">
        <v>407</v>
      </c>
      <c r="Z76" s="72" t="s">
        <v>500</v>
      </c>
      <c r="AA76" s="142" t="s">
        <v>176</v>
      </c>
      <c r="AB76" s="241">
        <f t="shared" ca="1" si="11"/>
        <v>1.9999999999999997E-2</v>
      </c>
      <c r="AC76" s="147">
        <f t="shared" ca="1" si="2"/>
        <v>0</v>
      </c>
      <c r="AD76" s="233">
        <f t="shared" si="12"/>
        <v>3</v>
      </c>
      <c r="AE76" s="234">
        <f t="shared" si="13"/>
        <v>28</v>
      </c>
      <c r="AF76" s="234">
        <f t="shared" si="14"/>
        <v>34</v>
      </c>
      <c r="AG76" s="235">
        <f t="shared" si="15"/>
        <v>1.2142857142857142</v>
      </c>
      <c r="AH76" s="236">
        <f t="shared" si="16"/>
        <v>2.4285714285714285E-2</v>
      </c>
      <c r="AI76" s="235">
        <f t="shared" ca="1" si="17"/>
        <v>-4.2857142857142885E-3</v>
      </c>
      <c r="AJ76" s="186" t="s">
        <v>235</v>
      </c>
    </row>
    <row r="77" spans="1:36" ht="35.4" customHeight="1" x14ac:dyDescent="0.25">
      <c r="A77" s="142" t="s">
        <v>45</v>
      </c>
      <c r="B77" s="143" t="s">
        <v>114</v>
      </c>
      <c r="C77" s="142" t="s">
        <v>90</v>
      </c>
      <c r="D77" s="142" t="s">
        <v>97</v>
      </c>
      <c r="E77" s="142" t="s">
        <v>165</v>
      </c>
      <c r="F77" s="144" t="s">
        <v>239</v>
      </c>
      <c r="G77" s="44" t="str">
        <f t="shared" si="0"/>
        <v>Asesor de Control Interno</v>
      </c>
      <c r="H77" s="137">
        <v>44257</v>
      </c>
      <c r="I77" s="137">
        <v>44259</v>
      </c>
      <c r="J77" s="61"/>
      <c r="K77" s="61"/>
      <c r="L77" s="61"/>
      <c r="M77" s="61"/>
      <c r="N77" s="61"/>
      <c r="O77" s="61"/>
      <c r="P77" s="61"/>
      <c r="Q77" s="61"/>
      <c r="R77" s="61"/>
      <c r="S77" s="61"/>
      <c r="T77" s="61"/>
      <c r="U77" s="61"/>
      <c r="V77" s="142" t="s">
        <v>202</v>
      </c>
      <c r="W77" s="206">
        <v>3.0000000000000001E-3</v>
      </c>
      <c r="X77" s="137">
        <v>44263</v>
      </c>
      <c r="Y77" s="72" t="s">
        <v>498</v>
      </c>
      <c r="Z77" s="72" t="s">
        <v>499</v>
      </c>
      <c r="AA77" s="142" t="s">
        <v>57</v>
      </c>
      <c r="AB77" s="241">
        <f t="shared" ca="1" si="11"/>
        <v>3.0000000000000001E-3</v>
      </c>
      <c r="AC77" s="147">
        <f t="shared" ca="1" si="2"/>
        <v>0</v>
      </c>
      <c r="AD77" s="233">
        <f t="shared" si="12"/>
        <v>3</v>
      </c>
      <c r="AE77" s="234">
        <f t="shared" si="13"/>
        <v>2</v>
      </c>
      <c r="AF77" s="234">
        <f t="shared" si="14"/>
        <v>29</v>
      </c>
      <c r="AG77" s="235">
        <f t="shared" si="15"/>
        <v>14.5</v>
      </c>
      <c r="AH77" s="236">
        <f t="shared" si="16"/>
        <v>4.3500000000000004E-2</v>
      </c>
      <c r="AI77" s="235">
        <f t="shared" ca="1" si="17"/>
        <v>-4.0500000000000001E-2</v>
      </c>
      <c r="AJ77" s="186" t="s">
        <v>235</v>
      </c>
    </row>
    <row r="78" spans="1:36" ht="35.4" customHeight="1" x14ac:dyDescent="0.25">
      <c r="A78" s="154" t="s">
        <v>46</v>
      </c>
      <c r="B78" s="143" t="s">
        <v>93</v>
      </c>
      <c r="C78" s="142" t="s">
        <v>89</v>
      </c>
      <c r="D78" s="142" t="s">
        <v>96</v>
      </c>
      <c r="E78" s="142" t="s">
        <v>165</v>
      </c>
      <c r="F78" s="144" t="s">
        <v>240</v>
      </c>
      <c r="G78" s="44" t="str">
        <f t="shared" si="0"/>
        <v>Subdirector Financiero</v>
      </c>
      <c r="H78" s="137">
        <v>44257</v>
      </c>
      <c r="I78" s="137">
        <v>44264</v>
      </c>
      <c r="J78" s="61"/>
      <c r="K78" s="61"/>
      <c r="L78" s="61"/>
      <c r="M78" s="61"/>
      <c r="N78" s="61"/>
      <c r="O78" s="61"/>
      <c r="P78" s="61"/>
      <c r="Q78" s="61"/>
      <c r="R78" s="61"/>
      <c r="S78" s="61"/>
      <c r="T78" s="61"/>
      <c r="U78" s="61"/>
      <c r="V78" s="41" t="s">
        <v>332</v>
      </c>
      <c r="W78" s="206">
        <v>1E-3</v>
      </c>
      <c r="X78" s="137">
        <v>44264</v>
      </c>
      <c r="Y78" s="72" t="s">
        <v>513</v>
      </c>
      <c r="Z78" s="72" t="s">
        <v>514</v>
      </c>
      <c r="AA78" s="142" t="s">
        <v>152</v>
      </c>
      <c r="AB78" s="241">
        <f t="shared" ca="1" si="11"/>
        <v>1E-3</v>
      </c>
      <c r="AC78" s="147">
        <f t="shared" ca="1" si="2"/>
        <v>0</v>
      </c>
      <c r="AD78" s="233">
        <f t="shared" si="12"/>
        <v>3</v>
      </c>
      <c r="AE78" s="234">
        <f t="shared" si="13"/>
        <v>7</v>
      </c>
      <c r="AF78" s="234">
        <f t="shared" si="14"/>
        <v>29</v>
      </c>
      <c r="AG78" s="235">
        <f t="shared" si="15"/>
        <v>4.1428571428571432</v>
      </c>
      <c r="AH78" s="236">
        <f t="shared" si="16"/>
        <v>4.1428571428571434E-3</v>
      </c>
      <c r="AI78" s="235">
        <f t="shared" ca="1" si="17"/>
        <v>-3.1428571428571434E-3</v>
      </c>
      <c r="AJ78" s="186" t="s">
        <v>235</v>
      </c>
    </row>
    <row r="79" spans="1:36" ht="35.4" customHeight="1" x14ac:dyDescent="0.25">
      <c r="A79" s="154" t="s">
        <v>44</v>
      </c>
      <c r="B79" s="143" t="s">
        <v>92</v>
      </c>
      <c r="C79" s="142" t="s">
        <v>89</v>
      </c>
      <c r="D79" s="142" t="s">
        <v>96</v>
      </c>
      <c r="E79" s="142" t="s">
        <v>165</v>
      </c>
      <c r="F79" s="144" t="s">
        <v>203</v>
      </c>
      <c r="G79" s="44" t="str">
        <f t="shared" si="0"/>
        <v>Subdirector Financiero</v>
      </c>
      <c r="H79" s="137">
        <v>44257</v>
      </c>
      <c r="I79" s="137">
        <v>44264</v>
      </c>
      <c r="J79" s="61"/>
      <c r="K79" s="61"/>
      <c r="L79" s="61"/>
      <c r="M79" s="61"/>
      <c r="N79" s="61"/>
      <c r="O79" s="61"/>
      <c r="P79" s="61"/>
      <c r="Q79" s="61"/>
      <c r="R79" s="61"/>
      <c r="S79" s="61"/>
      <c r="T79" s="61"/>
      <c r="U79" s="61"/>
      <c r="V79" s="41" t="s">
        <v>123</v>
      </c>
      <c r="W79" s="206">
        <v>1E-3</v>
      </c>
      <c r="X79" s="137">
        <v>44264</v>
      </c>
      <c r="Y79" s="143" t="s">
        <v>502</v>
      </c>
      <c r="Z79" s="72" t="s">
        <v>502</v>
      </c>
      <c r="AA79" s="142" t="s">
        <v>176</v>
      </c>
      <c r="AB79" s="241">
        <f t="shared" ca="1" si="11"/>
        <v>9.999999999999998E-4</v>
      </c>
      <c r="AC79" s="147">
        <f t="shared" ca="1" si="2"/>
        <v>0</v>
      </c>
      <c r="AD79" s="233">
        <f t="shared" si="12"/>
        <v>3</v>
      </c>
      <c r="AE79" s="234">
        <f t="shared" si="13"/>
        <v>7</v>
      </c>
      <c r="AF79" s="234">
        <f t="shared" si="14"/>
        <v>29</v>
      </c>
      <c r="AG79" s="235">
        <f t="shared" si="15"/>
        <v>4.1428571428571432</v>
      </c>
      <c r="AH79" s="236">
        <f t="shared" si="16"/>
        <v>4.1428571428571434E-3</v>
      </c>
      <c r="AI79" s="235">
        <f t="shared" ca="1" si="17"/>
        <v>-3.1428571428571434E-3</v>
      </c>
      <c r="AJ79" s="186" t="s">
        <v>235</v>
      </c>
    </row>
    <row r="80" spans="1:36" ht="35.4" customHeight="1" x14ac:dyDescent="0.25">
      <c r="A80" s="142" t="s">
        <v>47</v>
      </c>
      <c r="B80" s="146" t="s">
        <v>309</v>
      </c>
      <c r="C80" s="142" t="s">
        <v>98</v>
      </c>
      <c r="D80" s="142" t="s">
        <v>98</v>
      </c>
      <c r="E80" s="142" t="s">
        <v>165</v>
      </c>
      <c r="F80" s="144" t="s">
        <v>263</v>
      </c>
      <c r="G80" s="44" t="str">
        <f t="shared" si="0"/>
        <v>Líderes de Cada Proceso</v>
      </c>
      <c r="H80" s="184">
        <v>44257</v>
      </c>
      <c r="I80" s="184">
        <v>44272</v>
      </c>
      <c r="J80" s="61"/>
      <c r="K80" s="61"/>
      <c r="L80" s="61"/>
      <c r="M80" s="61"/>
      <c r="N80" s="61"/>
      <c r="O80" s="61"/>
      <c r="P80" s="61"/>
      <c r="Q80" s="61"/>
      <c r="R80" s="61"/>
      <c r="S80" s="61"/>
      <c r="T80" s="61"/>
      <c r="U80" s="61"/>
      <c r="V80" s="142" t="s">
        <v>215</v>
      </c>
      <c r="W80" s="208">
        <v>0.03</v>
      </c>
      <c r="X80" s="137">
        <v>44284</v>
      </c>
      <c r="Y80" s="72" t="s">
        <v>504</v>
      </c>
      <c r="Z80" s="72" t="s">
        <v>517</v>
      </c>
      <c r="AA80" s="142" t="s">
        <v>176</v>
      </c>
      <c r="AB80" s="241">
        <f t="shared" ca="1" si="11"/>
        <v>2.9999999999999995E-2</v>
      </c>
      <c r="AC80" s="147">
        <f t="shared" ca="1" si="2"/>
        <v>0</v>
      </c>
      <c r="AD80" s="233">
        <f t="shared" si="12"/>
        <v>3</v>
      </c>
      <c r="AE80" s="234">
        <f t="shared" si="13"/>
        <v>15</v>
      </c>
      <c r="AF80" s="234">
        <f t="shared" si="14"/>
        <v>29</v>
      </c>
      <c r="AG80" s="235">
        <f t="shared" si="15"/>
        <v>1.9333333333333333</v>
      </c>
      <c r="AH80" s="236">
        <f t="shared" si="16"/>
        <v>5.7999999999999996E-2</v>
      </c>
      <c r="AI80" s="235">
        <f t="shared" ca="1" si="17"/>
        <v>-2.8000000000000001E-2</v>
      </c>
      <c r="AJ80" s="186" t="s">
        <v>235</v>
      </c>
    </row>
    <row r="81" spans="1:36" ht="35.4" customHeight="1" x14ac:dyDescent="0.25">
      <c r="A81" s="142" t="s">
        <v>51</v>
      </c>
      <c r="B81" s="143" t="s">
        <v>323</v>
      </c>
      <c r="C81" s="142" t="s">
        <v>98</v>
      </c>
      <c r="D81" s="142" t="s">
        <v>98</v>
      </c>
      <c r="E81" s="142" t="s">
        <v>165</v>
      </c>
      <c r="F81" s="43" t="s">
        <v>263</v>
      </c>
      <c r="G81" s="44" t="str">
        <f t="shared" si="0"/>
        <v>Líderes de Cada Proceso</v>
      </c>
      <c r="H81" s="184">
        <v>44257</v>
      </c>
      <c r="I81" s="137">
        <v>44301</v>
      </c>
      <c r="J81" s="61"/>
      <c r="K81" s="61"/>
      <c r="L81" s="61"/>
      <c r="M81" s="61"/>
      <c r="N81" s="61"/>
      <c r="O81" s="61"/>
      <c r="P81" s="61"/>
      <c r="Q81" s="61"/>
      <c r="R81" s="61"/>
      <c r="S81" s="61"/>
      <c r="T81" s="61"/>
      <c r="U81" s="61"/>
      <c r="V81" s="41" t="s">
        <v>123</v>
      </c>
      <c r="W81" s="206">
        <v>5.0000000000000001E-3</v>
      </c>
      <c r="X81" s="137"/>
      <c r="Y81" s="72" t="s">
        <v>528</v>
      </c>
      <c r="Z81" s="72" t="s">
        <v>528</v>
      </c>
      <c r="AA81" s="41"/>
      <c r="AB81" s="242">
        <f ca="1">IF(ISERROR(VLOOKUP(AA81,INDIRECT(VLOOKUP(A81,ACTA,2,0)&amp;"A"),2,0))=TRUE,0,W81*(VLOOKUP(AA81,INDIRECT(VLOOKUP(A81,ACTA,2,0)&amp;"A"),2,0)))</f>
        <v>0</v>
      </c>
      <c r="AC81" s="242">
        <f ca="1">+W81-AB81</f>
        <v>5.0000000000000001E-3</v>
      </c>
      <c r="AD81" s="233">
        <f t="shared" si="12"/>
        <v>4</v>
      </c>
      <c r="AE81" s="234">
        <f t="shared" si="13"/>
        <v>44</v>
      </c>
      <c r="AF81" s="234">
        <f t="shared" si="14"/>
        <v>29</v>
      </c>
      <c r="AG81" s="235">
        <f t="shared" si="15"/>
        <v>0.65909090909090906</v>
      </c>
      <c r="AH81" s="236">
        <f t="shared" si="16"/>
        <v>3.2954545454545454E-3</v>
      </c>
      <c r="AI81" s="235">
        <f ca="1">+AB81-AH81</f>
        <v>-3.2954545454545454E-3</v>
      </c>
      <c r="AJ81" s="190" t="s">
        <v>430</v>
      </c>
    </row>
    <row r="82" spans="1:36" ht="35.4" customHeight="1" x14ac:dyDescent="0.25">
      <c r="A82" s="154" t="s">
        <v>44</v>
      </c>
      <c r="B82" s="143" t="s">
        <v>327</v>
      </c>
      <c r="C82" s="142" t="s">
        <v>73</v>
      </c>
      <c r="D82" s="142" t="s">
        <v>95</v>
      </c>
      <c r="E82" s="142" t="s">
        <v>165</v>
      </c>
      <c r="F82" s="43" t="s">
        <v>160</v>
      </c>
      <c r="G82" s="44" t="str">
        <f t="shared" si="0"/>
        <v xml:space="preserve">Jefe Oficina Asesora de Planeación </v>
      </c>
      <c r="H82" s="137">
        <v>44257</v>
      </c>
      <c r="I82" s="137">
        <v>44314</v>
      </c>
      <c r="J82" s="61"/>
      <c r="K82" s="61"/>
      <c r="L82" s="61"/>
      <c r="M82" s="61"/>
      <c r="N82" s="61"/>
      <c r="O82" s="61"/>
      <c r="P82" s="61"/>
      <c r="Q82" s="61"/>
      <c r="R82" s="61"/>
      <c r="S82" s="61"/>
      <c r="T82" s="61"/>
      <c r="U82" s="61"/>
      <c r="V82" s="142" t="s">
        <v>123</v>
      </c>
      <c r="W82" s="206">
        <v>0.01</v>
      </c>
      <c r="X82" s="137"/>
      <c r="Y82" s="72" t="s">
        <v>532</v>
      </c>
      <c r="Z82" s="72" t="s">
        <v>533</v>
      </c>
      <c r="AA82" s="41" t="s">
        <v>172</v>
      </c>
      <c r="AB82" s="152">
        <f t="shared" ca="1" si="11"/>
        <v>4.8999999999999998E-3</v>
      </c>
      <c r="AC82" s="152">
        <f t="shared" ca="1" si="2"/>
        <v>5.1000000000000004E-3</v>
      </c>
      <c r="AD82" s="233">
        <f t="shared" si="12"/>
        <v>4</v>
      </c>
      <c r="AE82" s="234">
        <f t="shared" si="13"/>
        <v>57</v>
      </c>
      <c r="AF82" s="234">
        <f t="shared" si="14"/>
        <v>29</v>
      </c>
      <c r="AG82" s="235">
        <f t="shared" si="15"/>
        <v>0.50877192982456143</v>
      </c>
      <c r="AH82" s="236">
        <f t="shared" si="16"/>
        <v>5.0877192982456141E-3</v>
      </c>
      <c r="AI82" s="235">
        <f t="shared" ca="1" si="17"/>
        <v>-1.8771929824561422E-4</v>
      </c>
      <c r="AJ82" s="188" t="s">
        <v>408</v>
      </c>
    </row>
    <row r="83" spans="1:36" ht="35.4" customHeight="1" x14ac:dyDescent="0.25">
      <c r="A83" s="154" t="s">
        <v>44</v>
      </c>
      <c r="B83" s="143" t="s">
        <v>211</v>
      </c>
      <c r="C83" s="142" t="s">
        <v>79</v>
      </c>
      <c r="D83" s="142" t="s">
        <v>95</v>
      </c>
      <c r="E83" s="142" t="s">
        <v>165</v>
      </c>
      <c r="F83" s="43" t="s">
        <v>160</v>
      </c>
      <c r="G83" s="44" t="str">
        <f t="shared" ref="G83:G146" si="18">IF(LEN(C83)&gt;0,VLOOKUP(C83,PROCESO2,3,0),"")</f>
        <v>Jefe Oficina de Tecnologías de la Información y las Comunicaciones</v>
      </c>
      <c r="H83" s="137">
        <v>44263</v>
      </c>
      <c r="I83" s="137">
        <v>44274</v>
      </c>
      <c r="J83" s="61"/>
      <c r="K83" s="61"/>
      <c r="L83" s="61"/>
      <c r="M83" s="61"/>
      <c r="N83" s="61"/>
      <c r="O83" s="61"/>
      <c r="P83" s="61"/>
      <c r="Q83" s="61"/>
      <c r="R83" s="61"/>
      <c r="S83" s="61"/>
      <c r="T83" s="61"/>
      <c r="U83" s="61"/>
      <c r="V83" s="142" t="s">
        <v>202</v>
      </c>
      <c r="W83" s="206">
        <v>5.0000000000000001E-3</v>
      </c>
      <c r="X83" s="137">
        <v>44270</v>
      </c>
      <c r="Y83" s="72" t="s">
        <v>503</v>
      </c>
      <c r="Z83" s="143" t="s">
        <v>511</v>
      </c>
      <c r="AA83" s="142" t="s">
        <v>176</v>
      </c>
      <c r="AB83" s="241">
        <f t="shared" ca="1" si="11"/>
        <v>4.9999999999999992E-3</v>
      </c>
      <c r="AC83" s="147">
        <f t="shared" ref="AC83:AC146" ca="1" si="19">+W83-AB83</f>
        <v>0</v>
      </c>
      <c r="AD83" s="233">
        <f t="shared" si="12"/>
        <v>3</v>
      </c>
      <c r="AE83" s="234">
        <f t="shared" si="13"/>
        <v>11</v>
      </c>
      <c r="AF83" s="234">
        <f t="shared" si="14"/>
        <v>23</v>
      </c>
      <c r="AG83" s="235">
        <f t="shared" si="15"/>
        <v>2.0909090909090908</v>
      </c>
      <c r="AH83" s="236">
        <f t="shared" si="16"/>
        <v>1.0454545454545454E-2</v>
      </c>
      <c r="AI83" s="235">
        <f t="shared" ca="1" si="17"/>
        <v>-5.454545454545455E-3</v>
      </c>
      <c r="AJ83" s="186" t="s">
        <v>235</v>
      </c>
    </row>
    <row r="84" spans="1:36" ht="35.4" customHeight="1" x14ac:dyDescent="0.25">
      <c r="A84" s="142" t="s">
        <v>45</v>
      </c>
      <c r="B84" s="146" t="s">
        <v>210</v>
      </c>
      <c r="C84" s="142" t="s">
        <v>90</v>
      </c>
      <c r="D84" s="142" t="s">
        <v>97</v>
      </c>
      <c r="E84" s="142" t="s">
        <v>165</v>
      </c>
      <c r="F84" s="144" t="s">
        <v>239</v>
      </c>
      <c r="G84" s="44" t="str">
        <f t="shared" si="18"/>
        <v>Asesor de Control Interno</v>
      </c>
      <c r="H84" s="137">
        <v>44263</v>
      </c>
      <c r="I84" s="137">
        <v>44274</v>
      </c>
      <c r="J84" s="61"/>
      <c r="K84" s="61"/>
      <c r="L84" s="61"/>
      <c r="M84" s="61"/>
      <c r="N84" s="61"/>
      <c r="O84" s="61"/>
      <c r="P84" s="61"/>
      <c r="Q84" s="61"/>
      <c r="R84" s="61"/>
      <c r="S84" s="61"/>
      <c r="T84" s="61"/>
      <c r="U84" s="61"/>
      <c r="V84" s="41" t="s">
        <v>202</v>
      </c>
      <c r="W84" s="206">
        <v>5.0000000000000001E-3</v>
      </c>
      <c r="X84" s="137"/>
      <c r="Y84" s="72"/>
      <c r="Z84" s="72" t="s">
        <v>510</v>
      </c>
      <c r="AA84" s="142" t="s">
        <v>59</v>
      </c>
      <c r="AB84" s="240">
        <f t="shared" ca="1" si="11"/>
        <v>5.0000000000000001E-4</v>
      </c>
      <c r="AC84" s="239">
        <f t="shared" ca="1" si="19"/>
        <v>4.5000000000000005E-3</v>
      </c>
      <c r="AD84" s="233">
        <f t="shared" si="12"/>
        <v>3</v>
      </c>
      <c r="AE84" s="234">
        <f t="shared" si="13"/>
        <v>11</v>
      </c>
      <c r="AF84" s="234">
        <f t="shared" si="14"/>
        <v>23</v>
      </c>
      <c r="AG84" s="235">
        <f t="shared" si="15"/>
        <v>2.0909090909090908</v>
      </c>
      <c r="AH84" s="236">
        <f t="shared" si="16"/>
        <v>1.0454545454545454E-2</v>
      </c>
      <c r="AI84" s="235">
        <f t="shared" ca="1" si="17"/>
        <v>-9.9545454545454538E-3</v>
      </c>
      <c r="AJ84" s="232" t="s">
        <v>508</v>
      </c>
    </row>
    <row r="85" spans="1:36" ht="35.4" customHeight="1" x14ac:dyDescent="0.25">
      <c r="A85" s="142" t="s">
        <v>50</v>
      </c>
      <c r="B85" s="143" t="s">
        <v>319</v>
      </c>
      <c r="C85" s="142" t="s">
        <v>81</v>
      </c>
      <c r="D85" s="142" t="s">
        <v>100</v>
      </c>
      <c r="E85" s="142" t="s">
        <v>165</v>
      </c>
      <c r="F85" s="144" t="s">
        <v>263</v>
      </c>
      <c r="G85" s="44" t="str">
        <f t="shared" si="18"/>
        <v>Director de Urbanizaciones y Titulación</v>
      </c>
      <c r="H85" s="184">
        <v>44270</v>
      </c>
      <c r="I85" s="184">
        <v>44280</v>
      </c>
      <c r="J85" s="61"/>
      <c r="K85" s="61"/>
      <c r="L85" s="61"/>
      <c r="M85" s="61"/>
      <c r="N85" s="61"/>
      <c r="O85" s="61"/>
      <c r="P85" s="61"/>
      <c r="Q85" s="61"/>
      <c r="R85" s="61"/>
      <c r="S85" s="61"/>
      <c r="T85" s="61"/>
      <c r="U85" s="61"/>
      <c r="V85" s="142" t="s">
        <v>123</v>
      </c>
      <c r="W85" s="206">
        <v>3.7499999999999999E-3</v>
      </c>
      <c r="X85" s="137"/>
      <c r="Y85" s="72" t="s">
        <v>506</v>
      </c>
      <c r="Z85" s="72" t="s">
        <v>505</v>
      </c>
      <c r="AA85" s="142" t="s">
        <v>110</v>
      </c>
      <c r="AB85" s="240">
        <f t="shared" ca="1" si="11"/>
        <v>2.6999999999999997E-3</v>
      </c>
      <c r="AC85" s="239">
        <f t="shared" ca="1" si="19"/>
        <v>1.0500000000000002E-3</v>
      </c>
      <c r="AD85" s="233">
        <f t="shared" si="12"/>
        <v>3</v>
      </c>
      <c r="AE85" s="234">
        <f t="shared" si="13"/>
        <v>10</v>
      </c>
      <c r="AF85" s="234">
        <f t="shared" si="14"/>
        <v>16</v>
      </c>
      <c r="AG85" s="235">
        <f t="shared" si="15"/>
        <v>1.6</v>
      </c>
      <c r="AH85" s="236">
        <f t="shared" si="16"/>
        <v>6.0000000000000001E-3</v>
      </c>
      <c r="AI85" s="235">
        <f t="shared" ca="1" si="17"/>
        <v>-3.3000000000000004E-3</v>
      </c>
      <c r="AJ85" s="232" t="s">
        <v>508</v>
      </c>
    </row>
    <row r="86" spans="1:36" ht="35.4" customHeight="1" x14ac:dyDescent="0.25">
      <c r="A86" s="45" t="s">
        <v>50</v>
      </c>
      <c r="B86" s="143" t="s">
        <v>218</v>
      </c>
      <c r="C86" s="67" t="s">
        <v>141</v>
      </c>
      <c r="D86" s="45" t="s">
        <v>96</v>
      </c>
      <c r="E86" s="142" t="s">
        <v>165</v>
      </c>
      <c r="F86" s="43" t="s">
        <v>160</v>
      </c>
      <c r="G86" s="44" t="str">
        <f t="shared" si="18"/>
        <v>Director de Gestión Corporativa y CID</v>
      </c>
      <c r="H86" s="184">
        <v>44270</v>
      </c>
      <c r="I86" s="184">
        <v>44291</v>
      </c>
      <c r="J86" s="61"/>
      <c r="K86" s="61"/>
      <c r="L86" s="61"/>
      <c r="M86" s="61"/>
      <c r="N86" s="61"/>
      <c r="O86" s="61"/>
      <c r="P86" s="61"/>
      <c r="Q86" s="61"/>
      <c r="R86" s="61"/>
      <c r="S86" s="61"/>
      <c r="T86" s="61"/>
      <c r="U86" s="61"/>
      <c r="V86" s="142" t="s">
        <v>123</v>
      </c>
      <c r="W86" s="206">
        <v>5.0000000000000001E-3</v>
      </c>
      <c r="X86" s="137"/>
      <c r="Y86" s="72" t="s">
        <v>523</v>
      </c>
      <c r="Z86" s="72" t="s">
        <v>524</v>
      </c>
      <c r="AA86" s="41" t="s">
        <v>105</v>
      </c>
      <c r="AB86" s="242">
        <f t="shared" ca="1" si="11"/>
        <v>3.0999999999999999E-3</v>
      </c>
      <c r="AC86" s="242">
        <f t="shared" ca="1" si="19"/>
        <v>1.9000000000000002E-3</v>
      </c>
      <c r="AD86" s="233">
        <f t="shared" si="12"/>
        <v>4</v>
      </c>
      <c r="AE86" s="234">
        <f t="shared" si="13"/>
        <v>21</v>
      </c>
      <c r="AF86" s="234">
        <f t="shared" si="14"/>
        <v>16</v>
      </c>
      <c r="AG86" s="235">
        <f t="shared" si="15"/>
        <v>0.76190476190476186</v>
      </c>
      <c r="AH86" s="236">
        <f t="shared" si="16"/>
        <v>3.8095238095238095E-3</v>
      </c>
      <c r="AI86" s="235">
        <f t="shared" ca="1" si="17"/>
        <v>-7.0952380952380963E-4</v>
      </c>
      <c r="AJ86" s="190" t="s">
        <v>430</v>
      </c>
    </row>
    <row r="87" spans="1:36" ht="35.4" customHeight="1" x14ac:dyDescent="0.25">
      <c r="A87" s="142" t="s">
        <v>50</v>
      </c>
      <c r="B87" s="143" t="s">
        <v>241</v>
      </c>
      <c r="C87" s="142" t="s">
        <v>140</v>
      </c>
      <c r="D87" s="142" t="s">
        <v>100</v>
      </c>
      <c r="E87" s="142" t="s">
        <v>165</v>
      </c>
      <c r="F87" s="144" t="s">
        <v>159</v>
      </c>
      <c r="G87" s="44" t="str">
        <f t="shared" si="18"/>
        <v>Director de Gestión Corporativa y CID</v>
      </c>
      <c r="H87" s="184">
        <v>44270</v>
      </c>
      <c r="I87" s="137">
        <v>44294</v>
      </c>
      <c r="J87" s="61"/>
      <c r="K87" s="61"/>
      <c r="L87" s="61"/>
      <c r="M87" s="61"/>
      <c r="N87" s="61"/>
      <c r="O87" s="61"/>
      <c r="P87" s="61"/>
      <c r="Q87" s="61"/>
      <c r="R87" s="61"/>
      <c r="S87" s="61"/>
      <c r="T87" s="61"/>
      <c r="U87" s="61"/>
      <c r="V87" s="41" t="s">
        <v>123</v>
      </c>
      <c r="W87" s="206">
        <v>2.5000000000000001E-3</v>
      </c>
      <c r="X87" s="137"/>
      <c r="Y87" s="143" t="s">
        <v>525</v>
      </c>
      <c r="Z87" s="72" t="s">
        <v>494</v>
      </c>
      <c r="AA87" s="41" t="s">
        <v>105</v>
      </c>
      <c r="AB87" s="242">
        <f t="shared" ca="1" si="11"/>
        <v>1.5499999999999999E-3</v>
      </c>
      <c r="AC87" s="242">
        <f t="shared" ca="1" si="19"/>
        <v>9.5000000000000011E-4</v>
      </c>
      <c r="AD87" s="233">
        <f t="shared" si="12"/>
        <v>4</v>
      </c>
      <c r="AE87" s="234">
        <f t="shared" si="13"/>
        <v>24</v>
      </c>
      <c r="AF87" s="234">
        <f t="shared" si="14"/>
        <v>16</v>
      </c>
      <c r="AG87" s="235">
        <f t="shared" si="15"/>
        <v>0.66666666666666663</v>
      </c>
      <c r="AH87" s="236">
        <f t="shared" si="16"/>
        <v>1.6666666666666666E-3</v>
      </c>
      <c r="AI87" s="235">
        <f t="shared" ca="1" si="17"/>
        <v>-1.1666666666666661E-4</v>
      </c>
      <c r="AJ87" s="190" t="s">
        <v>430</v>
      </c>
    </row>
    <row r="88" spans="1:36" ht="35.4" customHeight="1" x14ac:dyDescent="0.25">
      <c r="A88" s="142" t="s">
        <v>50</v>
      </c>
      <c r="B88" s="143" t="s">
        <v>352</v>
      </c>
      <c r="C88" s="142" t="s">
        <v>81</v>
      </c>
      <c r="D88" s="142" t="s">
        <v>100</v>
      </c>
      <c r="E88" s="142" t="s">
        <v>165</v>
      </c>
      <c r="F88" s="145" t="s">
        <v>159</v>
      </c>
      <c r="G88" s="44" t="str">
        <f t="shared" si="18"/>
        <v>Director de Urbanizaciones y Titulación</v>
      </c>
      <c r="H88" s="184">
        <v>44270</v>
      </c>
      <c r="I88" s="137">
        <v>44294</v>
      </c>
      <c r="J88" s="61"/>
      <c r="K88" s="61"/>
      <c r="L88" s="61"/>
      <c r="M88" s="61"/>
      <c r="N88" s="61"/>
      <c r="O88" s="61"/>
      <c r="P88" s="61"/>
      <c r="Q88" s="61"/>
      <c r="R88" s="61"/>
      <c r="S88" s="61"/>
      <c r="T88" s="61"/>
      <c r="U88" s="61"/>
      <c r="V88" s="142" t="s">
        <v>123</v>
      </c>
      <c r="W88" s="206">
        <v>5.0000000000000001E-3</v>
      </c>
      <c r="X88" s="137"/>
      <c r="Y88" s="143" t="s">
        <v>525</v>
      </c>
      <c r="Z88" s="72" t="s">
        <v>494</v>
      </c>
      <c r="AA88" s="142" t="s">
        <v>105</v>
      </c>
      <c r="AB88" s="242">
        <f t="shared" ca="1" si="11"/>
        <v>3.0999999999999999E-3</v>
      </c>
      <c r="AC88" s="242">
        <f t="shared" ca="1" si="19"/>
        <v>1.9000000000000002E-3</v>
      </c>
      <c r="AD88" s="233">
        <f t="shared" si="12"/>
        <v>4</v>
      </c>
      <c r="AE88" s="234">
        <f t="shared" si="13"/>
        <v>24</v>
      </c>
      <c r="AF88" s="234">
        <f t="shared" si="14"/>
        <v>16</v>
      </c>
      <c r="AG88" s="235">
        <f t="shared" si="15"/>
        <v>0.66666666666666663</v>
      </c>
      <c r="AH88" s="236">
        <f t="shared" si="16"/>
        <v>3.3333333333333331E-3</v>
      </c>
      <c r="AI88" s="235">
        <f t="shared" ca="1" si="17"/>
        <v>-2.3333333333333322E-4</v>
      </c>
      <c r="AJ88" s="190" t="s">
        <v>430</v>
      </c>
    </row>
    <row r="89" spans="1:36" ht="35.4" customHeight="1" x14ac:dyDescent="0.25">
      <c r="A89" s="142" t="s">
        <v>43</v>
      </c>
      <c r="B89" s="143" t="s">
        <v>305</v>
      </c>
      <c r="C89" s="142" t="s">
        <v>90</v>
      </c>
      <c r="D89" s="142" t="s">
        <v>97</v>
      </c>
      <c r="E89" s="142" t="s">
        <v>165</v>
      </c>
      <c r="F89" s="144" t="s">
        <v>239</v>
      </c>
      <c r="G89" s="44" t="str">
        <f t="shared" si="18"/>
        <v>Asesor de Control Interno</v>
      </c>
      <c r="H89" s="184">
        <v>44270</v>
      </c>
      <c r="I89" s="184">
        <v>44298</v>
      </c>
      <c r="J89" s="61"/>
      <c r="K89" s="61"/>
      <c r="L89" s="61"/>
      <c r="M89" s="61"/>
      <c r="N89" s="61"/>
      <c r="O89" s="61"/>
      <c r="P89" s="61"/>
      <c r="Q89" s="61"/>
      <c r="R89" s="61"/>
      <c r="S89" s="61"/>
      <c r="T89" s="61"/>
      <c r="U89" s="61"/>
      <c r="V89" s="41" t="s">
        <v>334</v>
      </c>
      <c r="W89" s="208">
        <v>5.0000000000000001E-3</v>
      </c>
      <c r="X89" s="137"/>
      <c r="Y89" s="143" t="s">
        <v>534</v>
      </c>
      <c r="Z89" s="143" t="s">
        <v>535</v>
      </c>
      <c r="AA89" s="41" t="s">
        <v>58</v>
      </c>
      <c r="AB89" s="152">
        <f t="shared" ca="1" si="11"/>
        <v>2.8000000000000004E-3</v>
      </c>
      <c r="AC89" s="152">
        <f t="shared" ca="1" si="19"/>
        <v>2.1999999999999997E-3</v>
      </c>
      <c r="AD89" s="233">
        <f t="shared" si="12"/>
        <v>4</v>
      </c>
      <c r="AE89" s="234">
        <f t="shared" si="13"/>
        <v>28</v>
      </c>
      <c r="AF89" s="234">
        <f t="shared" si="14"/>
        <v>16</v>
      </c>
      <c r="AG89" s="235">
        <f t="shared" si="15"/>
        <v>0.5714285714285714</v>
      </c>
      <c r="AH89" s="236">
        <f t="shared" si="16"/>
        <v>2.8571428571428571E-3</v>
      </c>
      <c r="AI89" s="235">
        <f t="shared" ca="1" si="17"/>
        <v>-5.7142857142856735E-5</v>
      </c>
      <c r="AJ89" s="188" t="s">
        <v>408</v>
      </c>
    </row>
    <row r="90" spans="1:36" ht="35.4" customHeight="1" x14ac:dyDescent="0.25">
      <c r="A90" s="142" t="s">
        <v>45</v>
      </c>
      <c r="B90" s="143" t="s">
        <v>329</v>
      </c>
      <c r="C90" s="142" t="s">
        <v>90</v>
      </c>
      <c r="D90" s="142" t="s">
        <v>97</v>
      </c>
      <c r="E90" s="142" t="s">
        <v>165</v>
      </c>
      <c r="F90" s="144" t="s">
        <v>160</v>
      </c>
      <c r="G90" s="44" t="str">
        <f t="shared" si="18"/>
        <v>Asesor de Control Interno</v>
      </c>
      <c r="H90" s="137">
        <v>44270</v>
      </c>
      <c r="I90" s="137">
        <v>44454</v>
      </c>
      <c r="J90" s="61"/>
      <c r="K90" s="61"/>
      <c r="L90" s="61"/>
      <c r="M90" s="61"/>
      <c r="N90" s="61"/>
      <c r="O90" s="61"/>
      <c r="P90" s="61"/>
      <c r="Q90" s="61"/>
      <c r="R90" s="61"/>
      <c r="S90" s="61"/>
      <c r="T90" s="61"/>
      <c r="U90" s="61"/>
      <c r="V90" s="41" t="s">
        <v>334</v>
      </c>
      <c r="W90" s="206">
        <v>3.0000000000000001E-3</v>
      </c>
      <c r="X90" s="207"/>
      <c r="Y90" s="72" t="s">
        <v>495</v>
      </c>
      <c r="Z90" s="72" t="s">
        <v>495</v>
      </c>
      <c r="AA90" s="41"/>
      <c r="AB90" s="242">
        <f t="shared" ca="1" si="11"/>
        <v>0</v>
      </c>
      <c r="AC90" s="242">
        <f t="shared" ca="1" si="19"/>
        <v>3.0000000000000001E-3</v>
      </c>
      <c r="AD90" s="233">
        <f t="shared" si="12"/>
        <v>9</v>
      </c>
      <c r="AE90" s="234">
        <f t="shared" si="13"/>
        <v>184</v>
      </c>
      <c r="AF90" s="234">
        <f t="shared" si="14"/>
        <v>16</v>
      </c>
      <c r="AG90" s="235">
        <f t="shared" si="15"/>
        <v>8.6956521739130432E-2</v>
      </c>
      <c r="AH90" s="236">
        <f t="shared" si="16"/>
        <v>2.6086956521739128E-4</v>
      </c>
      <c r="AI90" s="235">
        <f t="shared" ca="1" si="17"/>
        <v>-2.6086956521739128E-4</v>
      </c>
      <c r="AJ90" s="190" t="s">
        <v>430</v>
      </c>
    </row>
    <row r="91" spans="1:36" ht="35.4" customHeight="1" x14ac:dyDescent="0.25">
      <c r="A91" s="142" t="s">
        <v>45</v>
      </c>
      <c r="B91" s="143" t="s">
        <v>329</v>
      </c>
      <c r="C91" s="142" t="s">
        <v>90</v>
      </c>
      <c r="D91" s="142" t="s">
        <v>97</v>
      </c>
      <c r="E91" s="142" t="s">
        <v>165</v>
      </c>
      <c r="F91" s="144" t="s">
        <v>260</v>
      </c>
      <c r="G91" s="44" t="str">
        <f t="shared" si="18"/>
        <v>Asesor de Control Interno</v>
      </c>
      <c r="H91" s="137">
        <v>44270</v>
      </c>
      <c r="I91" s="137">
        <v>44454</v>
      </c>
      <c r="J91" s="61"/>
      <c r="K91" s="61"/>
      <c r="L91" s="61"/>
      <c r="M91" s="61"/>
      <c r="N91" s="61"/>
      <c r="O91" s="61"/>
      <c r="P91" s="61"/>
      <c r="Q91" s="61"/>
      <c r="R91" s="61"/>
      <c r="S91" s="61"/>
      <c r="T91" s="61"/>
      <c r="U91" s="61"/>
      <c r="V91" s="142" t="s">
        <v>334</v>
      </c>
      <c r="W91" s="206">
        <v>3.0000000000000001E-3</v>
      </c>
      <c r="X91" s="207"/>
      <c r="Y91" s="72" t="s">
        <v>495</v>
      </c>
      <c r="Z91" s="72" t="s">
        <v>495</v>
      </c>
      <c r="AA91" s="41"/>
      <c r="AB91" s="242">
        <f t="shared" ca="1" si="11"/>
        <v>0</v>
      </c>
      <c r="AC91" s="242">
        <f t="shared" ca="1" si="19"/>
        <v>3.0000000000000001E-3</v>
      </c>
      <c r="AD91" s="233">
        <f t="shared" si="12"/>
        <v>9</v>
      </c>
      <c r="AE91" s="234">
        <f t="shared" si="13"/>
        <v>184</v>
      </c>
      <c r="AF91" s="234">
        <f t="shared" si="14"/>
        <v>16</v>
      </c>
      <c r="AG91" s="235">
        <f t="shared" si="15"/>
        <v>8.6956521739130432E-2</v>
      </c>
      <c r="AH91" s="236">
        <f t="shared" si="16"/>
        <v>2.6086956521739128E-4</v>
      </c>
      <c r="AI91" s="235">
        <f t="shared" ca="1" si="17"/>
        <v>-2.6086956521739128E-4</v>
      </c>
      <c r="AJ91" s="190" t="s">
        <v>430</v>
      </c>
    </row>
    <row r="92" spans="1:36" ht="35.4" customHeight="1" x14ac:dyDescent="0.25">
      <c r="A92" s="142" t="s">
        <v>45</v>
      </c>
      <c r="B92" s="143" t="s">
        <v>329</v>
      </c>
      <c r="C92" s="142" t="s">
        <v>90</v>
      </c>
      <c r="D92" s="142" t="s">
        <v>97</v>
      </c>
      <c r="E92" s="142" t="s">
        <v>165</v>
      </c>
      <c r="F92" s="144" t="s">
        <v>240</v>
      </c>
      <c r="G92" s="44" t="str">
        <f t="shared" si="18"/>
        <v>Asesor de Control Interno</v>
      </c>
      <c r="H92" s="137">
        <v>44270</v>
      </c>
      <c r="I92" s="137">
        <v>44454</v>
      </c>
      <c r="J92" s="61"/>
      <c r="K92" s="61"/>
      <c r="L92" s="61"/>
      <c r="M92" s="61"/>
      <c r="N92" s="61"/>
      <c r="O92" s="61"/>
      <c r="P92" s="61"/>
      <c r="Q92" s="61"/>
      <c r="R92" s="61"/>
      <c r="S92" s="61"/>
      <c r="T92" s="61"/>
      <c r="U92" s="61"/>
      <c r="V92" s="142" t="s">
        <v>334</v>
      </c>
      <c r="W92" s="206">
        <v>3.0000000000000001E-3</v>
      </c>
      <c r="X92" s="207"/>
      <c r="Y92" s="72" t="s">
        <v>495</v>
      </c>
      <c r="Z92" s="72" t="s">
        <v>495</v>
      </c>
      <c r="AA92" s="41"/>
      <c r="AB92" s="242">
        <f t="shared" ca="1" si="11"/>
        <v>0</v>
      </c>
      <c r="AC92" s="242">
        <f t="shared" ca="1" si="19"/>
        <v>3.0000000000000001E-3</v>
      </c>
      <c r="AD92" s="233">
        <f t="shared" si="12"/>
        <v>9</v>
      </c>
      <c r="AE92" s="234">
        <f t="shared" si="13"/>
        <v>184</v>
      </c>
      <c r="AF92" s="234">
        <f t="shared" si="14"/>
        <v>16</v>
      </c>
      <c r="AG92" s="235">
        <f t="shared" si="15"/>
        <v>8.6956521739130432E-2</v>
      </c>
      <c r="AH92" s="236">
        <f t="shared" si="16"/>
        <v>2.6086956521739128E-4</v>
      </c>
      <c r="AI92" s="235">
        <f t="shared" ca="1" si="17"/>
        <v>-2.6086956521739128E-4</v>
      </c>
      <c r="AJ92" s="190" t="s">
        <v>430</v>
      </c>
    </row>
    <row r="93" spans="1:36" ht="35.4" customHeight="1" x14ac:dyDescent="0.25">
      <c r="A93" s="142" t="s">
        <v>45</v>
      </c>
      <c r="B93" s="143" t="s">
        <v>329</v>
      </c>
      <c r="C93" s="142" t="s">
        <v>90</v>
      </c>
      <c r="D93" s="142" t="s">
        <v>97</v>
      </c>
      <c r="E93" s="142" t="s">
        <v>165</v>
      </c>
      <c r="F93" s="144" t="s">
        <v>239</v>
      </c>
      <c r="G93" s="44" t="str">
        <f t="shared" si="18"/>
        <v>Asesor de Control Interno</v>
      </c>
      <c r="H93" s="137">
        <v>44270</v>
      </c>
      <c r="I93" s="137">
        <v>44454</v>
      </c>
      <c r="J93" s="61"/>
      <c r="K93" s="61"/>
      <c r="L93" s="61"/>
      <c r="M93" s="61"/>
      <c r="N93" s="61"/>
      <c r="O93" s="61"/>
      <c r="P93" s="61"/>
      <c r="Q93" s="61"/>
      <c r="R93" s="61"/>
      <c r="S93" s="61"/>
      <c r="T93" s="61"/>
      <c r="U93" s="61"/>
      <c r="V93" s="142" t="s">
        <v>334</v>
      </c>
      <c r="W93" s="206">
        <v>3.0000000000000001E-3</v>
      </c>
      <c r="X93" s="207"/>
      <c r="Y93" s="72" t="s">
        <v>495</v>
      </c>
      <c r="Z93" s="72" t="s">
        <v>495</v>
      </c>
      <c r="AA93" s="41"/>
      <c r="AB93" s="242">
        <f t="shared" ca="1" si="11"/>
        <v>0</v>
      </c>
      <c r="AC93" s="242">
        <f t="shared" ca="1" si="19"/>
        <v>3.0000000000000001E-3</v>
      </c>
      <c r="AD93" s="233">
        <f t="shared" si="12"/>
        <v>9</v>
      </c>
      <c r="AE93" s="234">
        <f t="shared" si="13"/>
        <v>184</v>
      </c>
      <c r="AF93" s="234">
        <f t="shared" si="14"/>
        <v>16</v>
      </c>
      <c r="AG93" s="235">
        <f t="shared" si="15"/>
        <v>8.6956521739130432E-2</v>
      </c>
      <c r="AH93" s="236">
        <f t="shared" si="16"/>
        <v>2.6086956521739128E-4</v>
      </c>
      <c r="AI93" s="235">
        <f t="shared" ca="1" si="17"/>
        <v>-2.6086956521739128E-4</v>
      </c>
      <c r="AJ93" s="190" t="s">
        <v>430</v>
      </c>
    </row>
    <row r="94" spans="1:36" ht="35.4" customHeight="1" x14ac:dyDescent="0.25">
      <c r="A94" s="142" t="s">
        <v>45</v>
      </c>
      <c r="B94" s="143" t="s">
        <v>329</v>
      </c>
      <c r="C94" s="142" t="s">
        <v>90</v>
      </c>
      <c r="D94" s="142" t="s">
        <v>97</v>
      </c>
      <c r="E94" s="142" t="s">
        <v>165</v>
      </c>
      <c r="F94" s="144" t="s">
        <v>263</v>
      </c>
      <c r="G94" s="44" t="str">
        <f t="shared" si="18"/>
        <v>Asesor de Control Interno</v>
      </c>
      <c r="H94" s="137">
        <v>44270</v>
      </c>
      <c r="I94" s="137">
        <v>44454</v>
      </c>
      <c r="J94" s="61"/>
      <c r="K94" s="61"/>
      <c r="L94" s="61"/>
      <c r="M94" s="61"/>
      <c r="N94" s="61"/>
      <c r="O94" s="61"/>
      <c r="P94" s="61"/>
      <c r="Q94" s="61"/>
      <c r="R94" s="61"/>
      <c r="S94" s="61"/>
      <c r="T94" s="61"/>
      <c r="U94" s="61"/>
      <c r="V94" s="142" t="s">
        <v>334</v>
      </c>
      <c r="W94" s="206">
        <v>3.0000000000000001E-3</v>
      </c>
      <c r="X94" s="207"/>
      <c r="Y94" s="72" t="s">
        <v>495</v>
      </c>
      <c r="Z94" s="72" t="s">
        <v>495</v>
      </c>
      <c r="AA94" s="41"/>
      <c r="AB94" s="242">
        <f t="shared" ca="1" si="11"/>
        <v>0</v>
      </c>
      <c r="AC94" s="242">
        <f t="shared" ca="1" si="19"/>
        <v>3.0000000000000001E-3</v>
      </c>
      <c r="AD94" s="233">
        <f t="shared" si="12"/>
        <v>9</v>
      </c>
      <c r="AE94" s="234">
        <f t="shared" si="13"/>
        <v>184</v>
      </c>
      <c r="AF94" s="234">
        <f t="shared" si="14"/>
        <v>16</v>
      </c>
      <c r="AG94" s="235">
        <f t="shared" si="15"/>
        <v>8.6956521739130432E-2</v>
      </c>
      <c r="AH94" s="236">
        <f t="shared" si="16"/>
        <v>2.6086956521739128E-4</v>
      </c>
      <c r="AI94" s="235">
        <f t="shared" ca="1" si="17"/>
        <v>-2.6086956521739128E-4</v>
      </c>
      <c r="AJ94" s="190" t="s">
        <v>430</v>
      </c>
    </row>
    <row r="95" spans="1:36" ht="35.4" customHeight="1" x14ac:dyDescent="0.25">
      <c r="A95" s="142" t="s">
        <v>45</v>
      </c>
      <c r="B95" s="42" t="s">
        <v>329</v>
      </c>
      <c r="C95" s="142" t="s">
        <v>90</v>
      </c>
      <c r="D95" s="142" t="s">
        <v>97</v>
      </c>
      <c r="E95" s="142" t="s">
        <v>165</v>
      </c>
      <c r="F95" s="43" t="s">
        <v>159</v>
      </c>
      <c r="G95" s="44" t="str">
        <f t="shared" si="18"/>
        <v>Asesor de Control Interno</v>
      </c>
      <c r="H95" s="137">
        <v>44270</v>
      </c>
      <c r="I95" s="137">
        <v>44454</v>
      </c>
      <c r="J95" s="61"/>
      <c r="K95" s="61"/>
      <c r="L95" s="61"/>
      <c r="M95" s="61"/>
      <c r="N95" s="61"/>
      <c r="O95" s="61"/>
      <c r="P95" s="61"/>
      <c r="Q95" s="61"/>
      <c r="R95" s="61"/>
      <c r="S95" s="61"/>
      <c r="T95" s="61"/>
      <c r="U95" s="61"/>
      <c r="V95" s="142" t="s">
        <v>334</v>
      </c>
      <c r="W95" s="206">
        <v>3.0000000000000001E-3</v>
      </c>
      <c r="X95" s="207"/>
      <c r="Y95" s="72" t="s">
        <v>495</v>
      </c>
      <c r="Z95" s="72" t="s">
        <v>495</v>
      </c>
      <c r="AA95" s="41"/>
      <c r="AB95" s="242">
        <f t="shared" ca="1" si="11"/>
        <v>0</v>
      </c>
      <c r="AC95" s="242">
        <f t="shared" ca="1" si="19"/>
        <v>3.0000000000000001E-3</v>
      </c>
      <c r="AD95" s="233">
        <f t="shared" si="12"/>
        <v>9</v>
      </c>
      <c r="AE95" s="234">
        <f t="shared" si="13"/>
        <v>184</v>
      </c>
      <c r="AF95" s="234">
        <f t="shared" si="14"/>
        <v>16</v>
      </c>
      <c r="AG95" s="235">
        <f t="shared" si="15"/>
        <v>8.6956521739130432E-2</v>
      </c>
      <c r="AH95" s="236">
        <f t="shared" si="16"/>
        <v>2.6086956521739128E-4</v>
      </c>
      <c r="AI95" s="235">
        <f t="shared" ca="1" si="17"/>
        <v>-2.6086956521739128E-4</v>
      </c>
      <c r="AJ95" s="190" t="s">
        <v>430</v>
      </c>
    </row>
    <row r="96" spans="1:36" ht="35.4" customHeight="1" x14ac:dyDescent="0.25">
      <c r="A96" s="142" t="s">
        <v>50</v>
      </c>
      <c r="B96" s="231" t="s">
        <v>489</v>
      </c>
      <c r="C96" s="142" t="s">
        <v>87</v>
      </c>
      <c r="D96" s="142" t="s">
        <v>96</v>
      </c>
      <c r="E96" s="142" t="s">
        <v>165</v>
      </c>
      <c r="F96" s="144" t="s">
        <v>240</v>
      </c>
      <c r="G96" s="44" t="str">
        <f t="shared" si="18"/>
        <v>Subdirector Administrativo</v>
      </c>
      <c r="H96" s="184">
        <v>44274</v>
      </c>
      <c r="I96" s="184">
        <v>44302</v>
      </c>
      <c r="J96" s="61"/>
      <c r="K96" s="61"/>
      <c r="L96" s="61"/>
      <c r="M96" s="61"/>
      <c r="N96" s="61"/>
      <c r="O96" s="61"/>
      <c r="P96" s="61"/>
      <c r="Q96" s="61"/>
      <c r="R96" s="61"/>
      <c r="S96" s="61"/>
      <c r="T96" s="61"/>
      <c r="U96" s="61"/>
      <c r="V96" s="142" t="s">
        <v>123</v>
      </c>
      <c r="W96" s="206">
        <v>5.0000000000000001E-3</v>
      </c>
      <c r="X96" s="137"/>
      <c r="Y96" s="143" t="s">
        <v>526</v>
      </c>
      <c r="Z96" s="143" t="s">
        <v>527</v>
      </c>
      <c r="AA96" s="41" t="s">
        <v>105</v>
      </c>
      <c r="AB96" s="152">
        <f t="shared" ca="1" si="11"/>
        <v>3.0999999999999999E-3</v>
      </c>
      <c r="AC96" s="152">
        <f t="shared" ca="1" si="19"/>
        <v>1.9000000000000002E-3</v>
      </c>
      <c r="AD96" s="233">
        <f t="shared" si="12"/>
        <v>4</v>
      </c>
      <c r="AE96" s="234">
        <f t="shared" si="13"/>
        <v>28</v>
      </c>
      <c r="AF96" s="234">
        <f t="shared" si="14"/>
        <v>12</v>
      </c>
      <c r="AG96" s="235">
        <f t="shared" si="15"/>
        <v>0.42857142857142855</v>
      </c>
      <c r="AH96" s="236">
        <f t="shared" si="16"/>
        <v>2.142857142857143E-3</v>
      </c>
      <c r="AI96" s="235">
        <f t="shared" ca="1" si="17"/>
        <v>9.5714285714285693E-4</v>
      </c>
      <c r="AJ96" s="188" t="s">
        <v>408</v>
      </c>
    </row>
    <row r="97" spans="1:36" ht="35.4" customHeight="1" x14ac:dyDescent="0.25">
      <c r="A97" s="142" t="s">
        <v>46</v>
      </c>
      <c r="B97" s="42" t="s">
        <v>207</v>
      </c>
      <c r="C97" s="142" t="s">
        <v>90</v>
      </c>
      <c r="D97" s="142" t="s">
        <v>97</v>
      </c>
      <c r="E97" s="142" t="s">
        <v>165</v>
      </c>
      <c r="F97" s="144" t="s">
        <v>240</v>
      </c>
      <c r="G97" s="44" t="str">
        <f t="shared" si="18"/>
        <v>Asesor de Control Interno</v>
      </c>
      <c r="H97" s="137">
        <v>44278</v>
      </c>
      <c r="I97" s="137">
        <v>44285</v>
      </c>
      <c r="J97" s="61"/>
      <c r="K97" s="61"/>
      <c r="L97" s="61"/>
      <c r="M97" s="61"/>
      <c r="N97" s="61"/>
      <c r="O97" s="61"/>
      <c r="P97" s="61"/>
      <c r="Q97" s="61"/>
      <c r="R97" s="61"/>
      <c r="S97" s="61"/>
      <c r="T97" s="61"/>
      <c r="U97" s="61"/>
      <c r="V97" s="41" t="s">
        <v>332</v>
      </c>
      <c r="W97" s="206">
        <v>2E-3</v>
      </c>
      <c r="X97" s="207">
        <v>44285</v>
      </c>
      <c r="Y97" s="72" t="s">
        <v>515</v>
      </c>
      <c r="Z97" s="72" t="s">
        <v>516</v>
      </c>
      <c r="AA97" s="142" t="s">
        <v>152</v>
      </c>
      <c r="AB97" s="241">
        <f t="shared" ca="1" si="11"/>
        <v>2E-3</v>
      </c>
      <c r="AC97" s="147">
        <f t="shared" ca="1" si="19"/>
        <v>0</v>
      </c>
      <c r="AD97" s="233">
        <f t="shared" si="12"/>
        <v>3</v>
      </c>
      <c r="AE97" s="234">
        <f t="shared" si="13"/>
        <v>7</v>
      </c>
      <c r="AF97" s="234">
        <f t="shared" si="14"/>
        <v>8</v>
      </c>
      <c r="AG97" s="235">
        <f t="shared" si="15"/>
        <v>1.1428571428571428</v>
      </c>
      <c r="AH97" s="236">
        <f t="shared" si="16"/>
        <v>2.2857142857142855E-3</v>
      </c>
      <c r="AI97" s="235">
        <f t="shared" ca="1" si="17"/>
        <v>-2.8571428571428541E-4</v>
      </c>
      <c r="AJ97" s="186" t="s">
        <v>235</v>
      </c>
    </row>
    <row r="98" spans="1:36" ht="35.4" customHeight="1" x14ac:dyDescent="0.25">
      <c r="A98" s="142" t="s">
        <v>50</v>
      </c>
      <c r="B98" s="143" t="s">
        <v>321</v>
      </c>
      <c r="C98" s="142" t="s">
        <v>82</v>
      </c>
      <c r="D98" s="142" t="s">
        <v>100</v>
      </c>
      <c r="E98" s="142" t="s">
        <v>165</v>
      </c>
      <c r="F98" s="144" t="s">
        <v>263</v>
      </c>
      <c r="G98" s="44" t="str">
        <f t="shared" si="18"/>
        <v>Director de Mejoramiento de Barrios</v>
      </c>
      <c r="H98" s="184">
        <v>44281</v>
      </c>
      <c r="I98" s="184">
        <v>44294</v>
      </c>
      <c r="J98" s="61"/>
      <c r="K98" s="61"/>
      <c r="L98" s="61"/>
      <c r="M98" s="61"/>
      <c r="N98" s="61"/>
      <c r="O98" s="61"/>
      <c r="P98" s="61"/>
      <c r="Q98" s="61"/>
      <c r="R98" s="61"/>
      <c r="S98" s="61"/>
      <c r="T98" s="61"/>
      <c r="U98" s="61"/>
      <c r="V98" s="142" t="s">
        <v>123</v>
      </c>
      <c r="W98" s="206">
        <v>0.01</v>
      </c>
      <c r="X98" s="137"/>
      <c r="Y98" s="72"/>
      <c r="Z98" s="72" t="s">
        <v>528</v>
      </c>
      <c r="AA98" s="41"/>
      <c r="AB98" s="242">
        <f t="shared" ca="1" si="11"/>
        <v>0</v>
      </c>
      <c r="AC98" s="242">
        <f t="shared" ca="1" si="19"/>
        <v>0.01</v>
      </c>
      <c r="AD98" s="233">
        <f t="shared" si="12"/>
        <v>4</v>
      </c>
      <c r="AE98" s="234">
        <f t="shared" si="13"/>
        <v>13</v>
      </c>
      <c r="AF98" s="234">
        <f t="shared" si="14"/>
        <v>5</v>
      </c>
      <c r="AG98" s="235">
        <f t="shared" si="15"/>
        <v>0.38461538461538464</v>
      </c>
      <c r="AH98" s="236">
        <f t="shared" si="16"/>
        <v>3.8461538461538464E-3</v>
      </c>
      <c r="AI98" s="235">
        <f t="shared" ca="1" si="17"/>
        <v>-3.8461538461538464E-3</v>
      </c>
      <c r="AJ98" s="190" t="s">
        <v>430</v>
      </c>
    </row>
    <row r="99" spans="1:36" ht="35.4" customHeight="1" x14ac:dyDescent="0.25">
      <c r="A99" s="142" t="s">
        <v>50</v>
      </c>
      <c r="B99" s="143" t="s">
        <v>318</v>
      </c>
      <c r="C99" s="142" t="s">
        <v>127</v>
      </c>
      <c r="D99" s="142" t="s">
        <v>95</v>
      </c>
      <c r="E99" s="142" t="s">
        <v>165</v>
      </c>
      <c r="F99" s="144" t="s">
        <v>160</v>
      </c>
      <c r="G99" s="44" t="str">
        <f t="shared" si="18"/>
        <v xml:space="preserve">Director Jurídico </v>
      </c>
      <c r="H99" s="184">
        <v>44281</v>
      </c>
      <c r="I99" s="184">
        <v>44319</v>
      </c>
      <c r="J99" s="61"/>
      <c r="K99" s="61"/>
      <c r="L99" s="81"/>
      <c r="M99" s="61"/>
      <c r="N99" s="61"/>
      <c r="O99" s="61"/>
      <c r="P99" s="61"/>
      <c r="Q99" s="61"/>
      <c r="R99" s="61"/>
      <c r="S99" s="61"/>
      <c r="T99" s="61"/>
      <c r="U99" s="61"/>
      <c r="V99" s="142" t="s">
        <v>123</v>
      </c>
      <c r="W99" s="208">
        <v>5.0000000000000001E-3</v>
      </c>
      <c r="X99" s="137"/>
      <c r="Y99" s="72" t="s">
        <v>529</v>
      </c>
      <c r="Z99" s="72" t="s">
        <v>529</v>
      </c>
      <c r="AA99" s="41" t="s">
        <v>102</v>
      </c>
      <c r="AB99" s="242">
        <f t="shared" ca="1" si="11"/>
        <v>5.0000000000000001E-4</v>
      </c>
      <c r="AC99" s="242">
        <f t="shared" ca="1" si="19"/>
        <v>4.5000000000000005E-3</v>
      </c>
      <c r="AD99" s="233">
        <f t="shared" si="12"/>
        <v>5</v>
      </c>
      <c r="AE99" s="234">
        <f t="shared" si="13"/>
        <v>38</v>
      </c>
      <c r="AF99" s="234">
        <f t="shared" si="14"/>
        <v>5</v>
      </c>
      <c r="AG99" s="235">
        <f t="shared" si="15"/>
        <v>0.13157894736842105</v>
      </c>
      <c r="AH99" s="236">
        <f t="shared" si="16"/>
        <v>6.5789473684210525E-4</v>
      </c>
      <c r="AI99" s="235">
        <f t="shared" ca="1" si="17"/>
        <v>-1.5789473684210524E-4</v>
      </c>
      <c r="AJ99" s="190" t="s">
        <v>430</v>
      </c>
    </row>
    <row r="100" spans="1:36" ht="35.4" customHeight="1" x14ac:dyDescent="0.25">
      <c r="A100" s="142" t="s">
        <v>45</v>
      </c>
      <c r="B100" s="42" t="s">
        <v>289</v>
      </c>
      <c r="C100" s="142" t="s">
        <v>90</v>
      </c>
      <c r="D100" s="142" t="s">
        <v>97</v>
      </c>
      <c r="E100" s="142" t="s">
        <v>165</v>
      </c>
      <c r="F100" s="145" t="s">
        <v>239</v>
      </c>
      <c r="G100" s="44" t="str">
        <f t="shared" si="18"/>
        <v>Asesor de Control Interno</v>
      </c>
      <c r="H100" s="137">
        <v>44284</v>
      </c>
      <c r="I100" s="137">
        <v>44292</v>
      </c>
      <c r="J100" s="61"/>
      <c r="K100" s="61"/>
      <c r="L100" s="61"/>
      <c r="M100" s="61"/>
      <c r="N100" s="61"/>
      <c r="O100" s="61"/>
      <c r="P100" s="61"/>
      <c r="Q100" s="61"/>
      <c r="R100" s="61"/>
      <c r="S100" s="61"/>
      <c r="T100" s="61"/>
      <c r="U100" s="61"/>
      <c r="V100" s="142" t="s">
        <v>215</v>
      </c>
      <c r="W100" s="206">
        <v>3.0000000000000001E-3</v>
      </c>
      <c r="X100" s="137"/>
      <c r="Y100" s="72" t="s">
        <v>530</v>
      </c>
      <c r="Z100" s="72" t="s">
        <v>531</v>
      </c>
      <c r="AA100" s="41" t="s">
        <v>59</v>
      </c>
      <c r="AB100" s="152">
        <f t="shared" ca="1" si="11"/>
        <v>3.0000000000000003E-4</v>
      </c>
      <c r="AC100" s="152">
        <f t="shared" ca="1" si="19"/>
        <v>2.7000000000000001E-3</v>
      </c>
      <c r="AD100" s="233">
        <f t="shared" si="12"/>
        <v>4</v>
      </c>
      <c r="AE100" s="234">
        <f t="shared" si="13"/>
        <v>8</v>
      </c>
      <c r="AF100" s="234">
        <f t="shared" si="14"/>
        <v>2</v>
      </c>
      <c r="AG100" s="235">
        <f t="shared" si="15"/>
        <v>0.25</v>
      </c>
      <c r="AH100" s="236">
        <f t="shared" si="16"/>
        <v>7.5000000000000002E-4</v>
      </c>
      <c r="AI100" s="235">
        <f t="shared" ca="1" si="17"/>
        <v>-4.4999999999999999E-4</v>
      </c>
      <c r="AJ100" s="188" t="s">
        <v>408</v>
      </c>
    </row>
    <row r="101" spans="1:36" ht="35.4" customHeight="1" x14ac:dyDescent="0.25">
      <c r="A101" s="154" t="s">
        <v>46</v>
      </c>
      <c r="B101" s="42" t="s">
        <v>314</v>
      </c>
      <c r="C101" s="142" t="s">
        <v>82</v>
      </c>
      <c r="D101" s="142" t="s">
        <v>100</v>
      </c>
      <c r="E101" s="142" t="s">
        <v>165</v>
      </c>
      <c r="F101" s="145" t="s">
        <v>239</v>
      </c>
      <c r="G101" s="44" t="str">
        <f t="shared" si="18"/>
        <v>Director de Mejoramiento de Barrios</v>
      </c>
      <c r="H101" s="137">
        <v>44285</v>
      </c>
      <c r="I101" s="137">
        <v>44292</v>
      </c>
      <c r="J101" s="61"/>
      <c r="K101" s="61"/>
      <c r="L101" s="61"/>
      <c r="M101" s="61"/>
      <c r="N101" s="61"/>
      <c r="O101" s="61"/>
      <c r="P101" s="61"/>
      <c r="Q101" s="61"/>
      <c r="R101" s="61"/>
      <c r="S101" s="61"/>
      <c r="T101" s="61"/>
      <c r="U101" s="61"/>
      <c r="V101" s="140" t="s">
        <v>317</v>
      </c>
      <c r="W101" s="206">
        <v>1E-3</v>
      </c>
      <c r="X101" s="137"/>
      <c r="Y101" s="72"/>
      <c r="Z101" s="72"/>
      <c r="AA101" s="41"/>
      <c r="AB101" s="70">
        <f t="shared" ca="1" si="11"/>
        <v>0</v>
      </c>
      <c r="AC101" s="70">
        <f t="shared" ca="1" si="19"/>
        <v>1E-3</v>
      </c>
      <c r="AD101" s="233">
        <f t="shared" si="12"/>
        <v>4</v>
      </c>
      <c r="AE101" s="234">
        <f t="shared" si="13"/>
        <v>7</v>
      </c>
      <c r="AF101" s="234">
        <f t="shared" si="14"/>
        <v>1</v>
      </c>
      <c r="AG101" s="235">
        <f t="shared" si="15"/>
        <v>0.14285714285714285</v>
      </c>
      <c r="AH101" s="236">
        <f t="shared" si="16"/>
        <v>1.4285714285714284E-4</v>
      </c>
      <c r="AI101" s="235">
        <f t="shared" ca="1" si="17"/>
        <v>-1.4285714285714284E-4</v>
      </c>
      <c r="AJ101" s="237"/>
    </row>
    <row r="102" spans="1:36" ht="35.4" customHeight="1" x14ac:dyDescent="0.25">
      <c r="A102" s="142" t="s">
        <v>45</v>
      </c>
      <c r="B102" s="143" t="s">
        <v>114</v>
      </c>
      <c r="C102" s="142" t="s">
        <v>90</v>
      </c>
      <c r="D102" s="142" t="s">
        <v>97</v>
      </c>
      <c r="E102" s="142" t="s">
        <v>165</v>
      </c>
      <c r="F102" s="145" t="s">
        <v>239</v>
      </c>
      <c r="G102" s="44" t="str">
        <f t="shared" si="18"/>
        <v>Asesor de Control Interno</v>
      </c>
      <c r="H102" s="137">
        <v>44291</v>
      </c>
      <c r="I102" s="137">
        <v>44294</v>
      </c>
      <c r="J102" s="61"/>
      <c r="K102" s="61"/>
      <c r="L102" s="61"/>
      <c r="M102" s="61"/>
      <c r="N102" s="61"/>
      <c r="O102" s="61"/>
      <c r="P102" s="61"/>
      <c r="Q102" s="61"/>
      <c r="R102" s="61"/>
      <c r="S102" s="61"/>
      <c r="T102" s="61"/>
      <c r="U102" s="61"/>
      <c r="V102" s="142" t="s">
        <v>202</v>
      </c>
      <c r="W102" s="206">
        <v>3.0000000000000001E-3</v>
      </c>
      <c r="X102" s="137"/>
      <c r="Y102" s="72"/>
      <c r="Z102" s="72"/>
      <c r="AA102" s="41"/>
      <c r="AB102" s="70">
        <f t="shared" ca="1" si="11"/>
        <v>0</v>
      </c>
      <c r="AC102" s="70">
        <f t="shared" ca="1" si="19"/>
        <v>3.0000000000000001E-3</v>
      </c>
      <c r="AD102" s="233">
        <f t="shared" si="12"/>
        <v>4</v>
      </c>
      <c r="AE102" s="234">
        <f t="shared" si="13"/>
        <v>3</v>
      </c>
      <c r="AF102" s="234">
        <f t="shared" si="14"/>
        <v>-5</v>
      </c>
      <c r="AG102" s="235">
        <f t="shared" si="15"/>
        <v>-1.6666666666666667</v>
      </c>
      <c r="AH102" s="236">
        <f t="shared" si="16"/>
        <v>-5.0000000000000001E-3</v>
      </c>
      <c r="AI102" s="235">
        <f t="shared" ca="1" si="17"/>
        <v>5.0000000000000001E-3</v>
      </c>
      <c r="AJ102" s="237"/>
    </row>
    <row r="103" spans="1:36" ht="35.4" customHeight="1" x14ac:dyDescent="0.25">
      <c r="A103" s="142" t="s">
        <v>45</v>
      </c>
      <c r="B103" s="143" t="s">
        <v>254</v>
      </c>
      <c r="C103" s="142" t="s">
        <v>90</v>
      </c>
      <c r="D103" s="142" t="s">
        <v>97</v>
      </c>
      <c r="E103" s="142" t="s">
        <v>165</v>
      </c>
      <c r="F103" s="144" t="s">
        <v>160</v>
      </c>
      <c r="G103" s="44" t="str">
        <f t="shared" si="18"/>
        <v>Asesor de Control Interno</v>
      </c>
      <c r="H103" s="137">
        <v>44291</v>
      </c>
      <c r="I103" s="137">
        <v>44295</v>
      </c>
      <c r="J103" s="61"/>
      <c r="K103" s="61"/>
      <c r="L103" s="61"/>
      <c r="M103" s="61"/>
      <c r="N103" s="61"/>
      <c r="O103" s="61"/>
      <c r="P103" s="61"/>
      <c r="Q103" s="61"/>
      <c r="R103" s="61"/>
      <c r="S103" s="61"/>
      <c r="T103" s="61"/>
      <c r="U103" s="61"/>
      <c r="V103" s="142" t="s">
        <v>215</v>
      </c>
      <c r="W103" s="206">
        <v>3.0000000000000001E-3</v>
      </c>
      <c r="X103" s="137"/>
      <c r="Y103" s="72"/>
      <c r="Z103" s="143"/>
      <c r="AA103" s="41"/>
      <c r="AB103" s="70">
        <f t="shared" ca="1" si="11"/>
        <v>0</v>
      </c>
      <c r="AC103" s="70">
        <f t="shared" ca="1" si="19"/>
        <v>3.0000000000000001E-3</v>
      </c>
      <c r="AD103" s="233">
        <f t="shared" si="12"/>
        <v>4</v>
      </c>
      <c r="AE103" s="234">
        <f t="shared" si="13"/>
        <v>4</v>
      </c>
      <c r="AF103" s="234">
        <f t="shared" si="14"/>
        <v>-5</v>
      </c>
      <c r="AG103" s="235">
        <f t="shared" si="15"/>
        <v>-1.25</v>
      </c>
      <c r="AH103" s="236">
        <f t="shared" si="16"/>
        <v>-3.7499999999999999E-3</v>
      </c>
      <c r="AI103" s="235">
        <f t="shared" ca="1" si="17"/>
        <v>3.7499999999999999E-3</v>
      </c>
      <c r="AJ103" s="237"/>
    </row>
    <row r="104" spans="1:36" ht="35.4" customHeight="1" x14ac:dyDescent="0.25">
      <c r="A104" s="154" t="s">
        <v>46</v>
      </c>
      <c r="B104" s="143" t="s">
        <v>93</v>
      </c>
      <c r="C104" s="142" t="s">
        <v>141</v>
      </c>
      <c r="D104" s="142" t="s">
        <v>96</v>
      </c>
      <c r="E104" s="142" t="s">
        <v>165</v>
      </c>
      <c r="F104" s="144" t="s">
        <v>240</v>
      </c>
      <c r="G104" s="44" t="str">
        <f t="shared" si="18"/>
        <v>Director de Gestión Corporativa y CID</v>
      </c>
      <c r="H104" s="137">
        <v>44291</v>
      </c>
      <c r="I104" s="137">
        <v>44299</v>
      </c>
      <c r="J104" s="61"/>
      <c r="K104" s="61"/>
      <c r="L104" s="61"/>
      <c r="M104" s="61"/>
      <c r="N104" s="61"/>
      <c r="O104" s="61"/>
      <c r="P104" s="61"/>
      <c r="Q104" s="61"/>
      <c r="R104" s="61"/>
      <c r="S104" s="61"/>
      <c r="T104" s="61"/>
      <c r="U104" s="61"/>
      <c r="V104" s="142" t="s">
        <v>332</v>
      </c>
      <c r="W104" s="206">
        <v>1E-3</v>
      </c>
      <c r="X104" s="137"/>
      <c r="Y104" s="72"/>
      <c r="Z104" s="72"/>
      <c r="AA104" s="41"/>
      <c r="AB104" s="70">
        <f t="shared" ca="1" si="11"/>
        <v>0</v>
      </c>
      <c r="AC104" s="70">
        <f t="shared" ca="1" si="19"/>
        <v>1E-3</v>
      </c>
      <c r="AD104" s="233">
        <f t="shared" si="12"/>
        <v>4</v>
      </c>
      <c r="AE104" s="234">
        <f t="shared" si="13"/>
        <v>8</v>
      </c>
      <c r="AF104" s="234">
        <f t="shared" si="14"/>
        <v>-5</v>
      </c>
      <c r="AG104" s="235">
        <f t="shared" si="15"/>
        <v>-0.625</v>
      </c>
      <c r="AH104" s="236">
        <f t="shared" si="16"/>
        <v>-6.2500000000000001E-4</v>
      </c>
      <c r="AI104" s="235">
        <f t="shared" ca="1" si="17"/>
        <v>6.2500000000000001E-4</v>
      </c>
      <c r="AJ104" s="237"/>
    </row>
    <row r="105" spans="1:36" ht="35.4" customHeight="1" x14ac:dyDescent="0.25">
      <c r="A105" s="154" t="s">
        <v>44</v>
      </c>
      <c r="B105" s="143" t="s">
        <v>92</v>
      </c>
      <c r="C105" s="142" t="s">
        <v>89</v>
      </c>
      <c r="D105" s="142" t="s">
        <v>96</v>
      </c>
      <c r="E105" s="142" t="s">
        <v>165</v>
      </c>
      <c r="F105" s="144" t="s">
        <v>203</v>
      </c>
      <c r="G105" s="44" t="str">
        <f t="shared" si="18"/>
        <v>Subdirector Financiero</v>
      </c>
      <c r="H105" s="137">
        <v>44291</v>
      </c>
      <c r="I105" s="137">
        <v>44299</v>
      </c>
      <c r="J105" s="61"/>
      <c r="K105" s="61"/>
      <c r="L105" s="61"/>
      <c r="M105" s="61"/>
      <c r="N105" s="61"/>
      <c r="O105" s="61"/>
      <c r="P105" s="61"/>
      <c r="Q105" s="61"/>
      <c r="R105" s="61"/>
      <c r="S105" s="61"/>
      <c r="T105" s="61"/>
      <c r="U105" s="61"/>
      <c r="V105" s="142" t="s">
        <v>123</v>
      </c>
      <c r="W105" s="206">
        <v>1E-3</v>
      </c>
      <c r="X105" s="137"/>
      <c r="Y105" s="143"/>
      <c r="Z105" s="72"/>
      <c r="AA105" s="41"/>
      <c r="AB105" s="70">
        <f t="shared" ref="AB105:AB136" ca="1" si="20">IF(ISERROR(VLOOKUP(AA105,INDIRECT(VLOOKUP(A105,ACTA,2,0)&amp;"A"),2,0))=TRUE,0,W105*(VLOOKUP(AA105,INDIRECT(VLOOKUP(A105,ACTA,2,0)&amp;"A"),2,0)))</f>
        <v>0</v>
      </c>
      <c r="AC105" s="70">
        <f t="shared" ca="1" si="19"/>
        <v>1E-3</v>
      </c>
      <c r="AD105" s="233">
        <f t="shared" si="12"/>
        <v>4</v>
      </c>
      <c r="AE105" s="234">
        <f t="shared" si="13"/>
        <v>8</v>
      </c>
      <c r="AF105" s="234">
        <f t="shared" si="14"/>
        <v>-5</v>
      </c>
      <c r="AG105" s="235">
        <f t="shared" si="15"/>
        <v>-0.625</v>
      </c>
      <c r="AH105" s="236">
        <f t="shared" si="16"/>
        <v>-6.2500000000000001E-4</v>
      </c>
      <c r="AI105" s="235">
        <f t="shared" ca="1" si="17"/>
        <v>6.2500000000000001E-4</v>
      </c>
      <c r="AJ105" s="237"/>
    </row>
    <row r="106" spans="1:36" ht="35.4" customHeight="1" x14ac:dyDescent="0.25">
      <c r="A106" s="154" t="s">
        <v>44</v>
      </c>
      <c r="B106" s="42" t="s">
        <v>209</v>
      </c>
      <c r="C106" s="142" t="s">
        <v>87</v>
      </c>
      <c r="D106" s="142" t="s">
        <v>96</v>
      </c>
      <c r="E106" s="142" t="s">
        <v>165</v>
      </c>
      <c r="F106" s="144" t="s">
        <v>240</v>
      </c>
      <c r="G106" s="44" t="str">
        <f t="shared" si="18"/>
        <v>Subdirector Administrativo</v>
      </c>
      <c r="H106" s="137">
        <v>44291</v>
      </c>
      <c r="I106" s="137">
        <v>44309</v>
      </c>
      <c r="J106" s="61"/>
      <c r="K106" s="61"/>
      <c r="L106" s="61"/>
      <c r="M106" s="61"/>
      <c r="N106" s="61"/>
      <c r="O106" s="61"/>
      <c r="P106" s="61"/>
      <c r="Q106" s="61"/>
      <c r="R106" s="61"/>
      <c r="S106" s="61"/>
      <c r="T106" s="61"/>
      <c r="U106" s="61"/>
      <c r="V106" s="142" t="s">
        <v>123</v>
      </c>
      <c r="W106" s="206">
        <v>7.4999999999999997E-3</v>
      </c>
      <c r="X106" s="137"/>
      <c r="Y106" s="72"/>
      <c r="Z106" s="72"/>
      <c r="AA106" s="41"/>
      <c r="AB106" s="70">
        <f t="shared" ca="1" si="20"/>
        <v>0</v>
      </c>
      <c r="AC106" s="70">
        <f t="shared" ca="1" si="19"/>
        <v>7.4999999999999997E-3</v>
      </c>
      <c r="AD106" s="233">
        <f t="shared" si="12"/>
        <v>4</v>
      </c>
      <c r="AE106" s="234">
        <f t="shared" si="13"/>
        <v>18</v>
      </c>
      <c r="AF106" s="234">
        <f t="shared" si="14"/>
        <v>-5</v>
      </c>
      <c r="AG106" s="235">
        <f t="shared" si="15"/>
        <v>-0.27777777777777779</v>
      </c>
      <c r="AH106" s="236">
        <f t="shared" si="16"/>
        <v>-2.0833333333333333E-3</v>
      </c>
      <c r="AI106" s="235">
        <f t="shared" ca="1" si="17"/>
        <v>2.0833333333333333E-3</v>
      </c>
      <c r="AJ106" s="237"/>
    </row>
    <row r="107" spans="1:36" ht="35.4" customHeight="1" x14ac:dyDescent="0.25">
      <c r="A107" s="142" t="s">
        <v>43</v>
      </c>
      <c r="B107" s="143" t="s">
        <v>305</v>
      </c>
      <c r="C107" s="142" t="s">
        <v>90</v>
      </c>
      <c r="D107" s="142" t="s">
        <v>97</v>
      </c>
      <c r="E107" s="142" t="s">
        <v>165</v>
      </c>
      <c r="F107" s="145" t="s">
        <v>239</v>
      </c>
      <c r="G107" s="44" t="str">
        <f t="shared" si="18"/>
        <v>Asesor de Control Interno</v>
      </c>
      <c r="H107" s="184">
        <v>44319</v>
      </c>
      <c r="I107" s="184">
        <v>44350</v>
      </c>
      <c r="J107" s="61"/>
      <c r="K107" s="61"/>
      <c r="L107" s="61"/>
      <c r="M107" s="61"/>
      <c r="N107" s="61"/>
      <c r="O107" s="61"/>
      <c r="P107" s="61"/>
      <c r="Q107" s="61"/>
      <c r="R107" s="61"/>
      <c r="S107" s="61"/>
      <c r="T107" s="61"/>
      <c r="U107" s="61"/>
      <c r="V107" s="41" t="s">
        <v>334</v>
      </c>
      <c r="W107" s="208">
        <v>4.0000000000000001E-3</v>
      </c>
      <c r="X107" s="137"/>
      <c r="Y107" s="143"/>
      <c r="Z107" s="72"/>
      <c r="AA107" s="41"/>
      <c r="AB107" s="70">
        <f t="shared" ca="1" si="20"/>
        <v>0</v>
      </c>
      <c r="AC107" s="70">
        <f t="shared" ca="1" si="19"/>
        <v>4.0000000000000001E-3</v>
      </c>
      <c r="AD107" s="233">
        <f t="shared" si="12"/>
        <v>6</v>
      </c>
      <c r="AE107" s="234">
        <f t="shared" si="13"/>
        <v>31</v>
      </c>
      <c r="AF107" s="234">
        <f t="shared" si="14"/>
        <v>-33</v>
      </c>
      <c r="AG107" s="235">
        <f t="shared" si="15"/>
        <v>-1.064516129032258</v>
      </c>
      <c r="AH107" s="236">
        <f t="shared" si="16"/>
        <v>-4.2580645161290325E-3</v>
      </c>
      <c r="AI107" s="235">
        <f t="shared" ca="1" si="17"/>
        <v>4.2580645161290325E-3</v>
      </c>
      <c r="AJ107" s="237"/>
    </row>
    <row r="108" spans="1:36" ht="35.4" customHeight="1" x14ac:dyDescent="0.25">
      <c r="A108" s="154" t="s">
        <v>44</v>
      </c>
      <c r="B108" s="143" t="s">
        <v>280</v>
      </c>
      <c r="C108" s="142" t="s">
        <v>89</v>
      </c>
      <c r="D108" s="142" t="s">
        <v>96</v>
      </c>
      <c r="E108" s="142" t="s">
        <v>165</v>
      </c>
      <c r="F108" s="144" t="s">
        <v>159</v>
      </c>
      <c r="G108" s="44" t="str">
        <f t="shared" si="18"/>
        <v>Subdirector Financiero</v>
      </c>
      <c r="H108" s="137">
        <v>44291</v>
      </c>
      <c r="I108" s="137">
        <v>44316</v>
      </c>
      <c r="J108" s="61"/>
      <c r="K108" s="61"/>
      <c r="L108" s="61"/>
      <c r="M108" s="61"/>
      <c r="N108" s="61"/>
      <c r="O108" s="61"/>
      <c r="P108" s="61"/>
      <c r="Q108" s="61"/>
      <c r="R108" s="61"/>
      <c r="S108" s="61"/>
      <c r="T108" s="61"/>
      <c r="U108" s="61"/>
      <c r="V108" s="142" t="s">
        <v>123</v>
      </c>
      <c r="W108" s="206">
        <v>3.0000000000000001E-3</v>
      </c>
      <c r="X108" s="137"/>
      <c r="Y108" s="72"/>
      <c r="Z108" s="72"/>
      <c r="AA108" s="41"/>
      <c r="AB108" s="70">
        <f t="shared" ca="1" si="20"/>
        <v>0</v>
      </c>
      <c r="AC108" s="70">
        <f t="shared" ca="1" si="19"/>
        <v>3.0000000000000001E-3</v>
      </c>
      <c r="AD108" s="233">
        <f t="shared" si="12"/>
        <v>4</v>
      </c>
      <c r="AE108" s="234">
        <f t="shared" si="13"/>
        <v>25</v>
      </c>
      <c r="AF108" s="234">
        <f t="shared" si="14"/>
        <v>-5</v>
      </c>
      <c r="AG108" s="235">
        <f t="shared" si="15"/>
        <v>-0.2</v>
      </c>
      <c r="AH108" s="236">
        <f t="shared" si="16"/>
        <v>-6.0000000000000006E-4</v>
      </c>
      <c r="AI108" s="235">
        <f t="shared" ca="1" si="17"/>
        <v>6.0000000000000006E-4</v>
      </c>
      <c r="AJ108" s="237"/>
    </row>
    <row r="109" spans="1:36" ht="35.4" customHeight="1" x14ac:dyDescent="0.25">
      <c r="A109" s="142" t="s">
        <v>50</v>
      </c>
      <c r="B109" s="143" t="s">
        <v>320</v>
      </c>
      <c r="C109" s="142" t="s">
        <v>83</v>
      </c>
      <c r="D109" s="142" t="s">
        <v>100</v>
      </c>
      <c r="E109" s="142" t="s">
        <v>165</v>
      </c>
      <c r="F109" s="144" t="s">
        <v>263</v>
      </c>
      <c r="G109" s="44" t="str">
        <f t="shared" si="18"/>
        <v>Director de Mejoramiento de Vivienda</v>
      </c>
      <c r="H109" s="184">
        <v>44295</v>
      </c>
      <c r="I109" s="184">
        <v>44306</v>
      </c>
      <c r="J109" s="61"/>
      <c r="K109" s="61"/>
      <c r="L109" s="61"/>
      <c r="M109" s="61"/>
      <c r="N109" s="61"/>
      <c r="O109" s="61"/>
      <c r="P109" s="61"/>
      <c r="Q109" s="61"/>
      <c r="R109" s="61"/>
      <c r="S109" s="61"/>
      <c r="T109" s="61"/>
      <c r="U109" s="61"/>
      <c r="V109" s="142" t="s">
        <v>123</v>
      </c>
      <c r="W109" s="206">
        <v>0.01</v>
      </c>
      <c r="X109" s="137"/>
      <c r="Y109" s="72"/>
      <c r="Z109" s="72"/>
      <c r="AA109" s="41"/>
      <c r="AB109" s="70">
        <f t="shared" ca="1" si="20"/>
        <v>0</v>
      </c>
      <c r="AC109" s="70">
        <f t="shared" ca="1" si="19"/>
        <v>0.01</v>
      </c>
      <c r="AD109" s="233">
        <f t="shared" si="12"/>
        <v>4</v>
      </c>
      <c r="AE109" s="234">
        <f t="shared" si="13"/>
        <v>11</v>
      </c>
      <c r="AF109" s="234">
        <f t="shared" si="14"/>
        <v>-9</v>
      </c>
      <c r="AG109" s="235">
        <f t="shared" si="15"/>
        <v>-0.81818181818181823</v>
      </c>
      <c r="AH109" s="236">
        <f t="shared" si="16"/>
        <v>-8.1818181818181825E-3</v>
      </c>
      <c r="AI109" s="235">
        <f t="shared" ca="1" si="17"/>
        <v>8.1818181818181825E-3</v>
      </c>
      <c r="AJ109" s="237"/>
    </row>
    <row r="110" spans="1:36" ht="35.4" customHeight="1" x14ac:dyDescent="0.25">
      <c r="A110" s="154" t="s">
        <v>44</v>
      </c>
      <c r="B110" s="143" t="s">
        <v>94</v>
      </c>
      <c r="C110" s="142" t="s">
        <v>87</v>
      </c>
      <c r="D110" s="142" t="s">
        <v>96</v>
      </c>
      <c r="E110" s="142" t="s">
        <v>165</v>
      </c>
      <c r="F110" s="144" t="s">
        <v>159</v>
      </c>
      <c r="G110" s="44" t="str">
        <f t="shared" si="18"/>
        <v>Subdirector Administrativo</v>
      </c>
      <c r="H110" s="137">
        <v>44299</v>
      </c>
      <c r="I110" s="137">
        <v>44329</v>
      </c>
      <c r="J110" s="61"/>
      <c r="K110" s="61"/>
      <c r="L110" s="61"/>
      <c r="M110" s="61"/>
      <c r="N110" s="61"/>
      <c r="O110" s="61"/>
      <c r="P110" s="61"/>
      <c r="Q110" s="61"/>
      <c r="R110" s="61"/>
      <c r="S110" s="61"/>
      <c r="T110" s="61"/>
      <c r="U110" s="61"/>
      <c r="V110" s="142" t="s">
        <v>123</v>
      </c>
      <c r="W110" s="206">
        <v>0.01</v>
      </c>
      <c r="X110" s="137"/>
      <c r="Y110" s="143"/>
      <c r="Z110" s="72"/>
      <c r="AA110" s="41"/>
      <c r="AB110" s="70">
        <f t="shared" ca="1" si="20"/>
        <v>0</v>
      </c>
      <c r="AC110" s="70">
        <f t="shared" ca="1" si="19"/>
        <v>0.01</v>
      </c>
      <c r="AD110" s="233">
        <f t="shared" si="12"/>
        <v>5</v>
      </c>
      <c r="AE110" s="234">
        <f t="shared" si="13"/>
        <v>30</v>
      </c>
      <c r="AF110" s="234">
        <f t="shared" si="14"/>
        <v>-13</v>
      </c>
      <c r="AG110" s="235">
        <f t="shared" si="15"/>
        <v>-0.43333333333333335</v>
      </c>
      <c r="AH110" s="236">
        <f t="shared" si="16"/>
        <v>-4.333333333333334E-3</v>
      </c>
      <c r="AI110" s="235">
        <f t="shared" ca="1" si="17"/>
        <v>4.333333333333334E-3</v>
      </c>
      <c r="AJ110" s="237"/>
    </row>
    <row r="111" spans="1:36" ht="35.4" customHeight="1" x14ac:dyDescent="0.25">
      <c r="A111" s="142" t="s">
        <v>50</v>
      </c>
      <c r="B111" s="143" t="s">
        <v>322</v>
      </c>
      <c r="C111" s="142" t="s">
        <v>80</v>
      </c>
      <c r="D111" s="142" t="s">
        <v>100</v>
      </c>
      <c r="E111" s="142" t="s">
        <v>165</v>
      </c>
      <c r="F111" s="144" t="s">
        <v>263</v>
      </c>
      <c r="G111" s="44" t="str">
        <f t="shared" si="18"/>
        <v>Director de Reasentamientos Humanos</v>
      </c>
      <c r="H111" s="184">
        <v>44307</v>
      </c>
      <c r="I111" s="184">
        <v>44316</v>
      </c>
      <c r="J111" s="61"/>
      <c r="K111" s="61"/>
      <c r="L111" s="61"/>
      <c r="M111" s="61"/>
      <c r="N111" s="61"/>
      <c r="O111" s="61"/>
      <c r="P111" s="61"/>
      <c r="Q111" s="61"/>
      <c r="R111" s="61"/>
      <c r="S111" s="61"/>
      <c r="T111" s="61"/>
      <c r="U111" s="61"/>
      <c r="V111" s="142" t="s">
        <v>123</v>
      </c>
      <c r="W111" s="206">
        <v>3.7499999999999999E-3</v>
      </c>
      <c r="X111" s="137"/>
      <c r="Y111" s="72"/>
      <c r="Z111" s="72"/>
      <c r="AA111" s="41"/>
      <c r="AB111" s="70">
        <f t="shared" ca="1" si="20"/>
        <v>0</v>
      </c>
      <c r="AC111" s="70">
        <f t="shared" ca="1" si="19"/>
        <v>3.7499999999999999E-3</v>
      </c>
      <c r="AD111" s="233">
        <f t="shared" si="12"/>
        <v>4</v>
      </c>
      <c r="AE111" s="234">
        <f t="shared" si="13"/>
        <v>9</v>
      </c>
      <c r="AF111" s="234">
        <f t="shared" si="14"/>
        <v>-21</v>
      </c>
      <c r="AG111" s="235">
        <f t="shared" si="15"/>
        <v>-2.3333333333333335</v>
      </c>
      <c r="AH111" s="236">
        <f t="shared" si="16"/>
        <v>-8.7500000000000008E-3</v>
      </c>
      <c r="AI111" s="235">
        <f t="shared" ca="1" si="17"/>
        <v>8.7500000000000008E-3</v>
      </c>
      <c r="AJ111" s="237"/>
    </row>
    <row r="112" spans="1:36" ht="35.4" customHeight="1" x14ac:dyDescent="0.25">
      <c r="A112" s="154" t="s">
        <v>51</v>
      </c>
      <c r="B112" s="143" t="s">
        <v>357</v>
      </c>
      <c r="C112" s="142" t="s">
        <v>98</v>
      </c>
      <c r="D112" s="142" t="s">
        <v>98</v>
      </c>
      <c r="E112" s="142" t="s">
        <v>165</v>
      </c>
      <c r="F112" s="144" t="s">
        <v>263</v>
      </c>
      <c r="G112" s="44" t="str">
        <f t="shared" si="18"/>
        <v>Líderes de Cada Proceso</v>
      </c>
      <c r="H112" s="137">
        <v>44312</v>
      </c>
      <c r="I112" s="137">
        <v>44330</v>
      </c>
      <c r="J112" s="61"/>
      <c r="K112" s="61"/>
      <c r="L112" s="61"/>
      <c r="M112" s="61"/>
      <c r="N112" s="61"/>
      <c r="O112" s="61"/>
      <c r="P112" s="61"/>
      <c r="Q112" s="61"/>
      <c r="R112" s="61"/>
      <c r="S112" s="61"/>
      <c r="T112" s="61"/>
      <c r="U112" s="61"/>
      <c r="V112" s="142" t="s">
        <v>123</v>
      </c>
      <c r="W112" s="206">
        <v>1.6E-2</v>
      </c>
      <c r="X112" s="137"/>
      <c r="Y112" s="143"/>
      <c r="Z112" s="72"/>
      <c r="AA112" s="41"/>
      <c r="AB112" s="70">
        <f t="shared" ca="1" si="20"/>
        <v>0</v>
      </c>
      <c r="AC112" s="70">
        <f t="shared" ca="1" si="19"/>
        <v>1.6E-2</v>
      </c>
      <c r="AD112" s="233">
        <f t="shared" si="12"/>
        <v>5</v>
      </c>
      <c r="AE112" s="234">
        <f t="shared" si="13"/>
        <v>18</v>
      </c>
      <c r="AF112" s="234">
        <f t="shared" si="14"/>
        <v>-26</v>
      </c>
      <c r="AG112" s="235">
        <f t="shared" si="15"/>
        <v>-1.4444444444444444</v>
      </c>
      <c r="AH112" s="236">
        <f t="shared" si="16"/>
        <v>-2.311111111111111E-2</v>
      </c>
      <c r="AI112" s="235">
        <f t="shared" ca="1" si="17"/>
        <v>2.311111111111111E-2</v>
      </c>
      <c r="AJ112" s="237"/>
    </row>
    <row r="113" spans="1:36" ht="35.4" customHeight="1" x14ac:dyDescent="0.25">
      <c r="A113" s="154" t="s">
        <v>51</v>
      </c>
      <c r="B113" s="143" t="s">
        <v>358</v>
      </c>
      <c r="C113" s="142" t="s">
        <v>98</v>
      </c>
      <c r="D113" s="142" t="s">
        <v>98</v>
      </c>
      <c r="E113" s="142" t="s">
        <v>165</v>
      </c>
      <c r="F113" s="144" t="s">
        <v>263</v>
      </c>
      <c r="G113" s="44" t="str">
        <f t="shared" si="18"/>
        <v>Líderes de Cada Proceso</v>
      </c>
      <c r="H113" s="137">
        <v>44312</v>
      </c>
      <c r="I113" s="137">
        <v>44330</v>
      </c>
      <c r="J113" s="61"/>
      <c r="K113" s="61"/>
      <c r="L113" s="61"/>
      <c r="M113" s="61"/>
      <c r="N113" s="61"/>
      <c r="O113" s="61"/>
      <c r="P113" s="61"/>
      <c r="Q113" s="61"/>
      <c r="R113" s="61"/>
      <c r="S113" s="61"/>
      <c r="T113" s="61"/>
      <c r="U113" s="61"/>
      <c r="V113" s="41" t="s">
        <v>123</v>
      </c>
      <c r="W113" s="206">
        <v>1.6E-2</v>
      </c>
      <c r="X113" s="137"/>
      <c r="Y113" s="143"/>
      <c r="Z113" s="72"/>
      <c r="AA113" s="41"/>
      <c r="AB113" s="70">
        <f t="shared" ca="1" si="20"/>
        <v>0</v>
      </c>
      <c r="AC113" s="70">
        <f t="shared" ca="1" si="19"/>
        <v>1.6E-2</v>
      </c>
      <c r="AD113" s="233">
        <f t="shared" si="12"/>
        <v>5</v>
      </c>
      <c r="AE113" s="234">
        <f t="shared" si="13"/>
        <v>18</v>
      </c>
      <c r="AF113" s="234">
        <f t="shared" si="14"/>
        <v>-26</v>
      </c>
      <c r="AG113" s="235">
        <f t="shared" si="15"/>
        <v>-1.4444444444444444</v>
      </c>
      <c r="AH113" s="236">
        <f t="shared" si="16"/>
        <v>-2.311111111111111E-2</v>
      </c>
      <c r="AI113" s="235">
        <f t="shared" ca="1" si="17"/>
        <v>2.311111111111111E-2</v>
      </c>
      <c r="AJ113" s="237"/>
    </row>
    <row r="114" spans="1:36" ht="35.4" customHeight="1" x14ac:dyDescent="0.25">
      <c r="A114" s="142" t="s">
        <v>45</v>
      </c>
      <c r="B114" s="143" t="s">
        <v>289</v>
      </c>
      <c r="C114" s="142" t="s">
        <v>90</v>
      </c>
      <c r="D114" s="142" t="s">
        <v>97</v>
      </c>
      <c r="E114" s="142" t="s">
        <v>165</v>
      </c>
      <c r="F114" s="145" t="s">
        <v>239</v>
      </c>
      <c r="G114" s="44" t="str">
        <f t="shared" si="18"/>
        <v>Asesor de Control Interno</v>
      </c>
      <c r="H114" s="137">
        <v>44314</v>
      </c>
      <c r="I114" s="137">
        <v>44320</v>
      </c>
      <c r="J114" s="61"/>
      <c r="K114" s="61"/>
      <c r="L114" s="61"/>
      <c r="M114" s="61"/>
      <c r="N114" s="61"/>
      <c r="O114" s="61"/>
      <c r="P114" s="61"/>
      <c r="Q114" s="61"/>
      <c r="R114" s="61"/>
      <c r="S114" s="61"/>
      <c r="T114" s="61"/>
      <c r="U114" s="61"/>
      <c r="V114" s="41" t="s">
        <v>215</v>
      </c>
      <c r="W114" s="206">
        <v>3.0000000000000001E-3</v>
      </c>
      <c r="X114" s="137"/>
      <c r="Y114" s="143"/>
      <c r="Z114" s="72"/>
      <c r="AA114" s="41"/>
      <c r="AB114" s="70">
        <f t="shared" ca="1" si="20"/>
        <v>0</v>
      </c>
      <c r="AC114" s="70">
        <f t="shared" ca="1" si="19"/>
        <v>3.0000000000000001E-3</v>
      </c>
      <c r="AD114" s="233">
        <f t="shared" si="12"/>
        <v>5</v>
      </c>
      <c r="AE114" s="234">
        <f t="shared" si="13"/>
        <v>6</v>
      </c>
      <c r="AF114" s="234">
        <f t="shared" si="14"/>
        <v>-28</v>
      </c>
      <c r="AG114" s="235">
        <f t="shared" si="15"/>
        <v>-4.666666666666667</v>
      </c>
      <c r="AH114" s="236">
        <f t="shared" si="16"/>
        <v>-1.4000000000000002E-2</v>
      </c>
      <c r="AI114" s="235">
        <f t="shared" ca="1" si="17"/>
        <v>1.4000000000000002E-2</v>
      </c>
      <c r="AJ114" s="237"/>
    </row>
    <row r="115" spans="1:36" ht="35.4" customHeight="1" x14ac:dyDescent="0.25">
      <c r="A115" s="154" t="s">
        <v>46</v>
      </c>
      <c r="B115" s="143" t="s">
        <v>314</v>
      </c>
      <c r="C115" s="142" t="s">
        <v>82</v>
      </c>
      <c r="D115" s="142" t="s">
        <v>100</v>
      </c>
      <c r="E115" s="142" t="s">
        <v>165</v>
      </c>
      <c r="F115" s="145" t="s">
        <v>239</v>
      </c>
      <c r="G115" s="44" t="str">
        <f t="shared" si="18"/>
        <v>Director de Mejoramiento de Barrios</v>
      </c>
      <c r="H115" s="137">
        <v>44315</v>
      </c>
      <c r="I115" s="137">
        <v>44320</v>
      </c>
      <c r="J115" s="61"/>
      <c r="K115" s="61"/>
      <c r="L115" s="61"/>
      <c r="M115" s="61"/>
      <c r="N115" s="61"/>
      <c r="O115" s="61"/>
      <c r="P115" s="61"/>
      <c r="Q115" s="61"/>
      <c r="R115" s="61"/>
      <c r="S115" s="61"/>
      <c r="T115" s="61"/>
      <c r="U115" s="61"/>
      <c r="V115" s="140" t="s">
        <v>317</v>
      </c>
      <c r="W115" s="206">
        <v>1E-3</v>
      </c>
      <c r="X115" s="137"/>
      <c r="Y115" s="72"/>
      <c r="Z115" s="72"/>
      <c r="AA115" s="41"/>
      <c r="AB115" s="70">
        <f t="shared" ca="1" si="20"/>
        <v>0</v>
      </c>
      <c r="AC115" s="70">
        <f t="shared" ca="1" si="19"/>
        <v>1E-3</v>
      </c>
      <c r="AD115" s="233">
        <f t="shared" si="12"/>
        <v>5</v>
      </c>
      <c r="AE115" s="234">
        <f t="shared" si="13"/>
        <v>5</v>
      </c>
      <c r="AF115" s="234">
        <f t="shared" si="14"/>
        <v>-29</v>
      </c>
      <c r="AG115" s="235">
        <f t="shared" si="15"/>
        <v>-5.8</v>
      </c>
      <c r="AH115" s="236">
        <f t="shared" si="16"/>
        <v>-5.7999999999999996E-3</v>
      </c>
      <c r="AI115" s="235">
        <f t="shared" ca="1" si="17"/>
        <v>5.7999999999999996E-3</v>
      </c>
      <c r="AJ115" s="237"/>
    </row>
    <row r="116" spans="1:36" ht="35.4" customHeight="1" x14ac:dyDescent="0.25">
      <c r="A116" s="142" t="s">
        <v>45</v>
      </c>
      <c r="B116" s="143" t="s">
        <v>114</v>
      </c>
      <c r="C116" s="142" t="s">
        <v>90</v>
      </c>
      <c r="D116" s="142" t="s">
        <v>97</v>
      </c>
      <c r="E116" s="142" t="s">
        <v>165</v>
      </c>
      <c r="F116" s="145" t="s">
        <v>239</v>
      </c>
      <c r="G116" s="44" t="str">
        <f t="shared" si="18"/>
        <v>Asesor de Control Interno</v>
      </c>
      <c r="H116" s="137">
        <v>44319</v>
      </c>
      <c r="I116" s="137">
        <v>44322</v>
      </c>
      <c r="J116" s="61"/>
      <c r="K116" s="61"/>
      <c r="L116" s="61"/>
      <c r="M116" s="61"/>
      <c r="N116" s="61"/>
      <c r="O116" s="61"/>
      <c r="P116" s="61"/>
      <c r="Q116" s="61"/>
      <c r="R116" s="61"/>
      <c r="S116" s="61"/>
      <c r="T116" s="61"/>
      <c r="U116" s="61"/>
      <c r="V116" s="142" t="s">
        <v>202</v>
      </c>
      <c r="W116" s="206">
        <v>3.0000000000000001E-3</v>
      </c>
      <c r="X116" s="137"/>
      <c r="Y116" s="143"/>
      <c r="Z116" s="72"/>
      <c r="AA116" s="41"/>
      <c r="AB116" s="70">
        <f t="shared" ca="1" si="20"/>
        <v>0</v>
      </c>
      <c r="AC116" s="70">
        <f t="shared" ca="1" si="19"/>
        <v>3.0000000000000001E-3</v>
      </c>
      <c r="AD116" s="233">
        <f t="shared" si="12"/>
        <v>5</v>
      </c>
      <c r="AE116" s="234">
        <f t="shared" si="13"/>
        <v>3</v>
      </c>
      <c r="AF116" s="234">
        <f t="shared" si="14"/>
        <v>-33</v>
      </c>
      <c r="AG116" s="235">
        <f t="shared" si="15"/>
        <v>-11</v>
      </c>
      <c r="AH116" s="236">
        <f t="shared" si="16"/>
        <v>-3.3000000000000002E-2</v>
      </c>
      <c r="AI116" s="235">
        <f t="shared" ca="1" si="17"/>
        <v>3.3000000000000002E-2</v>
      </c>
      <c r="AJ116" s="237"/>
    </row>
    <row r="117" spans="1:36" ht="35.4" customHeight="1" x14ac:dyDescent="0.25">
      <c r="A117" s="154" t="s">
        <v>46</v>
      </c>
      <c r="B117" s="143" t="s">
        <v>93</v>
      </c>
      <c r="C117" s="142" t="s">
        <v>89</v>
      </c>
      <c r="D117" s="142" t="s">
        <v>96</v>
      </c>
      <c r="E117" s="142" t="s">
        <v>165</v>
      </c>
      <c r="F117" s="144" t="s">
        <v>240</v>
      </c>
      <c r="G117" s="44" t="str">
        <f t="shared" si="18"/>
        <v>Subdirector Financiero</v>
      </c>
      <c r="H117" s="137">
        <v>44319</v>
      </c>
      <c r="I117" s="137">
        <v>44327</v>
      </c>
      <c r="J117" s="61"/>
      <c r="K117" s="61"/>
      <c r="L117" s="61"/>
      <c r="M117" s="61"/>
      <c r="N117" s="61"/>
      <c r="O117" s="61"/>
      <c r="P117" s="61"/>
      <c r="Q117" s="61"/>
      <c r="R117" s="61"/>
      <c r="S117" s="61"/>
      <c r="T117" s="61"/>
      <c r="U117" s="61"/>
      <c r="V117" s="142" t="s">
        <v>332</v>
      </c>
      <c r="W117" s="206">
        <v>1E-3</v>
      </c>
      <c r="X117" s="137"/>
      <c r="Y117" s="72"/>
      <c r="Z117" s="72"/>
      <c r="AA117" s="41"/>
      <c r="AB117" s="70">
        <f t="shared" ca="1" si="20"/>
        <v>0</v>
      </c>
      <c r="AC117" s="70">
        <f t="shared" ca="1" si="19"/>
        <v>1E-3</v>
      </c>
      <c r="AD117" s="233">
        <f t="shared" si="12"/>
        <v>5</v>
      </c>
      <c r="AE117" s="234">
        <f t="shared" si="13"/>
        <v>8</v>
      </c>
      <c r="AF117" s="234">
        <f t="shared" si="14"/>
        <v>-33</v>
      </c>
      <c r="AG117" s="235">
        <f t="shared" si="15"/>
        <v>-4.125</v>
      </c>
      <c r="AH117" s="236">
        <f t="shared" si="16"/>
        <v>-4.1250000000000002E-3</v>
      </c>
      <c r="AI117" s="235">
        <f t="shared" ca="1" si="17"/>
        <v>4.1250000000000002E-3</v>
      </c>
      <c r="AJ117" s="237"/>
    </row>
    <row r="118" spans="1:36" ht="35.4" customHeight="1" x14ac:dyDescent="0.25">
      <c r="A118" s="154" t="s">
        <v>44</v>
      </c>
      <c r="B118" s="143" t="s">
        <v>92</v>
      </c>
      <c r="C118" s="142" t="s">
        <v>89</v>
      </c>
      <c r="D118" s="142" t="s">
        <v>96</v>
      </c>
      <c r="E118" s="142" t="s">
        <v>165</v>
      </c>
      <c r="F118" s="144" t="s">
        <v>203</v>
      </c>
      <c r="G118" s="44" t="str">
        <f t="shared" si="18"/>
        <v>Subdirector Financiero</v>
      </c>
      <c r="H118" s="137">
        <v>44319</v>
      </c>
      <c r="I118" s="137">
        <v>44327</v>
      </c>
      <c r="J118" s="61"/>
      <c r="K118" s="61"/>
      <c r="L118" s="61"/>
      <c r="M118" s="61"/>
      <c r="N118" s="61"/>
      <c r="O118" s="61"/>
      <c r="P118" s="61"/>
      <c r="Q118" s="61"/>
      <c r="R118" s="61"/>
      <c r="S118" s="61"/>
      <c r="T118" s="61"/>
      <c r="U118" s="61"/>
      <c r="V118" s="142" t="s">
        <v>123</v>
      </c>
      <c r="W118" s="206">
        <v>1E-3</v>
      </c>
      <c r="X118" s="137"/>
      <c r="Y118" s="143"/>
      <c r="Z118" s="143"/>
      <c r="AA118" s="41"/>
      <c r="AB118" s="70">
        <f t="shared" ca="1" si="20"/>
        <v>0</v>
      </c>
      <c r="AC118" s="70">
        <f t="shared" ca="1" si="19"/>
        <v>1E-3</v>
      </c>
      <c r="AD118" s="233">
        <f t="shared" si="12"/>
        <v>5</v>
      </c>
      <c r="AE118" s="234">
        <f t="shared" si="13"/>
        <v>8</v>
      </c>
      <c r="AF118" s="234">
        <f t="shared" si="14"/>
        <v>-33</v>
      </c>
      <c r="AG118" s="235">
        <f t="shared" si="15"/>
        <v>-4.125</v>
      </c>
      <c r="AH118" s="236">
        <f t="shared" si="16"/>
        <v>-4.1250000000000002E-3</v>
      </c>
      <c r="AI118" s="235">
        <f t="shared" ca="1" si="17"/>
        <v>4.1250000000000002E-3</v>
      </c>
      <c r="AJ118" s="237"/>
    </row>
    <row r="119" spans="1:36" ht="35.4" customHeight="1" x14ac:dyDescent="0.25">
      <c r="A119" s="142" t="s">
        <v>50</v>
      </c>
      <c r="B119" s="143" t="s">
        <v>461</v>
      </c>
      <c r="C119" s="142" t="s">
        <v>81</v>
      </c>
      <c r="D119" s="142" t="s">
        <v>100</v>
      </c>
      <c r="E119" s="142" t="s">
        <v>165</v>
      </c>
      <c r="F119" s="144" t="s">
        <v>240</v>
      </c>
      <c r="G119" s="44" t="str">
        <f t="shared" si="18"/>
        <v>Director de Urbanizaciones y Titulación</v>
      </c>
      <c r="H119" s="137">
        <v>44319</v>
      </c>
      <c r="I119" s="137">
        <v>44377</v>
      </c>
      <c r="J119" s="61"/>
      <c r="K119" s="61"/>
      <c r="L119" s="61"/>
      <c r="M119" s="61"/>
      <c r="N119" s="61"/>
      <c r="O119" s="61"/>
      <c r="P119" s="61"/>
      <c r="Q119" s="61"/>
      <c r="R119" s="61"/>
      <c r="S119" s="61"/>
      <c r="T119" s="61"/>
      <c r="U119" s="61"/>
      <c r="V119" s="142" t="s">
        <v>123</v>
      </c>
      <c r="W119" s="206">
        <v>1.25E-3</v>
      </c>
      <c r="X119" s="137"/>
      <c r="Y119" s="72"/>
      <c r="Z119" s="72"/>
      <c r="AA119" s="41"/>
      <c r="AB119" s="70">
        <f t="shared" ca="1" si="20"/>
        <v>0</v>
      </c>
      <c r="AC119" s="70">
        <f t="shared" ca="1" si="19"/>
        <v>1.25E-3</v>
      </c>
      <c r="AD119" s="233">
        <f t="shared" si="12"/>
        <v>6</v>
      </c>
      <c r="AE119" s="234">
        <f t="shared" si="13"/>
        <v>58</v>
      </c>
      <c r="AF119" s="234">
        <f t="shared" si="14"/>
        <v>-33</v>
      </c>
      <c r="AG119" s="235">
        <f t="shared" si="15"/>
        <v>-0.56896551724137934</v>
      </c>
      <c r="AH119" s="236">
        <f t="shared" si="16"/>
        <v>-7.1120689655172417E-4</v>
      </c>
      <c r="AI119" s="235">
        <f t="shared" ca="1" si="17"/>
        <v>7.1120689655172417E-4</v>
      </c>
      <c r="AJ119" s="237"/>
    </row>
    <row r="120" spans="1:36" ht="35.4" customHeight="1" x14ac:dyDescent="0.25">
      <c r="A120" s="142" t="s">
        <v>50</v>
      </c>
      <c r="B120" s="143" t="s">
        <v>461</v>
      </c>
      <c r="C120" s="142" t="s">
        <v>89</v>
      </c>
      <c r="D120" s="142" t="s">
        <v>96</v>
      </c>
      <c r="E120" s="142" t="s">
        <v>165</v>
      </c>
      <c r="F120" s="144" t="s">
        <v>240</v>
      </c>
      <c r="G120" s="44" t="str">
        <f t="shared" si="18"/>
        <v>Subdirector Financiero</v>
      </c>
      <c r="H120" s="137">
        <v>44319</v>
      </c>
      <c r="I120" s="137">
        <v>44377</v>
      </c>
      <c r="J120" s="61"/>
      <c r="K120" s="61"/>
      <c r="L120" s="61"/>
      <c r="M120" s="61"/>
      <c r="N120" s="61"/>
      <c r="O120" s="61"/>
      <c r="P120" s="61"/>
      <c r="Q120" s="61"/>
      <c r="R120" s="61"/>
      <c r="S120" s="61"/>
      <c r="T120" s="61"/>
      <c r="U120" s="61"/>
      <c r="V120" s="142" t="s">
        <v>123</v>
      </c>
      <c r="W120" s="206">
        <v>1.25E-3</v>
      </c>
      <c r="X120" s="137"/>
      <c r="Y120" s="80"/>
      <c r="Z120" s="72"/>
      <c r="AA120" s="41"/>
      <c r="AB120" s="70">
        <f t="shared" ca="1" si="20"/>
        <v>0</v>
      </c>
      <c r="AC120" s="70">
        <f t="shared" ca="1" si="19"/>
        <v>1.25E-3</v>
      </c>
      <c r="AD120" s="233">
        <f t="shared" si="12"/>
        <v>6</v>
      </c>
      <c r="AE120" s="234">
        <f t="shared" si="13"/>
        <v>58</v>
      </c>
      <c r="AF120" s="234">
        <f t="shared" si="14"/>
        <v>-33</v>
      </c>
      <c r="AG120" s="235">
        <f t="shared" si="15"/>
        <v>-0.56896551724137934</v>
      </c>
      <c r="AH120" s="236">
        <f t="shared" si="16"/>
        <v>-7.1120689655172417E-4</v>
      </c>
      <c r="AI120" s="235">
        <f t="shared" ca="1" si="17"/>
        <v>7.1120689655172417E-4</v>
      </c>
      <c r="AJ120" s="237"/>
    </row>
    <row r="121" spans="1:36" ht="35.4" customHeight="1" x14ac:dyDescent="0.25">
      <c r="A121" s="142" t="s">
        <v>50</v>
      </c>
      <c r="B121" s="143" t="s">
        <v>458</v>
      </c>
      <c r="C121" s="142" t="s">
        <v>89</v>
      </c>
      <c r="D121" s="142" t="s">
        <v>96</v>
      </c>
      <c r="E121" s="142" t="s">
        <v>165</v>
      </c>
      <c r="F121" s="144" t="s">
        <v>240</v>
      </c>
      <c r="G121" s="44" t="str">
        <f t="shared" si="18"/>
        <v>Subdirector Financiero</v>
      </c>
      <c r="H121" s="137">
        <v>44319</v>
      </c>
      <c r="I121" s="137">
        <v>44377</v>
      </c>
      <c r="J121" s="61"/>
      <c r="K121" s="61"/>
      <c r="L121" s="61"/>
      <c r="M121" s="61"/>
      <c r="N121" s="61"/>
      <c r="O121" s="61"/>
      <c r="P121" s="61"/>
      <c r="Q121" s="61"/>
      <c r="R121" s="61"/>
      <c r="S121" s="61"/>
      <c r="T121" s="61"/>
      <c r="U121" s="61"/>
      <c r="V121" s="142" t="s">
        <v>123</v>
      </c>
      <c r="W121" s="206">
        <v>1.25E-3</v>
      </c>
      <c r="X121" s="137"/>
      <c r="Y121" s="72"/>
      <c r="Z121" s="72"/>
      <c r="AA121" s="142"/>
      <c r="AB121" s="70">
        <f t="shared" ca="1" si="20"/>
        <v>0</v>
      </c>
      <c r="AC121" s="70">
        <f t="shared" ca="1" si="19"/>
        <v>1.25E-3</v>
      </c>
      <c r="AD121" s="233">
        <f t="shared" si="12"/>
        <v>6</v>
      </c>
      <c r="AE121" s="234">
        <f t="shared" si="13"/>
        <v>58</v>
      </c>
      <c r="AF121" s="234">
        <f t="shared" si="14"/>
        <v>-33</v>
      </c>
      <c r="AG121" s="235">
        <f t="shared" si="15"/>
        <v>-0.56896551724137934</v>
      </c>
      <c r="AH121" s="236">
        <f t="shared" si="16"/>
        <v>-7.1120689655172417E-4</v>
      </c>
      <c r="AI121" s="235">
        <f t="shared" ca="1" si="17"/>
        <v>7.1120689655172417E-4</v>
      </c>
      <c r="AJ121" s="237"/>
    </row>
    <row r="122" spans="1:36" ht="35.4" customHeight="1" x14ac:dyDescent="0.25">
      <c r="A122" s="142" t="s">
        <v>50</v>
      </c>
      <c r="B122" s="143" t="s">
        <v>458</v>
      </c>
      <c r="C122" s="142" t="s">
        <v>81</v>
      </c>
      <c r="D122" s="142" t="s">
        <v>100</v>
      </c>
      <c r="E122" s="142" t="s">
        <v>165</v>
      </c>
      <c r="F122" s="144" t="s">
        <v>240</v>
      </c>
      <c r="G122" s="44" t="str">
        <f t="shared" si="18"/>
        <v>Director de Urbanizaciones y Titulación</v>
      </c>
      <c r="H122" s="137">
        <v>44319</v>
      </c>
      <c r="I122" s="137">
        <v>44377</v>
      </c>
      <c r="J122" s="61"/>
      <c r="K122" s="61"/>
      <c r="L122" s="61"/>
      <c r="M122" s="61"/>
      <c r="N122" s="61"/>
      <c r="O122" s="61"/>
      <c r="P122" s="61"/>
      <c r="Q122" s="61"/>
      <c r="R122" s="61"/>
      <c r="S122" s="61"/>
      <c r="T122" s="61"/>
      <c r="U122" s="61"/>
      <c r="V122" s="142" t="s">
        <v>123</v>
      </c>
      <c r="W122" s="206">
        <v>1.25E-3</v>
      </c>
      <c r="X122" s="137"/>
      <c r="Y122" s="72"/>
      <c r="Z122" s="72"/>
      <c r="AA122" s="142"/>
      <c r="AB122" s="70">
        <f t="shared" ca="1" si="20"/>
        <v>0</v>
      </c>
      <c r="AC122" s="70">
        <f t="shared" ca="1" si="19"/>
        <v>1.25E-3</v>
      </c>
      <c r="AD122" s="233">
        <f t="shared" si="12"/>
        <v>6</v>
      </c>
      <c r="AE122" s="234">
        <f t="shared" si="13"/>
        <v>58</v>
      </c>
      <c r="AF122" s="234">
        <f t="shared" si="14"/>
        <v>-33</v>
      </c>
      <c r="AG122" s="235">
        <f t="shared" si="15"/>
        <v>-0.56896551724137934</v>
      </c>
      <c r="AH122" s="236">
        <f t="shared" si="16"/>
        <v>-7.1120689655172417E-4</v>
      </c>
      <c r="AI122" s="235">
        <f t="shared" ca="1" si="17"/>
        <v>7.1120689655172417E-4</v>
      </c>
      <c r="AJ122" s="237"/>
    </row>
    <row r="123" spans="1:36" ht="35.4" customHeight="1" x14ac:dyDescent="0.25">
      <c r="A123" s="142" t="s">
        <v>50</v>
      </c>
      <c r="B123" s="143" t="s">
        <v>460</v>
      </c>
      <c r="C123" s="142" t="s">
        <v>81</v>
      </c>
      <c r="D123" s="142" t="s">
        <v>100</v>
      </c>
      <c r="E123" s="142" t="s">
        <v>165</v>
      </c>
      <c r="F123" s="144" t="s">
        <v>240</v>
      </c>
      <c r="G123" s="44" t="str">
        <f t="shared" si="18"/>
        <v>Director de Urbanizaciones y Titulación</v>
      </c>
      <c r="H123" s="137">
        <v>44319</v>
      </c>
      <c r="I123" s="137">
        <v>44377</v>
      </c>
      <c r="J123" s="61"/>
      <c r="K123" s="61"/>
      <c r="L123" s="61"/>
      <c r="M123" s="61"/>
      <c r="N123" s="61"/>
      <c r="O123" s="61"/>
      <c r="P123" s="61"/>
      <c r="Q123" s="61"/>
      <c r="R123" s="61"/>
      <c r="S123" s="61"/>
      <c r="T123" s="61"/>
      <c r="U123" s="61"/>
      <c r="V123" s="142" t="s">
        <v>123</v>
      </c>
      <c r="W123" s="206">
        <v>1.25E-3</v>
      </c>
      <c r="X123" s="137"/>
      <c r="Y123" s="72"/>
      <c r="Z123" s="72"/>
      <c r="AA123" s="142"/>
      <c r="AB123" s="70">
        <f t="shared" ca="1" si="20"/>
        <v>0</v>
      </c>
      <c r="AC123" s="70">
        <f t="shared" ca="1" si="19"/>
        <v>1.25E-3</v>
      </c>
      <c r="AD123" s="233">
        <f t="shared" si="12"/>
        <v>6</v>
      </c>
      <c r="AE123" s="234">
        <f t="shared" si="13"/>
        <v>58</v>
      </c>
      <c r="AF123" s="234">
        <f t="shared" si="14"/>
        <v>-33</v>
      </c>
      <c r="AG123" s="235">
        <f t="shared" si="15"/>
        <v>-0.56896551724137934</v>
      </c>
      <c r="AH123" s="236">
        <f t="shared" si="16"/>
        <v>-7.1120689655172417E-4</v>
      </c>
      <c r="AI123" s="235">
        <f t="shared" ca="1" si="17"/>
        <v>7.1120689655172417E-4</v>
      </c>
      <c r="AJ123" s="237"/>
    </row>
    <row r="124" spans="1:36" ht="35.4" customHeight="1" x14ac:dyDescent="0.25">
      <c r="A124" s="142" t="s">
        <v>50</v>
      </c>
      <c r="B124" s="143" t="s">
        <v>460</v>
      </c>
      <c r="C124" s="142" t="s">
        <v>87</v>
      </c>
      <c r="D124" s="142" t="s">
        <v>96</v>
      </c>
      <c r="E124" s="142" t="s">
        <v>165</v>
      </c>
      <c r="F124" s="144" t="s">
        <v>240</v>
      </c>
      <c r="G124" s="44" t="str">
        <f t="shared" si="18"/>
        <v>Subdirector Administrativo</v>
      </c>
      <c r="H124" s="137">
        <v>44319</v>
      </c>
      <c r="I124" s="137">
        <v>44377</v>
      </c>
      <c r="J124" s="61"/>
      <c r="K124" s="61"/>
      <c r="L124" s="61"/>
      <c r="M124" s="61"/>
      <c r="N124" s="61"/>
      <c r="O124" s="61"/>
      <c r="P124" s="61"/>
      <c r="Q124" s="61"/>
      <c r="R124" s="61"/>
      <c r="S124" s="61"/>
      <c r="T124" s="61"/>
      <c r="U124" s="61"/>
      <c r="V124" s="142" t="s">
        <v>123</v>
      </c>
      <c r="W124" s="206">
        <v>1.25E-3</v>
      </c>
      <c r="X124" s="137"/>
      <c r="Y124" s="72"/>
      <c r="Z124" s="72"/>
      <c r="AA124" s="142"/>
      <c r="AB124" s="70">
        <f t="shared" ca="1" si="20"/>
        <v>0</v>
      </c>
      <c r="AC124" s="70">
        <f t="shared" ca="1" si="19"/>
        <v>1.25E-3</v>
      </c>
      <c r="AD124" s="233">
        <f t="shared" si="12"/>
        <v>6</v>
      </c>
      <c r="AE124" s="234">
        <f t="shared" si="13"/>
        <v>58</v>
      </c>
      <c r="AF124" s="234">
        <f t="shared" si="14"/>
        <v>-33</v>
      </c>
      <c r="AG124" s="235">
        <f t="shared" si="15"/>
        <v>-0.56896551724137934</v>
      </c>
      <c r="AH124" s="236">
        <f t="shared" si="16"/>
        <v>-7.1120689655172417E-4</v>
      </c>
      <c r="AI124" s="235">
        <f t="shared" ca="1" si="17"/>
        <v>7.1120689655172417E-4</v>
      </c>
      <c r="AJ124" s="237"/>
    </row>
    <row r="125" spans="1:36" ht="35.4" customHeight="1" x14ac:dyDescent="0.25">
      <c r="A125" s="142" t="s">
        <v>50</v>
      </c>
      <c r="B125" s="143" t="s">
        <v>459</v>
      </c>
      <c r="C125" s="142" t="s">
        <v>76</v>
      </c>
      <c r="D125" s="142" t="s">
        <v>96</v>
      </c>
      <c r="E125" s="142" t="s">
        <v>165</v>
      </c>
      <c r="F125" s="144" t="s">
        <v>240</v>
      </c>
      <c r="G125" s="44" t="str">
        <f t="shared" si="18"/>
        <v>Subdirector Administrativo</v>
      </c>
      <c r="H125" s="137">
        <v>44319</v>
      </c>
      <c r="I125" s="137">
        <v>44377</v>
      </c>
      <c r="J125" s="61"/>
      <c r="K125" s="61"/>
      <c r="L125" s="61"/>
      <c r="M125" s="61"/>
      <c r="N125" s="61"/>
      <c r="O125" s="61"/>
      <c r="P125" s="61"/>
      <c r="Q125" s="61"/>
      <c r="R125" s="61"/>
      <c r="S125" s="61"/>
      <c r="T125" s="61"/>
      <c r="U125" s="61"/>
      <c r="V125" s="142" t="s">
        <v>123</v>
      </c>
      <c r="W125" s="206">
        <v>1.25E-3</v>
      </c>
      <c r="X125" s="137"/>
      <c r="Y125" s="72"/>
      <c r="Z125" s="72"/>
      <c r="AA125" s="142"/>
      <c r="AB125" s="70">
        <f t="shared" ca="1" si="20"/>
        <v>0</v>
      </c>
      <c r="AC125" s="70">
        <f t="shared" ca="1" si="19"/>
        <v>1.25E-3</v>
      </c>
      <c r="AD125" s="233">
        <f t="shared" si="12"/>
        <v>6</v>
      </c>
      <c r="AE125" s="234">
        <f t="shared" si="13"/>
        <v>58</v>
      </c>
      <c r="AF125" s="234">
        <f t="shared" si="14"/>
        <v>-33</v>
      </c>
      <c r="AG125" s="235">
        <f t="shared" si="15"/>
        <v>-0.56896551724137934</v>
      </c>
      <c r="AH125" s="236">
        <f t="shared" si="16"/>
        <v>-7.1120689655172417E-4</v>
      </c>
      <c r="AI125" s="235">
        <f t="shared" ca="1" si="17"/>
        <v>7.1120689655172417E-4</v>
      </c>
      <c r="AJ125" s="237"/>
    </row>
    <row r="126" spans="1:36" ht="35.4" customHeight="1" x14ac:dyDescent="0.25">
      <c r="A126" s="142" t="s">
        <v>50</v>
      </c>
      <c r="B126" s="143" t="s">
        <v>340</v>
      </c>
      <c r="C126" s="142" t="s">
        <v>82</v>
      </c>
      <c r="D126" s="142" t="s">
        <v>100</v>
      </c>
      <c r="E126" s="142" t="s">
        <v>165</v>
      </c>
      <c r="F126" s="145" t="s">
        <v>240</v>
      </c>
      <c r="G126" s="44" t="str">
        <f t="shared" si="18"/>
        <v>Director de Mejoramiento de Barrios</v>
      </c>
      <c r="H126" s="137">
        <v>44319</v>
      </c>
      <c r="I126" s="137">
        <v>44377</v>
      </c>
      <c r="J126" s="61"/>
      <c r="K126" s="61"/>
      <c r="L126" s="61"/>
      <c r="M126" s="61"/>
      <c r="N126" s="61"/>
      <c r="O126" s="61"/>
      <c r="P126" s="61"/>
      <c r="Q126" s="61"/>
      <c r="R126" s="61"/>
      <c r="S126" s="61"/>
      <c r="T126" s="61"/>
      <c r="U126" s="61"/>
      <c r="V126" s="142" t="s">
        <v>123</v>
      </c>
      <c r="W126" s="206">
        <v>5.0000000000000001E-3</v>
      </c>
      <c r="X126" s="137"/>
      <c r="Y126" s="80"/>
      <c r="Z126" s="72"/>
      <c r="AA126" s="41"/>
      <c r="AB126" s="70">
        <f t="shared" ca="1" si="20"/>
        <v>0</v>
      </c>
      <c r="AC126" s="70">
        <f t="shared" ca="1" si="19"/>
        <v>5.0000000000000001E-3</v>
      </c>
      <c r="AD126" s="233">
        <f t="shared" si="12"/>
        <v>6</v>
      </c>
      <c r="AE126" s="234">
        <f t="shared" si="13"/>
        <v>58</v>
      </c>
      <c r="AF126" s="234">
        <f t="shared" si="14"/>
        <v>-33</v>
      </c>
      <c r="AG126" s="235">
        <f t="shared" si="15"/>
        <v>-0.56896551724137934</v>
      </c>
      <c r="AH126" s="236">
        <f t="shared" si="16"/>
        <v>-2.8448275862068967E-3</v>
      </c>
      <c r="AI126" s="235">
        <f t="shared" ca="1" si="17"/>
        <v>2.8448275862068967E-3</v>
      </c>
      <c r="AJ126" s="237"/>
    </row>
    <row r="127" spans="1:36" ht="35.4" customHeight="1" x14ac:dyDescent="0.25">
      <c r="A127" s="142" t="s">
        <v>50</v>
      </c>
      <c r="B127" s="143" t="s">
        <v>216</v>
      </c>
      <c r="C127" s="67" t="s">
        <v>141</v>
      </c>
      <c r="D127" s="45" t="s">
        <v>96</v>
      </c>
      <c r="E127" s="142" t="s">
        <v>165</v>
      </c>
      <c r="F127" s="144" t="s">
        <v>160</v>
      </c>
      <c r="G127" s="44" t="str">
        <f t="shared" si="18"/>
        <v>Director de Gestión Corporativa y CID</v>
      </c>
      <c r="H127" s="184">
        <v>44320</v>
      </c>
      <c r="I127" s="184">
        <v>44356</v>
      </c>
      <c r="J127" s="61"/>
      <c r="K127" s="61"/>
      <c r="L127" s="61"/>
      <c r="M127" s="61"/>
      <c r="N127" s="61"/>
      <c r="O127" s="61"/>
      <c r="P127" s="61"/>
      <c r="Q127" s="61"/>
      <c r="R127" s="61"/>
      <c r="S127" s="61"/>
      <c r="T127" s="61"/>
      <c r="U127" s="61"/>
      <c r="V127" s="142" t="s">
        <v>123</v>
      </c>
      <c r="W127" s="206">
        <v>5.0000000000000001E-3</v>
      </c>
      <c r="X127" s="137"/>
      <c r="Y127" s="72"/>
      <c r="Z127" s="72"/>
      <c r="AA127" s="41"/>
      <c r="AB127" s="70">
        <f t="shared" ca="1" si="20"/>
        <v>0</v>
      </c>
      <c r="AC127" s="70">
        <f t="shared" ca="1" si="19"/>
        <v>5.0000000000000001E-3</v>
      </c>
      <c r="AD127" s="233">
        <f t="shared" si="12"/>
        <v>6</v>
      </c>
      <c r="AE127" s="234">
        <f t="shared" si="13"/>
        <v>36</v>
      </c>
      <c r="AF127" s="234">
        <f t="shared" si="14"/>
        <v>-34</v>
      </c>
      <c r="AG127" s="235">
        <f t="shared" si="15"/>
        <v>-0.94444444444444442</v>
      </c>
      <c r="AH127" s="236">
        <f t="shared" si="16"/>
        <v>-4.7222222222222223E-3</v>
      </c>
      <c r="AI127" s="235">
        <f t="shared" ca="1" si="17"/>
        <v>4.7222222222222223E-3</v>
      </c>
      <c r="AJ127" s="237"/>
    </row>
    <row r="128" spans="1:36" ht="35.4" customHeight="1" x14ac:dyDescent="0.25">
      <c r="A128" s="142" t="s">
        <v>51</v>
      </c>
      <c r="B128" s="143" t="s">
        <v>278</v>
      </c>
      <c r="C128" s="142" t="s">
        <v>98</v>
      </c>
      <c r="D128" s="142" t="s">
        <v>98</v>
      </c>
      <c r="E128" s="142" t="s">
        <v>165</v>
      </c>
      <c r="F128" s="145" t="s">
        <v>239</v>
      </c>
      <c r="G128" s="44" t="str">
        <f t="shared" si="18"/>
        <v>Líderes de Cada Proceso</v>
      </c>
      <c r="H128" s="137">
        <v>44327</v>
      </c>
      <c r="I128" s="137">
        <v>44331</v>
      </c>
      <c r="J128" s="61"/>
      <c r="K128" s="61"/>
      <c r="L128" s="61"/>
      <c r="M128" s="61"/>
      <c r="N128" s="61"/>
      <c r="O128" s="61"/>
      <c r="P128" s="61"/>
      <c r="Q128" s="61"/>
      <c r="R128" s="61"/>
      <c r="S128" s="61"/>
      <c r="T128" s="61"/>
      <c r="U128" s="61"/>
      <c r="V128" s="142" t="s">
        <v>202</v>
      </c>
      <c r="W128" s="208">
        <v>5.0000000000000001E-3</v>
      </c>
      <c r="X128" s="137"/>
      <c r="Y128" s="143"/>
      <c r="Z128" s="72"/>
      <c r="AA128" s="41"/>
      <c r="AB128" s="70">
        <f t="shared" ca="1" si="20"/>
        <v>0</v>
      </c>
      <c r="AC128" s="70">
        <f t="shared" ca="1" si="19"/>
        <v>5.0000000000000001E-3</v>
      </c>
      <c r="AD128" s="233">
        <f t="shared" si="12"/>
        <v>5</v>
      </c>
      <c r="AE128" s="234">
        <f t="shared" si="13"/>
        <v>4</v>
      </c>
      <c r="AF128" s="234">
        <f t="shared" si="14"/>
        <v>-41</v>
      </c>
      <c r="AG128" s="235">
        <f t="shared" si="15"/>
        <v>-10.25</v>
      </c>
      <c r="AH128" s="236">
        <f t="shared" si="16"/>
        <v>-5.1250000000000004E-2</v>
      </c>
      <c r="AI128" s="235">
        <f t="shared" ca="1" si="17"/>
        <v>5.1250000000000004E-2</v>
      </c>
      <c r="AJ128" s="237"/>
    </row>
    <row r="129" spans="1:173" ht="35.4" customHeight="1" x14ac:dyDescent="0.25">
      <c r="A129" s="142" t="s">
        <v>50</v>
      </c>
      <c r="B129" s="143" t="s">
        <v>339</v>
      </c>
      <c r="C129" s="142" t="s">
        <v>140</v>
      </c>
      <c r="D129" s="142" t="s">
        <v>100</v>
      </c>
      <c r="E129" s="142" t="s">
        <v>165</v>
      </c>
      <c r="F129" s="145" t="s">
        <v>159</v>
      </c>
      <c r="G129" s="44" t="str">
        <f t="shared" si="18"/>
        <v>Director de Gestión Corporativa y CID</v>
      </c>
      <c r="H129" s="137">
        <v>44330</v>
      </c>
      <c r="I129" s="137">
        <v>44362</v>
      </c>
      <c r="J129" s="61"/>
      <c r="K129" s="61"/>
      <c r="L129" s="61"/>
      <c r="M129" s="61"/>
      <c r="N129" s="61"/>
      <c r="O129" s="61"/>
      <c r="P129" s="61"/>
      <c r="Q129" s="61"/>
      <c r="R129" s="61"/>
      <c r="S129" s="61"/>
      <c r="T129" s="61"/>
      <c r="U129" s="61"/>
      <c r="V129" s="142" t="s">
        <v>123</v>
      </c>
      <c r="W129" s="206">
        <v>5.0000000000000001E-3</v>
      </c>
      <c r="X129" s="137"/>
      <c r="Y129" s="80"/>
      <c r="Z129" s="72"/>
      <c r="AA129" s="41"/>
      <c r="AB129" s="70">
        <f t="shared" ca="1" si="20"/>
        <v>0</v>
      </c>
      <c r="AC129" s="70">
        <f t="shared" ca="1" si="19"/>
        <v>5.0000000000000001E-3</v>
      </c>
      <c r="AD129" s="233">
        <f t="shared" si="12"/>
        <v>6</v>
      </c>
      <c r="AE129" s="234">
        <f t="shared" si="13"/>
        <v>32</v>
      </c>
      <c r="AF129" s="234">
        <f t="shared" si="14"/>
        <v>-44</v>
      </c>
      <c r="AG129" s="235">
        <f t="shared" si="15"/>
        <v>-1.375</v>
      </c>
      <c r="AH129" s="236">
        <f t="shared" si="16"/>
        <v>-6.875E-3</v>
      </c>
      <c r="AI129" s="235">
        <f t="shared" ca="1" si="17"/>
        <v>6.875E-3</v>
      </c>
      <c r="AJ129" s="237"/>
    </row>
    <row r="130" spans="1:173" ht="35.4" customHeight="1" x14ac:dyDescent="0.25">
      <c r="A130" s="142" t="s">
        <v>50</v>
      </c>
      <c r="B130" s="143" t="s">
        <v>351</v>
      </c>
      <c r="C130" s="142" t="s">
        <v>82</v>
      </c>
      <c r="D130" s="142" t="s">
        <v>100</v>
      </c>
      <c r="E130" s="142" t="s">
        <v>165</v>
      </c>
      <c r="F130" s="145" t="s">
        <v>159</v>
      </c>
      <c r="G130" s="44" t="str">
        <f t="shared" si="18"/>
        <v>Director de Mejoramiento de Barrios</v>
      </c>
      <c r="H130" s="137">
        <v>44330</v>
      </c>
      <c r="I130" s="137">
        <v>44362</v>
      </c>
      <c r="J130" s="61"/>
      <c r="K130" s="61"/>
      <c r="L130" s="61"/>
      <c r="M130" s="61"/>
      <c r="N130" s="61"/>
      <c r="O130" s="61"/>
      <c r="P130" s="61"/>
      <c r="Q130" s="61"/>
      <c r="R130" s="61"/>
      <c r="S130" s="61"/>
      <c r="T130" s="61"/>
      <c r="U130" s="61"/>
      <c r="V130" s="41" t="s">
        <v>123</v>
      </c>
      <c r="W130" s="206">
        <v>5.0000000000000001E-3</v>
      </c>
      <c r="X130" s="137"/>
      <c r="Y130" s="80"/>
      <c r="Z130" s="72"/>
      <c r="AA130" s="41"/>
      <c r="AB130" s="70">
        <f t="shared" ca="1" si="20"/>
        <v>0</v>
      </c>
      <c r="AC130" s="70">
        <f t="shared" ca="1" si="19"/>
        <v>5.0000000000000001E-3</v>
      </c>
      <c r="AD130" s="233">
        <f t="shared" si="12"/>
        <v>6</v>
      </c>
      <c r="AE130" s="234">
        <f t="shared" si="13"/>
        <v>32</v>
      </c>
      <c r="AF130" s="234">
        <f t="shared" si="14"/>
        <v>-44</v>
      </c>
      <c r="AG130" s="235">
        <f t="shared" si="15"/>
        <v>-1.375</v>
      </c>
      <c r="AH130" s="236">
        <f t="shared" si="16"/>
        <v>-6.875E-3</v>
      </c>
      <c r="AI130" s="235">
        <f t="shared" ca="1" si="17"/>
        <v>6.875E-3</v>
      </c>
      <c r="AJ130" s="237"/>
    </row>
    <row r="131" spans="1:173" ht="35.4" customHeight="1" x14ac:dyDescent="0.25">
      <c r="A131" s="142" t="s">
        <v>50</v>
      </c>
      <c r="B131" s="143" t="s">
        <v>338</v>
      </c>
      <c r="C131" s="142" t="s">
        <v>81</v>
      </c>
      <c r="D131" s="142" t="s">
        <v>100</v>
      </c>
      <c r="E131" s="142" t="s">
        <v>165</v>
      </c>
      <c r="F131" s="144" t="s">
        <v>263</v>
      </c>
      <c r="G131" s="44" t="str">
        <f t="shared" si="18"/>
        <v>Director de Urbanizaciones y Titulación</v>
      </c>
      <c r="H131" s="137">
        <v>44334</v>
      </c>
      <c r="I131" s="137">
        <v>44358</v>
      </c>
      <c r="J131" s="61"/>
      <c r="K131" s="61"/>
      <c r="L131" s="61"/>
      <c r="M131" s="61"/>
      <c r="N131" s="61"/>
      <c r="O131" s="61"/>
      <c r="P131" s="61"/>
      <c r="Q131" s="61"/>
      <c r="R131" s="61"/>
      <c r="S131" s="61"/>
      <c r="T131" s="61"/>
      <c r="U131" s="61"/>
      <c r="V131" s="142" t="s">
        <v>123</v>
      </c>
      <c r="W131" s="206">
        <v>5.0000000000000001E-3</v>
      </c>
      <c r="X131" s="137"/>
      <c r="Y131" s="72"/>
      <c r="Z131" s="72"/>
      <c r="AA131" s="41"/>
      <c r="AB131" s="70">
        <f t="shared" ca="1" si="20"/>
        <v>0</v>
      </c>
      <c r="AC131" s="70">
        <f t="shared" ca="1" si="19"/>
        <v>5.0000000000000001E-3</v>
      </c>
      <c r="AD131" s="233">
        <f t="shared" si="12"/>
        <v>6</v>
      </c>
      <c r="AE131" s="234">
        <f t="shared" si="13"/>
        <v>24</v>
      </c>
      <c r="AF131" s="234">
        <f t="shared" si="14"/>
        <v>-48</v>
      </c>
      <c r="AG131" s="235">
        <f t="shared" si="15"/>
        <v>-2</v>
      </c>
      <c r="AH131" s="236">
        <f t="shared" si="16"/>
        <v>-0.01</v>
      </c>
      <c r="AI131" s="235">
        <f t="shared" ca="1" si="17"/>
        <v>0.01</v>
      </c>
      <c r="AJ131" s="237"/>
    </row>
    <row r="132" spans="1:173" ht="35.4" customHeight="1" x14ac:dyDescent="0.25">
      <c r="A132" s="142" t="s">
        <v>45</v>
      </c>
      <c r="B132" s="143" t="s">
        <v>124</v>
      </c>
      <c r="C132" s="142" t="s">
        <v>98</v>
      </c>
      <c r="D132" s="142" t="s">
        <v>98</v>
      </c>
      <c r="E132" s="142" t="s">
        <v>165</v>
      </c>
      <c r="F132" s="144" t="s">
        <v>263</v>
      </c>
      <c r="G132" s="44" t="str">
        <f t="shared" si="18"/>
        <v>Líderes de Cada Proceso</v>
      </c>
      <c r="H132" s="137">
        <v>44334</v>
      </c>
      <c r="I132" s="137">
        <v>44469</v>
      </c>
      <c r="J132" s="61"/>
      <c r="K132" s="61"/>
      <c r="L132" s="61"/>
      <c r="M132" s="61"/>
      <c r="N132" s="61"/>
      <c r="O132" s="61"/>
      <c r="P132" s="61"/>
      <c r="Q132" s="61"/>
      <c r="R132" s="61"/>
      <c r="S132" s="61"/>
      <c r="T132" s="61"/>
      <c r="U132" s="61"/>
      <c r="V132" s="142" t="s">
        <v>335</v>
      </c>
      <c r="W132" s="206">
        <v>1.2E-2</v>
      </c>
      <c r="X132" s="137"/>
      <c r="Y132" s="72"/>
      <c r="Z132" s="72"/>
      <c r="AA132" s="41"/>
      <c r="AB132" s="70">
        <f t="shared" ca="1" si="20"/>
        <v>0</v>
      </c>
      <c r="AC132" s="70">
        <f t="shared" ca="1" si="19"/>
        <v>1.2E-2</v>
      </c>
      <c r="AD132" s="233">
        <f t="shared" si="12"/>
        <v>9</v>
      </c>
      <c r="AE132" s="234">
        <f t="shared" si="13"/>
        <v>135</v>
      </c>
      <c r="AF132" s="234">
        <f t="shared" si="14"/>
        <v>-48</v>
      </c>
      <c r="AG132" s="235">
        <f t="shared" si="15"/>
        <v>-0.35555555555555557</v>
      </c>
      <c r="AH132" s="236">
        <f t="shared" si="16"/>
        <v>-4.2666666666666669E-3</v>
      </c>
      <c r="AI132" s="235">
        <f t="shared" ca="1" si="17"/>
        <v>4.2666666666666669E-3</v>
      </c>
      <c r="AJ132" s="237"/>
    </row>
    <row r="133" spans="1:173" ht="35.4" customHeight="1" x14ac:dyDescent="0.25">
      <c r="A133" s="142" t="s">
        <v>45</v>
      </c>
      <c r="B133" s="143" t="s">
        <v>289</v>
      </c>
      <c r="C133" s="142" t="s">
        <v>90</v>
      </c>
      <c r="D133" s="142" t="s">
        <v>97</v>
      </c>
      <c r="E133" s="142" t="s">
        <v>165</v>
      </c>
      <c r="F133" s="145" t="s">
        <v>239</v>
      </c>
      <c r="G133" s="44" t="str">
        <f t="shared" si="18"/>
        <v>Asesor de Control Interno</v>
      </c>
      <c r="H133" s="137">
        <v>44342</v>
      </c>
      <c r="I133" s="137">
        <v>44349</v>
      </c>
      <c r="J133" s="61"/>
      <c r="K133" s="61"/>
      <c r="L133" s="61"/>
      <c r="M133" s="61"/>
      <c r="N133" s="61"/>
      <c r="O133" s="61"/>
      <c r="P133" s="61"/>
      <c r="Q133" s="61"/>
      <c r="R133" s="61"/>
      <c r="S133" s="61"/>
      <c r="T133" s="61"/>
      <c r="U133" s="61"/>
      <c r="V133" s="142" t="s">
        <v>215</v>
      </c>
      <c r="W133" s="206">
        <v>3.0000000000000001E-3</v>
      </c>
      <c r="X133" s="137"/>
      <c r="Y133" s="143"/>
      <c r="Z133" s="72"/>
      <c r="AA133" s="41"/>
      <c r="AB133" s="70">
        <f t="shared" ca="1" si="20"/>
        <v>0</v>
      </c>
      <c r="AC133" s="70">
        <f t="shared" ca="1" si="19"/>
        <v>3.0000000000000001E-3</v>
      </c>
      <c r="AD133" s="233">
        <f t="shared" si="12"/>
        <v>6</v>
      </c>
      <c r="AE133" s="234">
        <f t="shared" si="13"/>
        <v>7</v>
      </c>
      <c r="AF133" s="234">
        <f t="shared" si="14"/>
        <v>-56</v>
      </c>
      <c r="AG133" s="235">
        <f t="shared" si="15"/>
        <v>-8</v>
      </c>
      <c r="AH133" s="236">
        <f t="shared" si="16"/>
        <v>-2.4E-2</v>
      </c>
      <c r="AI133" s="235">
        <f t="shared" ca="1" si="17"/>
        <v>2.4E-2</v>
      </c>
      <c r="AJ133" s="237"/>
    </row>
    <row r="134" spans="1:173" ht="35.4" customHeight="1" x14ac:dyDescent="0.25">
      <c r="A134" s="154" t="s">
        <v>46</v>
      </c>
      <c r="B134" s="143" t="s">
        <v>314</v>
      </c>
      <c r="C134" s="142" t="s">
        <v>82</v>
      </c>
      <c r="D134" s="142" t="s">
        <v>100</v>
      </c>
      <c r="E134" s="142" t="s">
        <v>165</v>
      </c>
      <c r="F134" s="145" t="s">
        <v>239</v>
      </c>
      <c r="G134" s="44" t="str">
        <f t="shared" si="18"/>
        <v>Director de Mejoramiento de Barrios</v>
      </c>
      <c r="H134" s="137">
        <v>44344</v>
      </c>
      <c r="I134" s="137">
        <v>44349</v>
      </c>
      <c r="J134" s="61"/>
      <c r="K134" s="61"/>
      <c r="L134" s="61"/>
      <c r="M134" s="61"/>
      <c r="N134" s="61"/>
      <c r="O134" s="61"/>
      <c r="P134" s="61"/>
      <c r="Q134" s="61"/>
      <c r="R134" s="61"/>
      <c r="S134" s="61"/>
      <c r="T134" s="61"/>
      <c r="U134" s="61"/>
      <c r="V134" s="140" t="s">
        <v>317</v>
      </c>
      <c r="W134" s="206">
        <v>1E-3</v>
      </c>
      <c r="X134" s="137"/>
      <c r="Y134" s="72"/>
      <c r="Z134" s="72"/>
      <c r="AA134" s="41"/>
      <c r="AB134" s="70">
        <f t="shared" ca="1" si="20"/>
        <v>0</v>
      </c>
      <c r="AC134" s="70">
        <f t="shared" ca="1" si="19"/>
        <v>1E-3</v>
      </c>
      <c r="AD134" s="233">
        <f t="shared" si="12"/>
        <v>6</v>
      </c>
      <c r="AE134" s="234">
        <f t="shared" si="13"/>
        <v>5</v>
      </c>
      <c r="AF134" s="234">
        <f t="shared" si="14"/>
        <v>-58</v>
      </c>
      <c r="AG134" s="235">
        <f t="shared" si="15"/>
        <v>-11.6</v>
      </c>
      <c r="AH134" s="236">
        <f t="shared" si="16"/>
        <v>-1.1599999999999999E-2</v>
      </c>
      <c r="AI134" s="235">
        <f t="shared" ca="1" si="17"/>
        <v>1.1599999999999999E-2</v>
      </c>
      <c r="AJ134" s="237"/>
    </row>
    <row r="135" spans="1:173" ht="35.4" customHeight="1" x14ac:dyDescent="0.25">
      <c r="A135" s="142" t="s">
        <v>45</v>
      </c>
      <c r="B135" s="42" t="s">
        <v>114</v>
      </c>
      <c r="C135" s="142" t="s">
        <v>90</v>
      </c>
      <c r="D135" s="142" t="s">
        <v>97</v>
      </c>
      <c r="E135" s="142" t="s">
        <v>165</v>
      </c>
      <c r="F135" s="145" t="s">
        <v>239</v>
      </c>
      <c r="G135" s="44" t="str">
        <f t="shared" si="18"/>
        <v>Asesor de Control Interno</v>
      </c>
      <c r="H135" s="137">
        <v>44348</v>
      </c>
      <c r="I135" s="137">
        <v>44351</v>
      </c>
      <c r="J135" s="61"/>
      <c r="K135" s="61"/>
      <c r="L135" s="61"/>
      <c r="M135" s="61"/>
      <c r="N135" s="61"/>
      <c r="O135" s="61"/>
      <c r="P135" s="61"/>
      <c r="Q135" s="61"/>
      <c r="R135" s="61"/>
      <c r="S135" s="61"/>
      <c r="T135" s="61"/>
      <c r="U135" s="61"/>
      <c r="V135" s="142" t="s">
        <v>202</v>
      </c>
      <c r="W135" s="206">
        <v>3.0000000000000001E-3</v>
      </c>
      <c r="X135" s="137"/>
      <c r="Y135" s="143"/>
      <c r="Z135" s="72"/>
      <c r="AA135" s="41"/>
      <c r="AB135" s="70">
        <f t="shared" ca="1" si="20"/>
        <v>0</v>
      </c>
      <c r="AC135" s="70">
        <f t="shared" ca="1" si="19"/>
        <v>3.0000000000000001E-3</v>
      </c>
      <c r="AD135" s="233">
        <f t="shared" si="12"/>
        <v>6</v>
      </c>
      <c r="AE135" s="234">
        <f t="shared" si="13"/>
        <v>3</v>
      </c>
      <c r="AF135" s="234">
        <f t="shared" si="14"/>
        <v>-62</v>
      </c>
      <c r="AG135" s="235">
        <f t="shared" si="15"/>
        <v>-20.666666666666668</v>
      </c>
      <c r="AH135" s="236">
        <f t="shared" si="16"/>
        <v>-6.2000000000000006E-2</v>
      </c>
      <c r="AI135" s="235">
        <f t="shared" ca="1" si="17"/>
        <v>6.2000000000000006E-2</v>
      </c>
      <c r="AJ135" s="237"/>
    </row>
    <row r="136" spans="1:173" ht="35.4" customHeight="1" x14ac:dyDescent="0.25">
      <c r="A136" s="154" t="s">
        <v>46</v>
      </c>
      <c r="B136" s="143" t="s">
        <v>93</v>
      </c>
      <c r="C136" s="142" t="s">
        <v>141</v>
      </c>
      <c r="D136" s="142" t="s">
        <v>96</v>
      </c>
      <c r="E136" s="142" t="s">
        <v>165</v>
      </c>
      <c r="F136" s="144" t="s">
        <v>240</v>
      </c>
      <c r="G136" s="44" t="str">
        <f t="shared" si="18"/>
        <v>Director de Gestión Corporativa y CID</v>
      </c>
      <c r="H136" s="137">
        <v>44348</v>
      </c>
      <c r="I136" s="137">
        <v>44357</v>
      </c>
      <c r="J136" s="61"/>
      <c r="K136" s="61"/>
      <c r="L136" s="61"/>
      <c r="M136" s="61"/>
      <c r="N136" s="61"/>
      <c r="O136" s="61"/>
      <c r="P136" s="61"/>
      <c r="Q136" s="61"/>
      <c r="R136" s="61"/>
      <c r="S136" s="61"/>
      <c r="T136" s="61"/>
      <c r="U136" s="61"/>
      <c r="V136" s="142" t="s">
        <v>332</v>
      </c>
      <c r="W136" s="206">
        <v>1E-3</v>
      </c>
      <c r="X136" s="137"/>
      <c r="Y136" s="72"/>
      <c r="Z136" s="72"/>
      <c r="AA136" s="41"/>
      <c r="AB136" s="70">
        <f t="shared" ca="1" si="20"/>
        <v>0</v>
      </c>
      <c r="AC136" s="70">
        <f t="shared" ca="1" si="19"/>
        <v>1E-3</v>
      </c>
      <c r="AD136" s="233">
        <f t="shared" ref="AD136:AD199" si="21">MONTH(I136)</f>
        <v>6</v>
      </c>
      <c r="AE136" s="234">
        <f t="shared" ref="AE136:AE199" si="22">+I136-H136</f>
        <v>9</v>
      </c>
      <c r="AF136" s="234">
        <f t="shared" ref="AF136:AF199" si="23">+$AF$18-H136</f>
        <v>-62</v>
      </c>
      <c r="AG136" s="235">
        <f t="shared" ref="AG136:AG199" si="24">+AF136/AE136</f>
        <v>-6.8888888888888893</v>
      </c>
      <c r="AH136" s="236">
        <f t="shared" ref="AH136:AH199" si="25">+AG136*W136</f>
        <v>-6.8888888888888897E-3</v>
      </c>
      <c r="AI136" s="235">
        <f t="shared" ref="AI136:AI199" ca="1" si="26">+AB136-AH136</f>
        <v>6.8888888888888897E-3</v>
      </c>
      <c r="AJ136" s="237"/>
    </row>
    <row r="137" spans="1:173" ht="35.4" customHeight="1" x14ac:dyDescent="0.25">
      <c r="A137" s="142" t="s">
        <v>45</v>
      </c>
      <c r="B137" s="143" t="s">
        <v>328</v>
      </c>
      <c r="C137" s="142" t="s">
        <v>90</v>
      </c>
      <c r="D137" s="142" t="s">
        <v>97</v>
      </c>
      <c r="E137" s="142" t="s">
        <v>165</v>
      </c>
      <c r="F137" s="144" t="s">
        <v>160</v>
      </c>
      <c r="G137" s="44" t="str">
        <f t="shared" si="18"/>
        <v>Asesor de Control Interno</v>
      </c>
      <c r="H137" s="137">
        <v>44348</v>
      </c>
      <c r="I137" s="137">
        <v>44439</v>
      </c>
      <c r="J137" s="61"/>
      <c r="K137" s="61"/>
      <c r="L137" s="61"/>
      <c r="M137" s="61"/>
      <c r="N137" s="61"/>
      <c r="O137" s="61"/>
      <c r="P137" s="61"/>
      <c r="Q137" s="61"/>
      <c r="R137" s="61"/>
      <c r="S137" s="61"/>
      <c r="T137" s="61"/>
      <c r="U137" s="61"/>
      <c r="V137" s="142" t="s">
        <v>336</v>
      </c>
      <c r="W137" s="206">
        <v>1.0999999999999999E-2</v>
      </c>
      <c r="X137" s="137"/>
      <c r="Y137" s="72"/>
      <c r="Z137" s="72"/>
      <c r="AA137" s="41"/>
      <c r="AB137" s="70">
        <f t="shared" ref="AB137:AB168" ca="1" si="27">IF(ISERROR(VLOOKUP(AA137,INDIRECT(VLOOKUP(A137,ACTA,2,0)&amp;"A"),2,0))=TRUE,0,W137*(VLOOKUP(AA137,INDIRECT(VLOOKUP(A137,ACTA,2,0)&amp;"A"),2,0)))</f>
        <v>0</v>
      </c>
      <c r="AC137" s="70">
        <f t="shared" ca="1" si="19"/>
        <v>1.0999999999999999E-2</v>
      </c>
      <c r="AD137" s="233">
        <f t="shared" si="21"/>
        <v>8</v>
      </c>
      <c r="AE137" s="234">
        <f t="shared" si="22"/>
        <v>91</v>
      </c>
      <c r="AF137" s="234">
        <f t="shared" si="23"/>
        <v>-62</v>
      </c>
      <c r="AG137" s="235">
        <f t="shared" si="24"/>
        <v>-0.68131868131868134</v>
      </c>
      <c r="AH137" s="236">
        <f t="shared" si="25"/>
        <v>-7.4945054945054941E-3</v>
      </c>
      <c r="AI137" s="235">
        <f t="shared" ca="1" si="26"/>
        <v>7.4945054945054941E-3</v>
      </c>
      <c r="AJ137" s="237"/>
    </row>
    <row r="138" spans="1:173" ht="35.4" customHeight="1" x14ac:dyDescent="0.25">
      <c r="A138" s="154" t="s">
        <v>44</v>
      </c>
      <c r="B138" s="42" t="s">
        <v>92</v>
      </c>
      <c r="C138" s="142" t="s">
        <v>89</v>
      </c>
      <c r="D138" s="142" t="s">
        <v>96</v>
      </c>
      <c r="E138" s="142" t="s">
        <v>165</v>
      </c>
      <c r="F138" s="144" t="s">
        <v>203</v>
      </c>
      <c r="G138" s="44" t="str">
        <f t="shared" si="18"/>
        <v>Subdirector Financiero</v>
      </c>
      <c r="H138" s="137">
        <v>44351</v>
      </c>
      <c r="I138" s="137">
        <v>44357</v>
      </c>
      <c r="J138" s="61"/>
      <c r="K138" s="61"/>
      <c r="L138" s="61"/>
      <c r="M138" s="61"/>
      <c r="N138" s="61"/>
      <c r="O138" s="61"/>
      <c r="P138" s="61"/>
      <c r="Q138" s="61"/>
      <c r="R138" s="61"/>
      <c r="S138" s="61"/>
      <c r="T138" s="61"/>
      <c r="U138" s="61"/>
      <c r="V138" s="41" t="s">
        <v>123</v>
      </c>
      <c r="W138" s="206">
        <v>1E-3</v>
      </c>
      <c r="X138" s="137"/>
      <c r="Y138" s="143"/>
      <c r="Z138" s="143"/>
      <c r="AA138" s="41"/>
      <c r="AB138" s="70">
        <f t="shared" ca="1" si="27"/>
        <v>0</v>
      </c>
      <c r="AC138" s="70">
        <f t="shared" ca="1" si="19"/>
        <v>1E-3</v>
      </c>
      <c r="AD138" s="233">
        <f t="shared" si="21"/>
        <v>6</v>
      </c>
      <c r="AE138" s="234">
        <f t="shared" si="22"/>
        <v>6</v>
      </c>
      <c r="AF138" s="234">
        <f t="shared" si="23"/>
        <v>-65</v>
      </c>
      <c r="AG138" s="235">
        <f t="shared" si="24"/>
        <v>-10.833333333333334</v>
      </c>
      <c r="AH138" s="236">
        <f t="shared" si="25"/>
        <v>-1.0833333333333334E-2</v>
      </c>
      <c r="AI138" s="235">
        <f t="shared" ca="1" si="26"/>
        <v>1.0833333333333334E-2</v>
      </c>
      <c r="AJ138" s="237"/>
    </row>
    <row r="139" spans="1:173" ht="35.4" customHeight="1" x14ac:dyDescent="0.25">
      <c r="A139" s="142" t="s">
        <v>44</v>
      </c>
      <c r="B139" s="143" t="s">
        <v>212</v>
      </c>
      <c r="C139" s="142" t="s">
        <v>73</v>
      </c>
      <c r="D139" s="142" t="s">
        <v>95</v>
      </c>
      <c r="E139" s="142" t="s">
        <v>165</v>
      </c>
      <c r="F139" s="145" t="s">
        <v>239</v>
      </c>
      <c r="G139" s="44" t="str">
        <f t="shared" si="18"/>
        <v xml:space="preserve">Jefe Oficina Asesora de Planeación </v>
      </c>
      <c r="H139" s="137">
        <v>44355</v>
      </c>
      <c r="I139" s="137">
        <v>44372</v>
      </c>
      <c r="J139" s="61"/>
      <c r="K139" s="61"/>
      <c r="L139" s="61"/>
      <c r="M139" s="61"/>
      <c r="N139" s="61"/>
      <c r="O139" s="61"/>
      <c r="P139" s="61"/>
      <c r="Q139" s="61"/>
      <c r="R139" s="61"/>
      <c r="S139" s="61"/>
      <c r="T139" s="61"/>
      <c r="U139" s="61"/>
      <c r="V139" s="142" t="s">
        <v>123</v>
      </c>
      <c r="W139" s="206">
        <v>0.01</v>
      </c>
      <c r="X139" s="137"/>
      <c r="Y139" s="72"/>
      <c r="Z139" s="72"/>
      <c r="AA139" s="41"/>
      <c r="AB139" s="70">
        <f t="shared" ca="1" si="27"/>
        <v>0</v>
      </c>
      <c r="AC139" s="70">
        <f t="shared" ca="1" si="19"/>
        <v>0.01</v>
      </c>
      <c r="AD139" s="233">
        <f t="shared" si="21"/>
        <v>6</v>
      </c>
      <c r="AE139" s="234">
        <f t="shared" si="22"/>
        <v>17</v>
      </c>
      <c r="AF139" s="234">
        <f t="shared" si="23"/>
        <v>-69</v>
      </c>
      <c r="AG139" s="235">
        <f t="shared" si="24"/>
        <v>-4.0588235294117645</v>
      </c>
      <c r="AH139" s="236">
        <f t="shared" si="25"/>
        <v>-4.0588235294117647E-2</v>
      </c>
      <c r="AI139" s="235">
        <f t="shared" ca="1" si="26"/>
        <v>4.0588235294117647E-2</v>
      </c>
      <c r="AJ139" s="237"/>
    </row>
    <row r="140" spans="1:173" ht="35.4" customHeight="1" x14ac:dyDescent="0.25">
      <c r="A140" s="142" t="s">
        <v>50</v>
      </c>
      <c r="B140" s="143" t="s">
        <v>325</v>
      </c>
      <c r="C140" s="67" t="s">
        <v>141</v>
      </c>
      <c r="D140" s="45" t="s">
        <v>96</v>
      </c>
      <c r="E140" s="142" t="s">
        <v>165</v>
      </c>
      <c r="F140" s="144" t="s">
        <v>160</v>
      </c>
      <c r="G140" s="44" t="str">
        <f t="shared" si="18"/>
        <v>Director de Gestión Corporativa y CID</v>
      </c>
      <c r="H140" s="184">
        <v>44357</v>
      </c>
      <c r="I140" s="184">
        <v>44393</v>
      </c>
      <c r="J140" s="61"/>
      <c r="K140" s="61"/>
      <c r="L140" s="61"/>
      <c r="M140" s="61"/>
      <c r="N140" s="61"/>
      <c r="O140" s="61"/>
      <c r="P140" s="61"/>
      <c r="Q140" s="61"/>
      <c r="R140" s="61"/>
      <c r="S140" s="61"/>
      <c r="T140" s="61"/>
      <c r="U140" s="61"/>
      <c r="V140" s="142" t="s">
        <v>123</v>
      </c>
      <c r="W140" s="206">
        <v>5.0000000000000001E-3</v>
      </c>
      <c r="X140" s="137"/>
      <c r="Y140" s="72"/>
      <c r="Z140" s="72"/>
      <c r="AA140" s="41"/>
      <c r="AB140" s="70">
        <f t="shared" ca="1" si="27"/>
        <v>0</v>
      </c>
      <c r="AC140" s="70">
        <f t="shared" ca="1" si="19"/>
        <v>5.0000000000000001E-3</v>
      </c>
      <c r="AD140" s="233">
        <f t="shared" si="21"/>
        <v>7</v>
      </c>
      <c r="AE140" s="234">
        <f t="shared" si="22"/>
        <v>36</v>
      </c>
      <c r="AF140" s="234">
        <f t="shared" si="23"/>
        <v>-71</v>
      </c>
      <c r="AG140" s="235">
        <f t="shared" si="24"/>
        <v>-1.9722222222222223</v>
      </c>
      <c r="AH140" s="236">
        <f t="shared" si="25"/>
        <v>-9.8611111111111122E-3</v>
      </c>
      <c r="AI140" s="235">
        <f t="shared" ca="1" si="26"/>
        <v>9.8611111111111122E-3</v>
      </c>
      <c r="AJ140" s="237"/>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row>
    <row r="141" spans="1:173" ht="35.4" customHeight="1" x14ac:dyDescent="0.25">
      <c r="A141" s="142" t="s">
        <v>47</v>
      </c>
      <c r="B141" s="146" t="s">
        <v>308</v>
      </c>
      <c r="C141" s="142" t="s">
        <v>98</v>
      </c>
      <c r="D141" s="142" t="s">
        <v>98</v>
      </c>
      <c r="E141" s="142" t="s">
        <v>165</v>
      </c>
      <c r="F141" s="144" t="s">
        <v>263</v>
      </c>
      <c r="G141" s="44" t="str">
        <f t="shared" si="18"/>
        <v>Líderes de Cada Proceso</v>
      </c>
      <c r="H141" s="137">
        <v>44362</v>
      </c>
      <c r="I141" s="137">
        <v>44379</v>
      </c>
      <c r="J141" s="61"/>
      <c r="K141" s="61"/>
      <c r="L141" s="61"/>
      <c r="M141" s="61"/>
      <c r="N141" s="61"/>
      <c r="O141" s="61"/>
      <c r="P141" s="61"/>
      <c r="Q141" s="61"/>
      <c r="R141" s="61"/>
      <c r="S141" s="61"/>
      <c r="T141" s="61"/>
      <c r="U141" s="61"/>
      <c r="V141" s="142" t="s">
        <v>215</v>
      </c>
      <c r="W141" s="208">
        <v>0.02</v>
      </c>
      <c r="X141" s="137"/>
      <c r="Y141" s="73"/>
      <c r="Z141" s="72"/>
      <c r="AA141" s="41"/>
      <c r="AB141" s="70">
        <f t="shared" ca="1" si="27"/>
        <v>0</v>
      </c>
      <c r="AC141" s="70">
        <f t="shared" ca="1" si="19"/>
        <v>0.02</v>
      </c>
      <c r="AD141" s="233">
        <f t="shared" si="21"/>
        <v>7</v>
      </c>
      <c r="AE141" s="234">
        <f t="shared" si="22"/>
        <v>17</v>
      </c>
      <c r="AF141" s="234">
        <f t="shared" si="23"/>
        <v>-76</v>
      </c>
      <c r="AG141" s="235">
        <f t="shared" si="24"/>
        <v>-4.4705882352941178</v>
      </c>
      <c r="AH141" s="236">
        <f t="shared" si="25"/>
        <v>-8.9411764705882357E-2</v>
      </c>
      <c r="AI141" s="235">
        <f t="shared" ca="1" si="26"/>
        <v>8.9411764705882357E-2</v>
      </c>
      <c r="AJ141" s="237"/>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row>
    <row r="142" spans="1:173" ht="35.4" customHeight="1" x14ac:dyDescent="0.25">
      <c r="A142" s="142" t="s">
        <v>47</v>
      </c>
      <c r="B142" s="146" t="s">
        <v>309</v>
      </c>
      <c r="C142" s="142" t="s">
        <v>98</v>
      </c>
      <c r="D142" s="142" t="s">
        <v>98</v>
      </c>
      <c r="E142" s="142" t="s">
        <v>165</v>
      </c>
      <c r="F142" s="144" t="s">
        <v>263</v>
      </c>
      <c r="G142" s="44" t="str">
        <f t="shared" si="18"/>
        <v>Líderes de Cada Proceso</v>
      </c>
      <c r="H142" s="137">
        <v>44362</v>
      </c>
      <c r="I142" s="137">
        <v>44379</v>
      </c>
      <c r="J142" s="61"/>
      <c r="K142" s="61"/>
      <c r="L142" s="61"/>
      <c r="M142" s="61"/>
      <c r="N142" s="61"/>
      <c r="O142" s="61"/>
      <c r="P142" s="61"/>
      <c r="Q142" s="61"/>
      <c r="R142" s="61"/>
      <c r="S142" s="61"/>
      <c r="T142" s="61"/>
      <c r="U142" s="61"/>
      <c r="V142" s="142" t="s">
        <v>215</v>
      </c>
      <c r="W142" s="208">
        <v>0.02</v>
      </c>
      <c r="X142" s="137"/>
      <c r="Y142" s="143"/>
      <c r="Z142" s="72"/>
      <c r="AA142" s="41"/>
      <c r="AB142" s="70">
        <f t="shared" ca="1" si="27"/>
        <v>0</v>
      </c>
      <c r="AC142" s="70">
        <f t="shared" ca="1" si="19"/>
        <v>0.02</v>
      </c>
      <c r="AD142" s="233">
        <f t="shared" si="21"/>
        <v>7</v>
      </c>
      <c r="AE142" s="234">
        <f t="shared" si="22"/>
        <v>17</v>
      </c>
      <c r="AF142" s="234">
        <f t="shared" si="23"/>
        <v>-76</v>
      </c>
      <c r="AG142" s="235">
        <f t="shared" si="24"/>
        <v>-4.4705882352941178</v>
      </c>
      <c r="AH142" s="236">
        <f t="shared" si="25"/>
        <v>-8.9411764705882357E-2</v>
      </c>
      <c r="AI142" s="235">
        <f t="shared" ca="1" si="26"/>
        <v>8.9411764705882357E-2</v>
      </c>
      <c r="AJ142" s="237"/>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row>
    <row r="143" spans="1:173" s="23" customFormat="1" ht="35.4" customHeight="1" x14ac:dyDescent="0.25">
      <c r="A143" s="142" t="s">
        <v>45</v>
      </c>
      <c r="B143" s="143" t="s">
        <v>213</v>
      </c>
      <c r="C143" s="142" t="s">
        <v>98</v>
      </c>
      <c r="D143" s="142" t="s">
        <v>98</v>
      </c>
      <c r="E143" s="142" t="s">
        <v>165</v>
      </c>
      <c r="F143" s="145" t="s">
        <v>239</v>
      </c>
      <c r="G143" s="44" t="str">
        <f t="shared" si="18"/>
        <v>Líderes de Cada Proceso</v>
      </c>
      <c r="H143" s="137">
        <v>44362</v>
      </c>
      <c r="I143" s="137">
        <v>44392</v>
      </c>
      <c r="J143" s="61"/>
      <c r="K143" s="61"/>
      <c r="L143" s="61"/>
      <c r="M143" s="61"/>
      <c r="N143" s="61"/>
      <c r="O143" s="61"/>
      <c r="P143" s="61"/>
      <c r="Q143" s="61"/>
      <c r="R143" s="61"/>
      <c r="S143" s="61"/>
      <c r="T143" s="61"/>
      <c r="U143" s="61"/>
      <c r="V143" s="142" t="s">
        <v>123</v>
      </c>
      <c r="W143" s="206">
        <v>5.0000000000000001E-3</v>
      </c>
      <c r="X143" s="137"/>
      <c r="Y143" s="143"/>
      <c r="Z143" s="72"/>
      <c r="AA143" s="41"/>
      <c r="AB143" s="70">
        <f t="shared" ca="1" si="27"/>
        <v>0</v>
      </c>
      <c r="AC143" s="70">
        <f t="shared" ca="1" si="19"/>
        <v>5.0000000000000001E-3</v>
      </c>
      <c r="AD143" s="233">
        <f t="shared" si="21"/>
        <v>7</v>
      </c>
      <c r="AE143" s="234">
        <f t="shared" si="22"/>
        <v>30</v>
      </c>
      <c r="AF143" s="234">
        <f t="shared" si="23"/>
        <v>-76</v>
      </c>
      <c r="AG143" s="235">
        <f t="shared" si="24"/>
        <v>-2.5333333333333332</v>
      </c>
      <c r="AH143" s="236">
        <f t="shared" si="25"/>
        <v>-1.2666666666666666E-2</v>
      </c>
      <c r="AI143" s="235">
        <f t="shared" ca="1" si="26"/>
        <v>1.2666666666666666E-2</v>
      </c>
      <c r="AJ143" s="237"/>
    </row>
    <row r="144" spans="1:173" s="23" customFormat="1" ht="35.4" customHeight="1" x14ac:dyDescent="0.25">
      <c r="A144" s="142" t="s">
        <v>50</v>
      </c>
      <c r="B144" s="143" t="s">
        <v>341</v>
      </c>
      <c r="C144" s="142" t="s">
        <v>140</v>
      </c>
      <c r="D144" s="142" t="s">
        <v>100</v>
      </c>
      <c r="E144" s="142" t="s">
        <v>165</v>
      </c>
      <c r="F144" s="145" t="s">
        <v>159</v>
      </c>
      <c r="G144" s="44" t="str">
        <f t="shared" si="18"/>
        <v>Director de Gestión Corporativa y CID</v>
      </c>
      <c r="H144" s="137">
        <v>44363</v>
      </c>
      <c r="I144" s="137">
        <v>44393</v>
      </c>
      <c r="J144" s="61"/>
      <c r="K144" s="61"/>
      <c r="L144" s="61"/>
      <c r="M144" s="61"/>
      <c r="N144" s="61"/>
      <c r="O144" s="61"/>
      <c r="P144" s="61"/>
      <c r="Q144" s="61"/>
      <c r="R144" s="61"/>
      <c r="S144" s="61"/>
      <c r="T144" s="61"/>
      <c r="U144" s="61"/>
      <c r="V144" s="142" t="s">
        <v>123</v>
      </c>
      <c r="W144" s="206">
        <v>2.5000000000000001E-3</v>
      </c>
      <c r="X144" s="137"/>
      <c r="Y144" s="80"/>
      <c r="Z144" s="72"/>
      <c r="AA144" s="41"/>
      <c r="AB144" s="70">
        <f t="shared" ca="1" si="27"/>
        <v>0</v>
      </c>
      <c r="AC144" s="70">
        <f t="shared" ca="1" si="19"/>
        <v>2.5000000000000001E-3</v>
      </c>
      <c r="AD144" s="233">
        <f t="shared" si="21"/>
        <v>7</v>
      </c>
      <c r="AE144" s="234">
        <f t="shared" si="22"/>
        <v>30</v>
      </c>
      <c r="AF144" s="234">
        <f t="shared" si="23"/>
        <v>-77</v>
      </c>
      <c r="AG144" s="235">
        <f t="shared" si="24"/>
        <v>-2.5666666666666669</v>
      </c>
      <c r="AH144" s="236">
        <f t="shared" si="25"/>
        <v>-6.4166666666666677E-3</v>
      </c>
      <c r="AI144" s="235">
        <f t="shared" ca="1" si="26"/>
        <v>6.4166666666666677E-3</v>
      </c>
      <c r="AJ144" s="237"/>
    </row>
    <row r="145" spans="1:37" s="23" customFormat="1" ht="35.4" customHeight="1" x14ac:dyDescent="0.25">
      <c r="A145" s="142" t="s">
        <v>50</v>
      </c>
      <c r="B145" s="143" t="s">
        <v>353</v>
      </c>
      <c r="C145" s="142" t="s">
        <v>83</v>
      </c>
      <c r="D145" s="142" t="s">
        <v>100</v>
      </c>
      <c r="E145" s="142" t="s">
        <v>165</v>
      </c>
      <c r="F145" s="145" t="s">
        <v>159</v>
      </c>
      <c r="G145" s="44" t="str">
        <f t="shared" si="18"/>
        <v>Director de Mejoramiento de Vivienda</v>
      </c>
      <c r="H145" s="137">
        <v>44363</v>
      </c>
      <c r="I145" s="137">
        <v>44393</v>
      </c>
      <c r="J145" s="61"/>
      <c r="K145" s="61"/>
      <c r="L145" s="61"/>
      <c r="M145" s="61"/>
      <c r="N145" s="61"/>
      <c r="O145" s="61"/>
      <c r="P145" s="61"/>
      <c r="Q145" s="61"/>
      <c r="R145" s="61"/>
      <c r="S145" s="61"/>
      <c r="T145" s="61"/>
      <c r="U145" s="61"/>
      <c r="V145" s="142" t="s">
        <v>123</v>
      </c>
      <c r="W145" s="206">
        <v>5.0000000000000001E-3</v>
      </c>
      <c r="X145" s="137"/>
      <c r="Y145" s="80"/>
      <c r="Z145" s="72"/>
      <c r="AA145" s="41"/>
      <c r="AB145" s="70">
        <f t="shared" ca="1" si="27"/>
        <v>0</v>
      </c>
      <c r="AC145" s="70">
        <f t="shared" ca="1" si="19"/>
        <v>5.0000000000000001E-3</v>
      </c>
      <c r="AD145" s="233">
        <f t="shared" si="21"/>
        <v>7</v>
      </c>
      <c r="AE145" s="234">
        <f t="shared" si="22"/>
        <v>30</v>
      </c>
      <c r="AF145" s="234">
        <f t="shared" si="23"/>
        <v>-77</v>
      </c>
      <c r="AG145" s="235">
        <f t="shared" si="24"/>
        <v>-2.5666666666666669</v>
      </c>
      <c r="AH145" s="236">
        <f t="shared" si="25"/>
        <v>-1.2833333333333335E-2</v>
      </c>
      <c r="AI145" s="235">
        <f t="shared" ca="1" si="26"/>
        <v>1.2833333333333335E-2</v>
      </c>
      <c r="AJ145" s="237"/>
    </row>
    <row r="146" spans="1:37" s="23" customFormat="1" ht="35.4" customHeight="1" x14ac:dyDescent="0.25">
      <c r="A146" s="154" t="s">
        <v>43</v>
      </c>
      <c r="B146" s="143" t="s">
        <v>277</v>
      </c>
      <c r="C146" s="142" t="s">
        <v>98</v>
      </c>
      <c r="D146" s="142" t="s">
        <v>98</v>
      </c>
      <c r="E146" s="142" t="s">
        <v>165</v>
      </c>
      <c r="F146" s="144" t="s">
        <v>263</v>
      </c>
      <c r="G146" s="44" t="str">
        <f t="shared" si="18"/>
        <v>Líderes de Cada Proceso</v>
      </c>
      <c r="H146" s="137">
        <v>44375</v>
      </c>
      <c r="I146" s="137">
        <v>44405</v>
      </c>
      <c r="J146" s="61"/>
      <c r="K146" s="61"/>
      <c r="L146" s="61"/>
      <c r="M146" s="61"/>
      <c r="N146" s="61"/>
      <c r="O146" s="61"/>
      <c r="P146" s="61"/>
      <c r="Q146" s="61"/>
      <c r="R146" s="61"/>
      <c r="S146" s="61"/>
      <c r="T146" s="61"/>
      <c r="U146" s="61"/>
      <c r="V146" s="142" t="s">
        <v>215</v>
      </c>
      <c r="W146" s="206">
        <v>1.4999999999999999E-2</v>
      </c>
      <c r="X146" s="137"/>
      <c r="Y146" s="72"/>
      <c r="Z146" s="72"/>
      <c r="AA146" s="41"/>
      <c r="AB146" s="135">
        <f t="shared" ca="1" si="27"/>
        <v>0</v>
      </c>
      <c r="AC146" s="135">
        <f t="shared" ca="1" si="19"/>
        <v>1.4999999999999999E-2</v>
      </c>
      <c r="AD146" s="233">
        <f t="shared" si="21"/>
        <v>7</v>
      </c>
      <c r="AE146" s="234">
        <f t="shared" si="22"/>
        <v>30</v>
      </c>
      <c r="AF146" s="234">
        <f t="shared" si="23"/>
        <v>-89</v>
      </c>
      <c r="AG146" s="235">
        <f t="shared" si="24"/>
        <v>-2.9666666666666668</v>
      </c>
      <c r="AH146" s="236">
        <f t="shared" si="25"/>
        <v>-4.4499999999999998E-2</v>
      </c>
      <c r="AI146" s="235">
        <f t="shared" ca="1" si="26"/>
        <v>4.4499999999999998E-2</v>
      </c>
      <c r="AJ146" s="237"/>
    </row>
    <row r="147" spans="1:37" s="23" customFormat="1" ht="35.4" customHeight="1" x14ac:dyDescent="0.25">
      <c r="A147" s="154" t="s">
        <v>46</v>
      </c>
      <c r="B147" s="143" t="s">
        <v>314</v>
      </c>
      <c r="C147" s="142" t="s">
        <v>127</v>
      </c>
      <c r="D147" s="142" t="s">
        <v>95</v>
      </c>
      <c r="E147" s="142" t="s">
        <v>165</v>
      </c>
      <c r="F147" s="145" t="s">
        <v>239</v>
      </c>
      <c r="G147" s="44" t="str">
        <f t="shared" ref="G147:G210" si="28">IF(LEN(C147)&gt;0,VLOOKUP(C147,PROCESO2,3,0),"")</f>
        <v xml:space="preserve">Director Jurídico </v>
      </c>
      <c r="H147" s="137">
        <v>44376</v>
      </c>
      <c r="I147" s="137">
        <v>44379</v>
      </c>
      <c r="J147" s="61"/>
      <c r="K147" s="61"/>
      <c r="L147" s="61"/>
      <c r="M147" s="61"/>
      <c r="N147" s="61"/>
      <c r="O147" s="61"/>
      <c r="P147" s="61"/>
      <c r="Q147" s="61"/>
      <c r="R147" s="61"/>
      <c r="S147" s="61"/>
      <c r="T147" s="61"/>
      <c r="U147" s="61"/>
      <c r="V147" s="140" t="s">
        <v>317</v>
      </c>
      <c r="W147" s="206">
        <v>1E-3</v>
      </c>
      <c r="X147" s="137"/>
      <c r="Y147" s="72"/>
      <c r="Z147" s="72"/>
      <c r="AA147" s="41"/>
      <c r="AB147" s="70">
        <f t="shared" ca="1" si="27"/>
        <v>0</v>
      </c>
      <c r="AC147" s="70">
        <f t="shared" ref="AC147:AC210" ca="1" si="29">+W147-AB147</f>
        <v>1E-3</v>
      </c>
      <c r="AD147" s="233">
        <f t="shared" si="21"/>
        <v>7</v>
      </c>
      <c r="AE147" s="234">
        <f t="shared" si="22"/>
        <v>3</v>
      </c>
      <c r="AF147" s="234">
        <f t="shared" si="23"/>
        <v>-90</v>
      </c>
      <c r="AG147" s="235">
        <f t="shared" si="24"/>
        <v>-30</v>
      </c>
      <c r="AH147" s="236">
        <f t="shared" si="25"/>
        <v>-0.03</v>
      </c>
      <c r="AI147" s="235">
        <f t="shared" ca="1" si="26"/>
        <v>0.03</v>
      </c>
      <c r="AJ147" s="237"/>
    </row>
    <row r="148" spans="1:37" s="23" customFormat="1" ht="35.4" customHeight="1" x14ac:dyDescent="0.25">
      <c r="A148" s="142" t="s">
        <v>45</v>
      </c>
      <c r="B148" s="143" t="s">
        <v>289</v>
      </c>
      <c r="C148" s="142" t="s">
        <v>90</v>
      </c>
      <c r="D148" s="142" t="s">
        <v>97</v>
      </c>
      <c r="E148" s="142" t="s">
        <v>165</v>
      </c>
      <c r="F148" s="145" t="s">
        <v>239</v>
      </c>
      <c r="G148" s="44" t="str">
        <f t="shared" si="28"/>
        <v>Asesor de Control Interno</v>
      </c>
      <c r="H148" s="137">
        <v>44376</v>
      </c>
      <c r="I148" s="137">
        <v>44379</v>
      </c>
      <c r="J148" s="61"/>
      <c r="K148" s="61"/>
      <c r="L148" s="61"/>
      <c r="M148" s="61"/>
      <c r="N148" s="61"/>
      <c r="O148" s="61"/>
      <c r="P148" s="61"/>
      <c r="Q148" s="61"/>
      <c r="R148" s="61"/>
      <c r="S148" s="61"/>
      <c r="T148" s="61"/>
      <c r="U148" s="61"/>
      <c r="V148" s="41" t="s">
        <v>215</v>
      </c>
      <c r="W148" s="206">
        <v>3.0000000000000001E-3</v>
      </c>
      <c r="X148" s="137"/>
      <c r="Y148" s="143"/>
      <c r="Z148" s="72"/>
      <c r="AA148" s="41"/>
      <c r="AB148" s="70">
        <f t="shared" ca="1" si="27"/>
        <v>0</v>
      </c>
      <c r="AC148" s="70">
        <f t="shared" ca="1" si="29"/>
        <v>3.0000000000000001E-3</v>
      </c>
      <c r="AD148" s="233">
        <f t="shared" si="21"/>
        <v>7</v>
      </c>
      <c r="AE148" s="234">
        <f t="shared" si="22"/>
        <v>3</v>
      </c>
      <c r="AF148" s="234">
        <f t="shared" si="23"/>
        <v>-90</v>
      </c>
      <c r="AG148" s="235">
        <f t="shared" si="24"/>
        <v>-30</v>
      </c>
      <c r="AH148" s="236">
        <f t="shared" si="25"/>
        <v>-0.09</v>
      </c>
      <c r="AI148" s="235">
        <f t="shared" ca="1" si="26"/>
        <v>0.09</v>
      </c>
      <c r="AJ148" s="237"/>
    </row>
    <row r="149" spans="1:37" s="23" customFormat="1" ht="35.4" customHeight="1" x14ac:dyDescent="0.25">
      <c r="A149" s="142" t="s">
        <v>45</v>
      </c>
      <c r="B149" s="143" t="s">
        <v>114</v>
      </c>
      <c r="C149" s="142" t="s">
        <v>90</v>
      </c>
      <c r="D149" s="142" t="s">
        <v>97</v>
      </c>
      <c r="E149" s="142" t="s">
        <v>165</v>
      </c>
      <c r="F149" s="145" t="s">
        <v>239</v>
      </c>
      <c r="G149" s="44" t="str">
        <f t="shared" si="28"/>
        <v>Asesor de Control Interno</v>
      </c>
      <c r="H149" s="137">
        <v>44378</v>
      </c>
      <c r="I149" s="137">
        <v>44384</v>
      </c>
      <c r="J149" s="61"/>
      <c r="K149" s="61"/>
      <c r="L149" s="61"/>
      <c r="M149" s="61"/>
      <c r="N149" s="61"/>
      <c r="O149" s="61"/>
      <c r="P149" s="61"/>
      <c r="Q149" s="61"/>
      <c r="R149" s="61"/>
      <c r="S149" s="61"/>
      <c r="T149" s="61"/>
      <c r="U149" s="61"/>
      <c r="V149" s="142" t="s">
        <v>202</v>
      </c>
      <c r="W149" s="206">
        <v>3.0000000000000001E-3</v>
      </c>
      <c r="X149" s="137"/>
      <c r="Y149" s="143"/>
      <c r="Z149" s="72"/>
      <c r="AA149" s="41"/>
      <c r="AB149" s="70">
        <f t="shared" ca="1" si="27"/>
        <v>0</v>
      </c>
      <c r="AC149" s="70">
        <f t="shared" ca="1" si="29"/>
        <v>3.0000000000000001E-3</v>
      </c>
      <c r="AD149" s="233">
        <f t="shared" si="21"/>
        <v>7</v>
      </c>
      <c r="AE149" s="234">
        <f t="shared" si="22"/>
        <v>6</v>
      </c>
      <c r="AF149" s="234">
        <f t="shared" si="23"/>
        <v>-92</v>
      </c>
      <c r="AG149" s="235">
        <f t="shared" si="24"/>
        <v>-15.333333333333334</v>
      </c>
      <c r="AH149" s="236">
        <f t="shared" si="25"/>
        <v>-4.6000000000000006E-2</v>
      </c>
      <c r="AI149" s="235">
        <f t="shared" ca="1" si="26"/>
        <v>4.6000000000000006E-2</v>
      </c>
      <c r="AJ149" s="237"/>
    </row>
    <row r="150" spans="1:37" s="23" customFormat="1" ht="35.4" customHeight="1" x14ac:dyDescent="0.25">
      <c r="A150" s="142" t="s">
        <v>45</v>
      </c>
      <c r="B150" s="143" t="s">
        <v>254</v>
      </c>
      <c r="C150" s="142" t="s">
        <v>90</v>
      </c>
      <c r="D150" s="142" t="s">
        <v>97</v>
      </c>
      <c r="E150" s="142" t="s">
        <v>165</v>
      </c>
      <c r="F150" s="144" t="s">
        <v>160</v>
      </c>
      <c r="G150" s="44" t="str">
        <f t="shared" si="28"/>
        <v>Asesor de Control Interno</v>
      </c>
      <c r="H150" s="137">
        <v>44378</v>
      </c>
      <c r="I150" s="137">
        <v>44385</v>
      </c>
      <c r="J150" s="61"/>
      <c r="K150" s="61"/>
      <c r="L150" s="61"/>
      <c r="M150" s="61"/>
      <c r="N150" s="61"/>
      <c r="O150" s="61"/>
      <c r="P150" s="61"/>
      <c r="Q150" s="61"/>
      <c r="R150" s="61"/>
      <c r="S150" s="61"/>
      <c r="T150" s="61"/>
      <c r="U150" s="61"/>
      <c r="V150" s="142" t="s">
        <v>215</v>
      </c>
      <c r="W150" s="206">
        <v>3.0000000000000001E-3</v>
      </c>
      <c r="X150" s="137"/>
      <c r="Y150" s="143"/>
      <c r="Z150" s="72"/>
      <c r="AA150" s="41"/>
      <c r="AB150" s="70">
        <f t="shared" ca="1" si="27"/>
        <v>0</v>
      </c>
      <c r="AC150" s="70">
        <f t="shared" ca="1" si="29"/>
        <v>3.0000000000000001E-3</v>
      </c>
      <c r="AD150" s="233">
        <f t="shared" si="21"/>
        <v>7</v>
      </c>
      <c r="AE150" s="234">
        <f t="shared" si="22"/>
        <v>7</v>
      </c>
      <c r="AF150" s="234">
        <f t="shared" si="23"/>
        <v>-92</v>
      </c>
      <c r="AG150" s="235">
        <f t="shared" si="24"/>
        <v>-13.142857142857142</v>
      </c>
      <c r="AH150" s="236">
        <f t="shared" si="25"/>
        <v>-3.9428571428571431E-2</v>
      </c>
      <c r="AI150" s="235">
        <f t="shared" ca="1" si="26"/>
        <v>3.9428571428571431E-2</v>
      </c>
      <c r="AJ150" s="237"/>
    </row>
    <row r="151" spans="1:37" s="23" customFormat="1" ht="35.4" customHeight="1" x14ac:dyDescent="0.25">
      <c r="A151" s="154" t="s">
        <v>44</v>
      </c>
      <c r="B151" s="42" t="s">
        <v>330</v>
      </c>
      <c r="C151" s="142" t="s">
        <v>127</v>
      </c>
      <c r="D151" s="142" t="s">
        <v>95</v>
      </c>
      <c r="E151" s="142" t="s">
        <v>165</v>
      </c>
      <c r="F151" s="145" t="s">
        <v>160</v>
      </c>
      <c r="G151" s="44" t="str">
        <f t="shared" si="28"/>
        <v xml:space="preserve">Director Jurídico </v>
      </c>
      <c r="H151" s="137">
        <v>44378</v>
      </c>
      <c r="I151" s="137">
        <v>44386</v>
      </c>
      <c r="J151" s="61"/>
      <c r="K151" s="61"/>
      <c r="L151" s="61"/>
      <c r="M151" s="61"/>
      <c r="N151" s="61"/>
      <c r="O151" s="61"/>
      <c r="P151" s="61"/>
      <c r="Q151" s="61"/>
      <c r="R151" s="61"/>
      <c r="S151" s="61"/>
      <c r="T151" s="61"/>
      <c r="U151" s="61"/>
      <c r="V151" s="142" t="s">
        <v>123</v>
      </c>
      <c r="W151" s="206">
        <v>2.5000000000000001E-3</v>
      </c>
      <c r="X151" s="137"/>
      <c r="Y151" s="80"/>
      <c r="Z151" s="72"/>
      <c r="AA151" s="41"/>
      <c r="AB151" s="70">
        <f t="shared" ca="1" si="27"/>
        <v>0</v>
      </c>
      <c r="AC151" s="70">
        <f t="shared" ca="1" si="29"/>
        <v>2.5000000000000001E-3</v>
      </c>
      <c r="AD151" s="233">
        <f t="shared" si="21"/>
        <v>7</v>
      </c>
      <c r="AE151" s="234">
        <f t="shared" si="22"/>
        <v>8</v>
      </c>
      <c r="AF151" s="234">
        <f t="shared" si="23"/>
        <v>-92</v>
      </c>
      <c r="AG151" s="235">
        <f t="shared" si="24"/>
        <v>-11.5</v>
      </c>
      <c r="AH151" s="236">
        <f t="shared" si="25"/>
        <v>-2.8750000000000001E-2</v>
      </c>
      <c r="AI151" s="235">
        <f t="shared" ca="1" si="26"/>
        <v>2.8750000000000001E-2</v>
      </c>
      <c r="AJ151" s="237"/>
    </row>
    <row r="152" spans="1:37" s="23" customFormat="1" ht="35.4" customHeight="1" x14ac:dyDescent="0.25">
      <c r="A152" s="154" t="s">
        <v>46</v>
      </c>
      <c r="B152" s="143" t="s">
        <v>93</v>
      </c>
      <c r="C152" s="142" t="s">
        <v>89</v>
      </c>
      <c r="D152" s="142" t="s">
        <v>96</v>
      </c>
      <c r="E152" s="142" t="s">
        <v>165</v>
      </c>
      <c r="F152" s="144" t="s">
        <v>240</v>
      </c>
      <c r="G152" s="44" t="str">
        <f t="shared" si="28"/>
        <v>Subdirector Financiero</v>
      </c>
      <c r="H152" s="137">
        <v>44378</v>
      </c>
      <c r="I152" s="137">
        <v>44389</v>
      </c>
      <c r="J152" s="61"/>
      <c r="K152" s="61"/>
      <c r="L152" s="61"/>
      <c r="M152" s="61"/>
      <c r="N152" s="61"/>
      <c r="O152" s="61"/>
      <c r="P152" s="61"/>
      <c r="Q152" s="61"/>
      <c r="R152" s="61"/>
      <c r="S152" s="61"/>
      <c r="T152" s="61"/>
      <c r="U152" s="61"/>
      <c r="V152" s="142" t="s">
        <v>332</v>
      </c>
      <c r="W152" s="206">
        <v>1E-3</v>
      </c>
      <c r="X152" s="137"/>
      <c r="Y152" s="72"/>
      <c r="Z152" s="72"/>
      <c r="AA152" s="41"/>
      <c r="AB152" s="70">
        <f t="shared" ca="1" si="27"/>
        <v>0</v>
      </c>
      <c r="AC152" s="70">
        <f t="shared" ca="1" si="29"/>
        <v>1E-3</v>
      </c>
      <c r="AD152" s="233">
        <f t="shared" si="21"/>
        <v>7</v>
      </c>
      <c r="AE152" s="234">
        <f t="shared" si="22"/>
        <v>11</v>
      </c>
      <c r="AF152" s="234">
        <f t="shared" si="23"/>
        <v>-92</v>
      </c>
      <c r="AG152" s="235">
        <f t="shared" si="24"/>
        <v>-8.3636363636363633</v>
      </c>
      <c r="AH152" s="236">
        <f t="shared" si="25"/>
        <v>-8.363636363636363E-3</v>
      </c>
      <c r="AI152" s="235">
        <f t="shared" ca="1" si="26"/>
        <v>8.363636363636363E-3</v>
      </c>
      <c r="AJ152" s="237"/>
    </row>
    <row r="153" spans="1:37" s="23" customFormat="1" ht="35.4" customHeight="1" x14ac:dyDescent="0.25">
      <c r="A153" s="154" t="s">
        <v>44</v>
      </c>
      <c r="B153" s="143" t="s">
        <v>92</v>
      </c>
      <c r="C153" s="142" t="s">
        <v>89</v>
      </c>
      <c r="D153" s="142" t="s">
        <v>96</v>
      </c>
      <c r="E153" s="142" t="s">
        <v>165</v>
      </c>
      <c r="F153" s="144" t="s">
        <v>203</v>
      </c>
      <c r="G153" s="44" t="str">
        <f t="shared" si="28"/>
        <v>Subdirector Financiero</v>
      </c>
      <c r="H153" s="137">
        <v>44378</v>
      </c>
      <c r="I153" s="137">
        <v>44389</v>
      </c>
      <c r="J153" s="61"/>
      <c r="K153" s="61"/>
      <c r="L153" s="61"/>
      <c r="M153" s="61"/>
      <c r="N153" s="61"/>
      <c r="O153" s="61"/>
      <c r="P153" s="61"/>
      <c r="Q153" s="61"/>
      <c r="R153" s="61"/>
      <c r="S153" s="61"/>
      <c r="T153" s="61"/>
      <c r="U153" s="61"/>
      <c r="V153" s="142" t="s">
        <v>123</v>
      </c>
      <c r="W153" s="206">
        <v>1E-3</v>
      </c>
      <c r="X153" s="137"/>
      <c r="Y153" s="143"/>
      <c r="Z153" s="143"/>
      <c r="AA153" s="41"/>
      <c r="AB153" s="70">
        <f t="shared" ca="1" si="27"/>
        <v>0</v>
      </c>
      <c r="AC153" s="70">
        <f t="shared" ca="1" si="29"/>
        <v>1E-3</v>
      </c>
      <c r="AD153" s="233">
        <f t="shared" si="21"/>
        <v>7</v>
      </c>
      <c r="AE153" s="234">
        <f t="shared" si="22"/>
        <v>11</v>
      </c>
      <c r="AF153" s="234">
        <f t="shared" si="23"/>
        <v>-92</v>
      </c>
      <c r="AG153" s="235">
        <f t="shared" si="24"/>
        <v>-8.3636363636363633</v>
      </c>
      <c r="AH153" s="236">
        <f t="shared" si="25"/>
        <v>-8.363636363636363E-3</v>
      </c>
      <c r="AI153" s="235">
        <f t="shared" ca="1" si="26"/>
        <v>8.363636363636363E-3</v>
      </c>
      <c r="AJ153" s="237"/>
    </row>
    <row r="154" spans="1:37" s="23" customFormat="1" ht="35.4" customHeight="1" x14ac:dyDescent="0.25">
      <c r="A154" s="154" t="s">
        <v>44</v>
      </c>
      <c r="B154" s="143" t="s">
        <v>209</v>
      </c>
      <c r="C154" s="142" t="s">
        <v>87</v>
      </c>
      <c r="D154" s="142" t="s">
        <v>96</v>
      </c>
      <c r="E154" s="142" t="s">
        <v>165</v>
      </c>
      <c r="F154" s="144" t="s">
        <v>240</v>
      </c>
      <c r="G154" s="44" t="str">
        <f t="shared" si="28"/>
        <v>Subdirector Administrativo</v>
      </c>
      <c r="H154" s="137">
        <v>44378</v>
      </c>
      <c r="I154" s="137">
        <v>44400</v>
      </c>
      <c r="J154" s="61"/>
      <c r="K154" s="61"/>
      <c r="L154" s="61"/>
      <c r="M154" s="61"/>
      <c r="N154" s="61"/>
      <c r="O154" s="61"/>
      <c r="P154" s="61"/>
      <c r="Q154" s="61"/>
      <c r="R154" s="61"/>
      <c r="S154" s="61"/>
      <c r="T154" s="61"/>
      <c r="U154" s="61"/>
      <c r="V154" s="142" t="s">
        <v>123</v>
      </c>
      <c r="W154" s="206">
        <v>7.4999999999999997E-3</v>
      </c>
      <c r="X154" s="137"/>
      <c r="Y154" s="143"/>
      <c r="Z154" s="72"/>
      <c r="AA154" s="41"/>
      <c r="AB154" s="70">
        <f t="shared" ca="1" si="27"/>
        <v>0</v>
      </c>
      <c r="AC154" s="70">
        <f t="shared" ca="1" si="29"/>
        <v>7.4999999999999997E-3</v>
      </c>
      <c r="AD154" s="233">
        <f t="shared" si="21"/>
        <v>7</v>
      </c>
      <c r="AE154" s="234">
        <f t="shared" si="22"/>
        <v>22</v>
      </c>
      <c r="AF154" s="234">
        <f t="shared" si="23"/>
        <v>-92</v>
      </c>
      <c r="AG154" s="235">
        <f t="shared" si="24"/>
        <v>-4.1818181818181817</v>
      </c>
      <c r="AH154" s="236">
        <f t="shared" si="25"/>
        <v>-3.1363636363636364E-2</v>
      </c>
      <c r="AI154" s="235">
        <f t="shared" ca="1" si="26"/>
        <v>3.1363636363636364E-2</v>
      </c>
      <c r="AJ154" s="237"/>
    </row>
    <row r="155" spans="1:37" s="23" customFormat="1" ht="35.4" customHeight="1" x14ac:dyDescent="0.25">
      <c r="A155" s="154" t="s">
        <v>44</v>
      </c>
      <c r="B155" s="143" t="s">
        <v>281</v>
      </c>
      <c r="C155" s="142" t="s">
        <v>89</v>
      </c>
      <c r="D155" s="142" t="s">
        <v>96</v>
      </c>
      <c r="E155" s="142" t="s">
        <v>165</v>
      </c>
      <c r="F155" s="144" t="s">
        <v>159</v>
      </c>
      <c r="G155" s="44" t="str">
        <f t="shared" si="28"/>
        <v>Subdirector Financiero</v>
      </c>
      <c r="H155" s="137">
        <v>44378</v>
      </c>
      <c r="I155" s="137">
        <v>44405</v>
      </c>
      <c r="J155" s="61"/>
      <c r="K155" s="61"/>
      <c r="L155" s="61"/>
      <c r="M155" s="61"/>
      <c r="N155" s="61"/>
      <c r="O155" s="61"/>
      <c r="P155" s="61"/>
      <c r="Q155" s="61"/>
      <c r="R155" s="61"/>
      <c r="S155" s="61"/>
      <c r="T155" s="61"/>
      <c r="U155" s="61"/>
      <c r="V155" s="142" t="s">
        <v>123</v>
      </c>
      <c r="W155" s="206">
        <v>3.0000000000000001E-3</v>
      </c>
      <c r="X155" s="137"/>
      <c r="Y155" s="72"/>
      <c r="Z155" s="72"/>
      <c r="AA155" s="41"/>
      <c r="AB155" s="70">
        <f t="shared" ca="1" si="27"/>
        <v>0</v>
      </c>
      <c r="AC155" s="70">
        <f t="shared" ca="1" si="29"/>
        <v>3.0000000000000001E-3</v>
      </c>
      <c r="AD155" s="233">
        <f t="shared" si="21"/>
        <v>7</v>
      </c>
      <c r="AE155" s="234">
        <f t="shared" si="22"/>
        <v>27</v>
      </c>
      <c r="AF155" s="234">
        <f t="shared" si="23"/>
        <v>-92</v>
      </c>
      <c r="AG155" s="235">
        <f t="shared" si="24"/>
        <v>-3.4074074074074074</v>
      </c>
      <c r="AH155" s="236">
        <f t="shared" si="25"/>
        <v>-1.0222222222222223E-2</v>
      </c>
      <c r="AI155" s="235">
        <f t="shared" ca="1" si="26"/>
        <v>1.0222222222222223E-2</v>
      </c>
      <c r="AJ155" s="237"/>
      <c r="AK155" s="1"/>
    </row>
    <row r="156" spans="1:37" s="23" customFormat="1" ht="35.4" customHeight="1" x14ac:dyDescent="0.25">
      <c r="A156" s="154" t="s">
        <v>50</v>
      </c>
      <c r="B156" s="143" t="s">
        <v>115</v>
      </c>
      <c r="C156" s="142" t="s">
        <v>140</v>
      </c>
      <c r="D156" s="142" t="s">
        <v>100</v>
      </c>
      <c r="E156" s="142" t="s">
        <v>165</v>
      </c>
      <c r="F156" s="144" t="s">
        <v>159</v>
      </c>
      <c r="G156" s="44" t="str">
        <f t="shared" si="28"/>
        <v>Director de Gestión Corporativa y CID</v>
      </c>
      <c r="H156" s="137">
        <v>44378</v>
      </c>
      <c r="I156" s="137">
        <v>44405</v>
      </c>
      <c r="J156" s="61"/>
      <c r="K156" s="61"/>
      <c r="L156" s="61"/>
      <c r="M156" s="61"/>
      <c r="N156" s="61"/>
      <c r="O156" s="61"/>
      <c r="P156" s="61"/>
      <c r="Q156" s="61"/>
      <c r="R156" s="61"/>
      <c r="S156" s="61"/>
      <c r="T156" s="61"/>
      <c r="U156" s="61"/>
      <c r="V156" s="142" t="s">
        <v>123</v>
      </c>
      <c r="W156" s="206">
        <v>2.5000000000000001E-3</v>
      </c>
      <c r="X156" s="137"/>
      <c r="Y156" s="72"/>
      <c r="Z156" s="72"/>
      <c r="AA156" s="41"/>
      <c r="AB156" s="70">
        <f t="shared" ca="1" si="27"/>
        <v>0</v>
      </c>
      <c r="AC156" s="70">
        <f t="shared" ca="1" si="29"/>
        <v>2.5000000000000001E-3</v>
      </c>
      <c r="AD156" s="233">
        <f t="shared" si="21"/>
        <v>7</v>
      </c>
      <c r="AE156" s="234">
        <f t="shared" si="22"/>
        <v>27</v>
      </c>
      <c r="AF156" s="234">
        <f t="shared" si="23"/>
        <v>-92</v>
      </c>
      <c r="AG156" s="235">
        <f t="shared" si="24"/>
        <v>-3.4074074074074074</v>
      </c>
      <c r="AH156" s="236">
        <f t="shared" si="25"/>
        <v>-8.518518518518519E-3</v>
      </c>
      <c r="AI156" s="235">
        <f t="shared" ca="1" si="26"/>
        <v>8.518518518518519E-3</v>
      </c>
      <c r="AJ156" s="237"/>
    </row>
    <row r="157" spans="1:37" s="23" customFormat="1" ht="35.4" customHeight="1" x14ac:dyDescent="0.25">
      <c r="A157" s="142" t="s">
        <v>50</v>
      </c>
      <c r="B157" s="143" t="s">
        <v>342</v>
      </c>
      <c r="C157" s="142" t="s">
        <v>83</v>
      </c>
      <c r="D157" s="142" t="s">
        <v>100</v>
      </c>
      <c r="E157" s="142" t="s">
        <v>165</v>
      </c>
      <c r="F157" s="145" t="s">
        <v>240</v>
      </c>
      <c r="G157" s="44" t="str">
        <f t="shared" si="28"/>
        <v>Director de Mejoramiento de Vivienda</v>
      </c>
      <c r="H157" s="137">
        <v>44378</v>
      </c>
      <c r="I157" s="137">
        <v>44438</v>
      </c>
      <c r="J157" s="61"/>
      <c r="K157" s="61"/>
      <c r="L157" s="61"/>
      <c r="M157" s="61"/>
      <c r="N157" s="61"/>
      <c r="O157" s="61"/>
      <c r="P157" s="61"/>
      <c r="Q157" s="61"/>
      <c r="R157" s="61"/>
      <c r="S157" s="61"/>
      <c r="T157" s="61"/>
      <c r="U157" s="61"/>
      <c r="V157" s="142" t="s">
        <v>123</v>
      </c>
      <c r="W157" s="206">
        <v>5.0000000000000001E-3</v>
      </c>
      <c r="X157" s="137"/>
      <c r="Y157" s="80"/>
      <c r="Z157" s="72"/>
      <c r="AA157" s="41"/>
      <c r="AB157" s="70">
        <f t="shared" ca="1" si="27"/>
        <v>0</v>
      </c>
      <c r="AC157" s="70">
        <f t="shared" ca="1" si="29"/>
        <v>5.0000000000000001E-3</v>
      </c>
      <c r="AD157" s="233">
        <f t="shared" si="21"/>
        <v>8</v>
      </c>
      <c r="AE157" s="234">
        <f t="shared" si="22"/>
        <v>60</v>
      </c>
      <c r="AF157" s="234">
        <f t="shared" si="23"/>
        <v>-92</v>
      </c>
      <c r="AG157" s="235">
        <f t="shared" si="24"/>
        <v>-1.5333333333333334</v>
      </c>
      <c r="AH157" s="236">
        <f t="shared" si="25"/>
        <v>-7.6666666666666671E-3</v>
      </c>
      <c r="AI157" s="235">
        <f t="shared" ca="1" si="26"/>
        <v>7.6666666666666671E-3</v>
      </c>
      <c r="AJ157" s="237"/>
    </row>
    <row r="158" spans="1:37" s="23" customFormat="1" ht="35.4" customHeight="1" x14ac:dyDescent="0.25">
      <c r="A158" s="142" t="s">
        <v>43</v>
      </c>
      <c r="B158" s="143" t="s">
        <v>305</v>
      </c>
      <c r="C158" s="142" t="s">
        <v>90</v>
      </c>
      <c r="D158" s="142" t="s">
        <v>97</v>
      </c>
      <c r="E158" s="142" t="s">
        <v>165</v>
      </c>
      <c r="F158" s="145" t="s">
        <v>239</v>
      </c>
      <c r="G158" s="44" t="str">
        <f t="shared" si="28"/>
        <v>Asesor de Control Interno</v>
      </c>
      <c r="H158" s="137">
        <v>44396</v>
      </c>
      <c r="I158" s="137">
        <v>44407</v>
      </c>
      <c r="J158" s="61"/>
      <c r="K158" s="61"/>
      <c r="L158" s="61"/>
      <c r="M158" s="61"/>
      <c r="N158" s="61"/>
      <c r="O158" s="61"/>
      <c r="P158" s="61"/>
      <c r="Q158" s="61"/>
      <c r="R158" s="61"/>
      <c r="S158" s="61"/>
      <c r="T158" s="61"/>
      <c r="U158" s="61"/>
      <c r="V158" s="142" t="s">
        <v>334</v>
      </c>
      <c r="W158" s="208">
        <v>4.0000000000000001E-3</v>
      </c>
      <c r="X158" s="137"/>
      <c r="Y158" s="143"/>
      <c r="Z158" s="72"/>
      <c r="AA158" s="41"/>
      <c r="AB158" s="70">
        <f t="shared" ca="1" si="27"/>
        <v>0</v>
      </c>
      <c r="AC158" s="70">
        <f t="shared" ca="1" si="29"/>
        <v>4.0000000000000001E-3</v>
      </c>
      <c r="AD158" s="233">
        <f t="shared" si="21"/>
        <v>7</v>
      </c>
      <c r="AE158" s="234">
        <f t="shared" si="22"/>
        <v>11</v>
      </c>
      <c r="AF158" s="234">
        <f t="shared" si="23"/>
        <v>-110</v>
      </c>
      <c r="AG158" s="235">
        <f t="shared" si="24"/>
        <v>-10</v>
      </c>
      <c r="AH158" s="236">
        <f t="shared" si="25"/>
        <v>-0.04</v>
      </c>
      <c r="AI158" s="235">
        <f t="shared" ca="1" si="26"/>
        <v>0.04</v>
      </c>
      <c r="AJ158" s="237"/>
      <c r="AK158" s="1"/>
    </row>
    <row r="159" spans="1:37" s="23" customFormat="1" ht="35.4" customHeight="1" x14ac:dyDescent="0.25">
      <c r="A159" s="142" t="s">
        <v>52</v>
      </c>
      <c r="B159" s="143" t="s">
        <v>300</v>
      </c>
      <c r="C159" s="142" t="s">
        <v>90</v>
      </c>
      <c r="D159" s="142" t="s">
        <v>97</v>
      </c>
      <c r="E159" s="142" t="s">
        <v>165</v>
      </c>
      <c r="F159" s="144" t="s">
        <v>160</v>
      </c>
      <c r="G159" s="44" t="str">
        <f t="shared" si="28"/>
        <v>Asesor de Control Interno</v>
      </c>
      <c r="H159" s="137">
        <v>44396</v>
      </c>
      <c r="I159" s="137">
        <v>44421</v>
      </c>
      <c r="J159" s="61"/>
      <c r="K159" s="61"/>
      <c r="L159" s="61"/>
      <c r="M159" s="61"/>
      <c r="N159" s="61"/>
      <c r="O159" s="61"/>
      <c r="P159" s="61"/>
      <c r="Q159" s="61"/>
      <c r="R159" s="61"/>
      <c r="S159" s="61"/>
      <c r="T159" s="61"/>
      <c r="U159" s="61"/>
      <c r="V159" s="142" t="s">
        <v>334</v>
      </c>
      <c r="W159" s="208">
        <v>1.4999999999999999E-2</v>
      </c>
      <c r="X159" s="137"/>
      <c r="Y159" s="72"/>
      <c r="Z159" s="72"/>
      <c r="AA159" s="41"/>
      <c r="AB159" s="70">
        <f t="shared" ca="1" si="27"/>
        <v>0</v>
      </c>
      <c r="AC159" s="70">
        <f t="shared" ca="1" si="29"/>
        <v>1.4999999999999999E-2</v>
      </c>
      <c r="AD159" s="233">
        <f t="shared" si="21"/>
        <v>8</v>
      </c>
      <c r="AE159" s="234">
        <f t="shared" si="22"/>
        <v>25</v>
      </c>
      <c r="AF159" s="234">
        <f t="shared" si="23"/>
        <v>-110</v>
      </c>
      <c r="AG159" s="235">
        <f t="shared" si="24"/>
        <v>-4.4000000000000004</v>
      </c>
      <c r="AH159" s="236">
        <f t="shared" si="25"/>
        <v>-6.6000000000000003E-2</v>
      </c>
      <c r="AI159" s="235">
        <f t="shared" ca="1" si="26"/>
        <v>6.6000000000000003E-2</v>
      </c>
      <c r="AJ159" s="237"/>
    </row>
    <row r="160" spans="1:37" s="23" customFormat="1" ht="35.4" customHeight="1" x14ac:dyDescent="0.25">
      <c r="A160" s="142" t="s">
        <v>50</v>
      </c>
      <c r="B160" s="143" t="s">
        <v>217</v>
      </c>
      <c r="C160" s="67" t="s">
        <v>141</v>
      </c>
      <c r="D160" s="45" t="s">
        <v>96</v>
      </c>
      <c r="E160" s="142" t="s">
        <v>165</v>
      </c>
      <c r="F160" s="144" t="s">
        <v>160</v>
      </c>
      <c r="G160" s="44" t="str">
        <f t="shared" si="28"/>
        <v>Director de Gestión Corporativa y CID</v>
      </c>
      <c r="H160" s="184">
        <v>44396</v>
      </c>
      <c r="I160" s="184">
        <v>44432</v>
      </c>
      <c r="J160" s="61"/>
      <c r="K160" s="61"/>
      <c r="L160" s="61"/>
      <c r="M160" s="61"/>
      <c r="N160" s="61"/>
      <c r="O160" s="61"/>
      <c r="P160" s="61"/>
      <c r="Q160" s="61"/>
      <c r="R160" s="61"/>
      <c r="S160" s="61"/>
      <c r="T160" s="61"/>
      <c r="U160" s="61"/>
      <c r="V160" s="142" t="s">
        <v>123</v>
      </c>
      <c r="W160" s="206">
        <v>5.0000000000000001E-3</v>
      </c>
      <c r="X160" s="137"/>
      <c r="Y160" s="72"/>
      <c r="Z160" s="72"/>
      <c r="AA160" s="41"/>
      <c r="AB160" s="70">
        <f t="shared" ca="1" si="27"/>
        <v>0</v>
      </c>
      <c r="AC160" s="70">
        <f t="shared" ca="1" si="29"/>
        <v>5.0000000000000001E-3</v>
      </c>
      <c r="AD160" s="233">
        <f t="shared" si="21"/>
        <v>8</v>
      </c>
      <c r="AE160" s="234">
        <f t="shared" si="22"/>
        <v>36</v>
      </c>
      <c r="AF160" s="234">
        <f t="shared" si="23"/>
        <v>-110</v>
      </c>
      <c r="AG160" s="235">
        <f t="shared" si="24"/>
        <v>-3.0555555555555554</v>
      </c>
      <c r="AH160" s="236">
        <f t="shared" si="25"/>
        <v>-1.5277777777777777E-2</v>
      </c>
      <c r="AI160" s="235">
        <f t="shared" ca="1" si="26"/>
        <v>1.5277777777777777E-2</v>
      </c>
      <c r="AJ160" s="237"/>
    </row>
    <row r="161" spans="1:36" s="23" customFormat="1" ht="35.4" customHeight="1" x14ac:dyDescent="0.25">
      <c r="A161" s="142" t="s">
        <v>45</v>
      </c>
      <c r="B161" s="143" t="s">
        <v>289</v>
      </c>
      <c r="C161" s="142" t="s">
        <v>90</v>
      </c>
      <c r="D161" s="142" t="s">
        <v>97</v>
      </c>
      <c r="E161" s="142" t="s">
        <v>165</v>
      </c>
      <c r="F161" s="145" t="s">
        <v>239</v>
      </c>
      <c r="G161" s="44" t="str">
        <f t="shared" si="28"/>
        <v>Asesor de Control Interno</v>
      </c>
      <c r="H161" s="137">
        <v>44405</v>
      </c>
      <c r="I161" s="137">
        <v>44411</v>
      </c>
      <c r="J161" s="61"/>
      <c r="K161" s="61"/>
      <c r="L161" s="61"/>
      <c r="M161" s="61"/>
      <c r="N161" s="61"/>
      <c r="O161" s="61"/>
      <c r="P161" s="61"/>
      <c r="Q161" s="61"/>
      <c r="R161" s="61"/>
      <c r="S161" s="61"/>
      <c r="T161" s="61"/>
      <c r="U161" s="61"/>
      <c r="V161" s="142" t="s">
        <v>215</v>
      </c>
      <c r="W161" s="206">
        <v>3.0000000000000001E-3</v>
      </c>
      <c r="X161" s="137"/>
      <c r="Y161" s="143"/>
      <c r="Z161" s="72"/>
      <c r="AA161" s="41"/>
      <c r="AB161" s="70">
        <f t="shared" ca="1" si="27"/>
        <v>0</v>
      </c>
      <c r="AC161" s="70">
        <f t="shared" ca="1" si="29"/>
        <v>3.0000000000000001E-3</v>
      </c>
      <c r="AD161" s="233">
        <f t="shared" si="21"/>
        <v>8</v>
      </c>
      <c r="AE161" s="234">
        <f t="shared" si="22"/>
        <v>6</v>
      </c>
      <c r="AF161" s="234">
        <f t="shared" si="23"/>
        <v>-119</v>
      </c>
      <c r="AG161" s="235">
        <f t="shared" si="24"/>
        <v>-19.833333333333332</v>
      </c>
      <c r="AH161" s="236">
        <f t="shared" si="25"/>
        <v>-5.9499999999999997E-2</v>
      </c>
      <c r="AI161" s="235">
        <f t="shared" ca="1" si="26"/>
        <v>5.9499999999999997E-2</v>
      </c>
      <c r="AJ161" s="237"/>
    </row>
    <row r="162" spans="1:36" s="3" customFormat="1" ht="35.4" customHeight="1" x14ac:dyDescent="0.2">
      <c r="A162" s="154" t="s">
        <v>46</v>
      </c>
      <c r="B162" s="143" t="s">
        <v>314</v>
      </c>
      <c r="C162" s="142" t="s">
        <v>82</v>
      </c>
      <c r="D162" s="142" t="s">
        <v>100</v>
      </c>
      <c r="E162" s="142" t="s">
        <v>165</v>
      </c>
      <c r="F162" s="145" t="s">
        <v>239</v>
      </c>
      <c r="G162" s="44" t="str">
        <f t="shared" si="28"/>
        <v>Director de Mejoramiento de Barrios</v>
      </c>
      <c r="H162" s="139">
        <v>44406</v>
      </c>
      <c r="I162" s="139">
        <v>44411</v>
      </c>
      <c r="J162" s="61"/>
      <c r="K162" s="61"/>
      <c r="L162" s="61"/>
      <c r="M162" s="61"/>
      <c r="N162" s="61"/>
      <c r="O162" s="61"/>
      <c r="P162" s="61"/>
      <c r="Q162" s="61"/>
      <c r="R162" s="61"/>
      <c r="S162" s="61"/>
      <c r="T162" s="61"/>
      <c r="U162" s="61"/>
      <c r="V162" s="140" t="s">
        <v>317</v>
      </c>
      <c r="W162" s="206">
        <v>1E-3</v>
      </c>
      <c r="X162" s="137"/>
      <c r="Y162" s="72"/>
      <c r="Z162" s="72"/>
      <c r="AA162" s="41"/>
      <c r="AB162" s="70">
        <f t="shared" ca="1" si="27"/>
        <v>0</v>
      </c>
      <c r="AC162" s="70">
        <f t="shared" ca="1" si="29"/>
        <v>1E-3</v>
      </c>
      <c r="AD162" s="233">
        <f t="shared" si="21"/>
        <v>8</v>
      </c>
      <c r="AE162" s="234">
        <f t="shared" si="22"/>
        <v>5</v>
      </c>
      <c r="AF162" s="234">
        <f t="shared" si="23"/>
        <v>-120</v>
      </c>
      <c r="AG162" s="235">
        <f t="shared" si="24"/>
        <v>-24</v>
      </c>
      <c r="AH162" s="236">
        <f t="shared" si="25"/>
        <v>-2.4E-2</v>
      </c>
      <c r="AI162" s="235">
        <f t="shared" ca="1" si="26"/>
        <v>2.4E-2</v>
      </c>
      <c r="AJ162" s="237"/>
    </row>
    <row r="163" spans="1:36" s="3" customFormat="1" ht="35.4" customHeight="1" x14ac:dyDescent="0.2">
      <c r="A163" s="142" t="s">
        <v>46</v>
      </c>
      <c r="B163" s="136" t="s">
        <v>315</v>
      </c>
      <c r="C163" s="142" t="s">
        <v>81</v>
      </c>
      <c r="D163" s="142" t="s">
        <v>100</v>
      </c>
      <c r="E163" s="142" t="s">
        <v>165</v>
      </c>
      <c r="F163" s="144" t="s">
        <v>240</v>
      </c>
      <c r="G163" s="44" t="str">
        <f t="shared" si="28"/>
        <v>Director de Urbanizaciones y Titulación</v>
      </c>
      <c r="H163" s="139">
        <v>44407</v>
      </c>
      <c r="I163" s="139">
        <v>44495</v>
      </c>
      <c r="J163" s="61"/>
      <c r="K163" s="61"/>
      <c r="L163" s="61"/>
      <c r="M163" s="61"/>
      <c r="N163" s="61"/>
      <c r="O163" s="61"/>
      <c r="P163" s="61"/>
      <c r="Q163" s="61"/>
      <c r="R163" s="61"/>
      <c r="S163" s="61"/>
      <c r="T163" s="61"/>
      <c r="U163" s="61"/>
      <c r="V163" s="140" t="s">
        <v>337</v>
      </c>
      <c r="W163" s="208">
        <v>0.01</v>
      </c>
      <c r="X163" s="137"/>
      <c r="Y163" s="72"/>
      <c r="Z163" s="72"/>
      <c r="AA163" s="41"/>
      <c r="AB163" s="70">
        <f t="shared" ca="1" si="27"/>
        <v>0</v>
      </c>
      <c r="AC163" s="70">
        <f t="shared" ca="1" si="29"/>
        <v>0.01</v>
      </c>
      <c r="AD163" s="233">
        <f t="shared" si="21"/>
        <v>10</v>
      </c>
      <c r="AE163" s="234">
        <f t="shared" si="22"/>
        <v>88</v>
      </c>
      <c r="AF163" s="234">
        <f t="shared" si="23"/>
        <v>-121</v>
      </c>
      <c r="AG163" s="235">
        <f t="shared" si="24"/>
        <v>-1.375</v>
      </c>
      <c r="AH163" s="236">
        <f t="shared" si="25"/>
        <v>-1.375E-2</v>
      </c>
      <c r="AI163" s="235">
        <f t="shared" ca="1" si="26"/>
        <v>1.375E-2</v>
      </c>
      <c r="AJ163" s="237"/>
    </row>
    <row r="164" spans="1:36" s="23" customFormat="1" ht="35.4" customHeight="1" x14ac:dyDescent="0.25">
      <c r="A164" s="142" t="s">
        <v>45</v>
      </c>
      <c r="B164" s="143" t="s">
        <v>114</v>
      </c>
      <c r="C164" s="142" t="s">
        <v>90</v>
      </c>
      <c r="D164" s="142" t="s">
        <v>97</v>
      </c>
      <c r="E164" s="142" t="s">
        <v>165</v>
      </c>
      <c r="F164" s="145" t="s">
        <v>239</v>
      </c>
      <c r="G164" s="44" t="str">
        <f t="shared" si="28"/>
        <v>Asesor de Control Interno</v>
      </c>
      <c r="H164" s="137">
        <v>44410</v>
      </c>
      <c r="I164" s="137">
        <v>44413</v>
      </c>
      <c r="J164" s="61"/>
      <c r="K164" s="61"/>
      <c r="L164" s="61"/>
      <c r="M164" s="61"/>
      <c r="N164" s="61"/>
      <c r="O164" s="61"/>
      <c r="P164" s="61"/>
      <c r="Q164" s="61"/>
      <c r="R164" s="61"/>
      <c r="S164" s="61"/>
      <c r="T164" s="61"/>
      <c r="U164" s="61"/>
      <c r="V164" s="142" t="s">
        <v>202</v>
      </c>
      <c r="W164" s="206">
        <v>3.0000000000000001E-3</v>
      </c>
      <c r="X164" s="137"/>
      <c r="Y164" s="72"/>
      <c r="Z164" s="72"/>
      <c r="AA164" s="41"/>
      <c r="AB164" s="70">
        <f t="shared" ca="1" si="27"/>
        <v>0</v>
      </c>
      <c r="AC164" s="70">
        <f t="shared" ca="1" si="29"/>
        <v>3.0000000000000001E-3</v>
      </c>
      <c r="AD164" s="233">
        <f t="shared" si="21"/>
        <v>8</v>
      </c>
      <c r="AE164" s="234">
        <f t="shared" si="22"/>
        <v>3</v>
      </c>
      <c r="AF164" s="234">
        <f t="shared" si="23"/>
        <v>-124</v>
      </c>
      <c r="AG164" s="235">
        <f t="shared" si="24"/>
        <v>-41.333333333333336</v>
      </c>
      <c r="AH164" s="236">
        <f t="shared" si="25"/>
        <v>-0.12400000000000001</v>
      </c>
      <c r="AI164" s="235">
        <f t="shared" ca="1" si="26"/>
        <v>0.12400000000000001</v>
      </c>
      <c r="AJ164" s="237"/>
    </row>
    <row r="165" spans="1:36" s="23" customFormat="1" ht="35.4" customHeight="1" x14ac:dyDescent="0.25">
      <c r="A165" s="154" t="s">
        <v>46</v>
      </c>
      <c r="B165" s="143" t="s">
        <v>93</v>
      </c>
      <c r="C165" s="142" t="s">
        <v>141</v>
      </c>
      <c r="D165" s="142" t="s">
        <v>96</v>
      </c>
      <c r="E165" s="142" t="s">
        <v>165</v>
      </c>
      <c r="F165" s="144" t="s">
        <v>240</v>
      </c>
      <c r="G165" s="44" t="str">
        <f t="shared" si="28"/>
        <v>Director de Gestión Corporativa y CID</v>
      </c>
      <c r="H165" s="137">
        <v>44410</v>
      </c>
      <c r="I165" s="137">
        <v>44418</v>
      </c>
      <c r="J165" s="61"/>
      <c r="K165" s="61"/>
      <c r="L165" s="61"/>
      <c r="M165" s="61"/>
      <c r="N165" s="61"/>
      <c r="O165" s="61"/>
      <c r="P165" s="61"/>
      <c r="Q165" s="61"/>
      <c r="R165" s="61"/>
      <c r="S165" s="61"/>
      <c r="T165" s="61"/>
      <c r="U165" s="61"/>
      <c r="V165" s="142" t="s">
        <v>332</v>
      </c>
      <c r="W165" s="206">
        <v>1E-3</v>
      </c>
      <c r="X165" s="137"/>
      <c r="Y165" s="143"/>
      <c r="Z165" s="72"/>
      <c r="AA165" s="41"/>
      <c r="AB165" s="70">
        <f t="shared" ca="1" si="27"/>
        <v>0</v>
      </c>
      <c r="AC165" s="70">
        <f t="shared" ca="1" si="29"/>
        <v>1E-3</v>
      </c>
      <c r="AD165" s="233">
        <f t="shared" si="21"/>
        <v>8</v>
      </c>
      <c r="AE165" s="234">
        <f t="shared" si="22"/>
        <v>8</v>
      </c>
      <c r="AF165" s="234">
        <f t="shared" si="23"/>
        <v>-124</v>
      </c>
      <c r="AG165" s="235">
        <f t="shared" si="24"/>
        <v>-15.5</v>
      </c>
      <c r="AH165" s="236">
        <f t="shared" si="25"/>
        <v>-1.55E-2</v>
      </c>
      <c r="AI165" s="235">
        <f t="shared" ca="1" si="26"/>
        <v>1.55E-2</v>
      </c>
      <c r="AJ165" s="237"/>
    </row>
    <row r="166" spans="1:36" s="23" customFormat="1" ht="35.4" customHeight="1" x14ac:dyDescent="0.25">
      <c r="A166" s="154" t="s">
        <v>44</v>
      </c>
      <c r="B166" s="143" t="s">
        <v>92</v>
      </c>
      <c r="C166" s="142" t="s">
        <v>89</v>
      </c>
      <c r="D166" s="142" t="s">
        <v>96</v>
      </c>
      <c r="E166" s="142" t="s">
        <v>165</v>
      </c>
      <c r="F166" s="144" t="s">
        <v>203</v>
      </c>
      <c r="G166" s="44" t="str">
        <f t="shared" si="28"/>
        <v>Subdirector Financiero</v>
      </c>
      <c r="H166" s="137">
        <v>44410</v>
      </c>
      <c r="I166" s="137">
        <v>44418</v>
      </c>
      <c r="J166" s="61"/>
      <c r="K166" s="61"/>
      <c r="L166" s="61"/>
      <c r="M166" s="61"/>
      <c r="N166" s="61"/>
      <c r="O166" s="61"/>
      <c r="P166" s="61"/>
      <c r="Q166" s="61"/>
      <c r="R166" s="61"/>
      <c r="S166" s="61"/>
      <c r="T166" s="61"/>
      <c r="U166" s="61"/>
      <c r="V166" s="142" t="s">
        <v>123</v>
      </c>
      <c r="W166" s="206">
        <v>1E-3</v>
      </c>
      <c r="X166" s="137"/>
      <c r="Y166" s="143"/>
      <c r="Z166" s="72"/>
      <c r="AA166" s="41"/>
      <c r="AB166" s="70">
        <f t="shared" ca="1" si="27"/>
        <v>0</v>
      </c>
      <c r="AC166" s="70">
        <f t="shared" ca="1" si="29"/>
        <v>1E-3</v>
      </c>
      <c r="AD166" s="233">
        <f t="shared" si="21"/>
        <v>8</v>
      </c>
      <c r="AE166" s="234">
        <f t="shared" si="22"/>
        <v>8</v>
      </c>
      <c r="AF166" s="234">
        <f t="shared" si="23"/>
        <v>-124</v>
      </c>
      <c r="AG166" s="235">
        <f t="shared" si="24"/>
        <v>-15.5</v>
      </c>
      <c r="AH166" s="236">
        <f t="shared" si="25"/>
        <v>-1.55E-2</v>
      </c>
      <c r="AI166" s="235">
        <f t="shared" ca="1" si="26"/>
        <v>1.55E-2</v>
      </c>
      <c r="AJ166" s="237"/>
    </row>
    <row r="167" spans="1:36" s="23" customFormat="1" ht="35.4" customHeight="1" x14ac:dyDescent="0.25">
      <c r="A167" s="142" t="s">
        <v>50</v>
      </c>
      <c r="B167" s="143" t="s">
        <v>343</v>
      </c>
      <c r="C167" s="142" t="s">
        <v>140</v>
      </c>
      <c r="D167" s="142" t="s">
        <v>100</v>
      </c>
      <c r="E167" s="142" t="s">
        <v>165</v>
      </c>
      <c r="F167" s="145" t="s">
        <v>159</v>
      </c>
      <c r="G167" s="44" t="str">
        <f t="shared" si="28"/>
        <v>Director de Gestión Corporativa y CID</v>
      </c>
      <c r="H167" s="137">
        <v>44410</v>
      </c>
      <c r="I167" s="137">
        <v>44438</v>
      </c>
      <c r="J167" s="61"/>
      <c r="K167" s="61"/>
      <c r="L167" s="61"/>
      <c r="M167" s="61"/>
      <c r="N167" s="61"/>
      <c r="O167" s="61"/>
      <c r="P167" s="61"/>
      <c r="Q167" s="61"/>
      <c r="R167" s="61"/>
      <c r="S167" s="61"/>
      <c r="T167" s="61"/>
      <c r="U167" s="61"/>
      <c r="V167" s="142" t="s">
        <v>123</v>
      </c>
      <c r="W167" s="206">
        <v>2.5000000000000001E-3</v>
      </c>
      <c r="X167" s="137"/>
      <c r="Y167" s="80"/>
      <c r="Z167" s="72"/>
      <c r="AA167" s="41"/>
      <c r="AB167" s="70">
        <f t="shared" ca="1" si="27"/>
        <v>0</v>
      </c>
      <c r="AC167" s="70">
        <f t="shared" ca="1" si="29"/>
        <v>2.5000000000000001E-3</v>
      </c>
      <c r="AD167" s="233">
        <f t="shared" si="21"/>
        <v>8</v>
      </c>
      <c r="AE167" s="234">
        <f t="shared" si="22"/>
        <v>28</v>
      </c>
      <c r="AF167" s="234">
        <f t="shared" si="23"/>
        <v>-124</v>
      </c>
      <c r="AG167" s="235">
        <f t="shared" si="24"/>
        <v>-4.4285714285714288</v>
      </c>
      <c r="AH167" s="236">
        <f t="shared" si="25"/>
        <v>-1.1071428571428572E-2</v>
      </c>
      <c r="AI167" s="235">
        <f t="shared" ca="1" si="26"/>
        <v>1.1071428571428572E-2</v>
      </c>
      <c r="AJ167" s="237"/>
    </row>
    <row r="168" spans="1:36" s="23" customFormat="1" ht="35.4" customHeight="1" x14ac:dyDescent="0.25">
      <c r="A168" s="142" t="s">
        <v>50</v>
      </c>
      <c r="B168" s="143" t="s">
        <v>435</v>
      </c>
      <c r="C168" s="142" t="s">
        <v>83</v>
      </c>
      <c r="D168" s="142" t="s">
        <v>100</v>
      </c>
      <c r="E168" s="142" t="s">
        <v>165</v>
      </c>
      <c r="F168" s="145" t="s">
        <v>240</v>
      </c>
      <c r="G168" s="44" t="str">
        <f t="shared" si="28"/>
        <v>Director de Mejoramiento de Vivienda</v>
      </c>
      <c r="H168" s="137">
        <v>44410</v>
      </c>
      <c r="I168" s="137">
        <v>44469</v>
      </c>
      <c r="J168" s="61"/>
      <c r="K168" s="61"/>
      <c r="L168" s="61"/>
      <c r="M168" s="61"/>
      <c r="N168" s="61"/>
      <c r="O168" s="61"/>
      <c r="P168" s="61"/>
      <c r="Q168" s="61"/>
      <c r="R168" s="61"/>
      <c r="S168" s="61"/>
      <c r="T168" s="61"/>
      <c r="U168" s="61"/>
      <c r="V168" s="142" t="s">
        <v>123</v>
      </c>
      <c r="W168" s="206">
        <v>2.5000000000000001E-3</v>
      </c>
      <c r="X168" s="137"/>
      <c r="Y168" s="80"/>
      <c r="Z168" s="72"/>
      <c r="AA168" s="41"/>
      <c r="AB168" s="70">
        <f t="shared" ca="1" si="27"/>
        <v>0</v>
      </c>
      <c r="AC168" s="70">
        <f t="shared" ca="1" si="29"/>
        <v>2.5000000000000001E-3</v>
      </c>
      <c r="AD168" s="233">
        <f t="shared" si="21"/>
        <v>9</v>
      </c>
      <c r="AE168" s="234">
        <f t="shared" si="22"/>
        <v>59</v>
      </c>
      <c r="AF168" s="234">
        <f t="shared" si="23"/>
        <v>-124</v>
      </c>
      <c r="AG168" s="235">
        <f t="shared" si="24"/>
        <v>-2.1016949152542375</v>
      </c>
      <c r="AH168" s="236">
        <f t="shared" si="25"/>
        <v>-5.2542372881355937E-3</v>
      </c>
      <c r="AI168" s="235">
        <f t="shared" ca="1" si="26"/>
        <v>5.2542372881355937E-3</v>
      </c>
      <c r="AJ168" s="237"/>
    </row>
    <row r="169" spans="1:36" s="23" customFormat="1" ht="35.4" customHeight="1" x14ac:dyDescent="0.25">
      <c r="A169" s="142" t="s">
        <v>50</v>
      </c>
      <c r="B169" s="143" t="s">
        <v>345</v>
      </c>
      <c r="C169" s="142" t="s">
        <v>80</v>
      </c>
      <c r="D169" s="142" t="s">
        <v>100</v>
      </c>
      <c r="E169" s="142" t="s">
        <v>165</v>
      </c>
      <c r="F169" s="145" t="s">
        <v>159</v>
      </c>
      <c r="G169" s="44" t="str">
        <f t="shared" si="28"/>
        <v>Director de Reasentamientos Humanos</v>
      </c>
      <c r="H169" s="137">
        <v>44410</v>
      </c>
      <c r="I169" s="137">
        <v>44497</v>
      </c>
      <c r="J169" s="61"/>
      <c r="K169" s="61"/>
      <c r="L169" s="61"/>
      <c r="M169" s="61"/>
      <c r="N169" s="61"/>
      <c r="O169" s="61"/>
      <c r="P169" s="61"/>
      <c r="Q169" s="61"/>
      <c r="R169" s="61"/>
      <c r="S169" s="61"/>
      <c r="T169" s="61"/>
      <c r="U169" s="61"/>
      <c r="V169" s="142" t="s">
        <v>123</v>
      </c>
      <c r="W169" s="206">
        <v>5.0000000000000001E-3</v>
      </c>
      <c r="X169" s="137"/>
      <c r="Y169" s="80"/>
      <c r="Z169" s="72"/>
      <c r="AA169" s="41"/>
      <c r="AB169" s="70">
        <f t="shared" ref="AB169:AB200" ca="1" si="30">IF(ISERROR(VLOOKUP(AA169,INDIRECT(VLOOKUP(A169,ACTA,2,0)&amp;"A"),2,0))=TRUE,0,W169*(VLOOKUP(AA169,INDIRECT(VLOOKUP(A169,ACTA,2,0)&amp;"A"),2,0)))</f>
        <v>0</v>
      </c>
      <c r="AC169" s="70">
        <f t="shared" ca="1" si="29"/>
        <v>5.0000000000000001E-3</v>
      </c>
      <c r="AD169" s="233">
        <f t="shared" si="21"/>
        <v>10</v>
      </c>
      <c r="AE169" s="234">
        <f t="shared" si="22"/>
        <v>87</v>
      </c>
      <c r="AF169" s="234">
        <f t="shared" si="23"/>
        <v>-124</v>
      </c>
      <c r="AG169" s="235">
        <f t="shared" si="24"/>
        <v>-1.4252873563218391</v>
      </c>
      <c r="AH169" s="236">
        <f t="shared" si="25"/>
        <v>-7.1264367816091957E-3</v>
      </c>
      <c r="AI169" s="235">
        <f t="shared" ca="1" si="26"/>
        <v>7.1264367816091957E-3</v>
      </c>
      <c r="AJ169" s="237"/>
    </row>
    <row r="170" spans="1:36" s="23" customFormat="1" ht="35.4" customHeight="1" x14ac:dyDescent="0.25">
      <c r="A170" s="142" t="s">
        <v>43</v>
      </c>
      <c r="B170" s="143" t="s">
        <v>305</v>
      </c>
      <c r="C170" s="142" t="s">
        <v>90</v>
      </c>
      <c r="D170" s="142" t="s">
        <v>97</v>
      </c>
      <c r="E170" s="142" t="s">
        <v>165</v>
      </c>
      <c r="F170" s="145" t="s">
        <v>239</v>
      </c>
      <c r="G170" s="44" t="str">
        <f t="shared" si="28"/>
        <v>Asesor de Control Interno</v>
      </c>
      <c r="H170" s="137">
        <v>44425</v>
      </c>
      <c r="I170" s="137">
        <v>44439</v>
      </c>
      <c r="J170" s="61"/>
      <c r="K170" s="61"/>
      <c r="L170" s="61"/>
      <c r="M170" s="61"/>
      <c r="N170" s="61"/>
      <c r="O170" s="61"/>
      <c r="P170" s="61"/>
      <c r="Q170" s="61"/>
      <c r="R170" s="61"/>
      <c r="S170" s="61"/>
      <c r="T170" s="61"/>
      <c r="U170" s="61"/>
      <c r="V170" s="41" t="s">
        <v>334</v>
      </c>
      <c r="W170" s="208">
        <v>4.0000000000000001E-3</v>
      </c>
      <c r="X170" s="137"/>
      <c r="Y170" s="72"/>
      <c r="Z170" s="72"/>
      <c r="AA170" s="41"/>
      <c r="AB170" s="70">
        <f t="shared" ca="1" si="30"/>
        <v>0</v>
      </c>
      <c r="AC170" s="70">
        <f t="shared" ca="1" si="29"/>
        <v>4.0000000000000001E-3</v>
      </c>
      <c r="AD170" s="233">
        <f t="shared" si="21"/>
        <v>8</v>
      </c>
      <c r="AE170" s="234">
        <f t="shared" si="22"/>
        <v>14</v>
      </c>
      <c r="AF170" s="234">
        <f t="shared" si="23"/>
        <v>-139</v>
      </c>
      <c r="AG170" s="235">
        <f t="shared" si="24"/>
        <v>-9.9285714285714288</v>
      </c>
      <c r="AH170" s="236">
        <f t="shared" si="25"/>
        <v>-3.9714285714285716E-2</v>
      </c>
      <c r="AI170" s="235">
        <f t="shared" ca="1" si="26"/>
        <v>3.9714285714285716E-2</v>
      </c>
      <c r="AJ170" s="238"/>
    </row>
    <row r="171" spans="1:36" s="23" customFormat="1" ht="35.4" customHeight="1" x14ac:dyDescent="0.25">
      <c r="A171" s="142" t="s">
        <v>51</v>
      </c>
      <c r="B171" s="143" t="s">
        <v>326</v>
      </c>
      <c r="C171" s="142" t="s">
        <v>127</v>
      </c>
      <c r="D171" s="142" t="s">
        <v>95</v>
      </c>
      <c r="E171" s="142" t="s">
        <v>165</v>
      </c>
      <c r="F171" s="144" t="s">
        <v>160</v>
      </c>
      <c r="G171" s="44" t="str">
        <f t="shared" si="28"/>
        <v xml:space="preserve">Director Jurídico </v>
      </c>
      <c r="H171" s="137">
        <v>44425</v>
      </c>
      <c r="I171" s="137">
        <v>44468</v>
      </c>
      <c r="J171" s="61"/>
      <c r="K171" s="61"/>
      <c r="L171" s="61"/>
      <c r="M171" s="61"/>
      <c r="N171" s="61"/>
      <c r="O171" s="61"/>
      <c r="P171" s="61"/>
      <c r="Q171" s="61"/>
      <c r="R171" s="61"/>
      <c r="S171" s="61"/>
      <c r="T171" s="61"/>
      <c r="U171" s="61"/>
      <c r="V171" s="41" t="s">
        <v>123</v>
      </c>
      <c r="W171" s="206">
        <v>5.0000000000000001E-3</v>
      </c>
      <c r="X171" s="137"/>
      <c r="Y171" s="143"/>
      <c r="Z171" s="72"/>
      <c r="AA171" s="41"/>
      <c r="AB171" s="70">
        <f t="shared" ca="1" si="30"/>
        <v>0</v>
      </c>
      <c r="AC171" s="70">
        <f t="shared" ca="1" si="29"/>
        <v>5.0000000000000001E-3</v>
      </c>
      <c r="AD171" s="233">
        <f t="shared" si="21"/>
        <v>9</v>
      </c>
      <c r="AE171" s="234">
        <f t="shared" si="22"/>
        <v>43</v>
      </c>
      <c r="AF171" s="234">
        <f t="shared" si="23"/>
        <v>-139</v>
      </c>
      <c r="AG171" s="235">
        <f t="shared" si="24"/>
        <v>-3.2325581395348837</v>
      </c>
      <c r="AH171" s="236">
        <f t="shared" si="25"/>
        <v>-1.6162790697674418E-2</v>
      </c>
      <c r="AI171" s="235">
        <f t="shared" ca="1" si="26"/>
        <v>1.6162790697674418E-2</v>
      </c>
      <c r="AJ171" s="237"/>
    </row>
    <row r="172" spans="1:36" s="64" customFormat="1" ht="35.4" customHeight="1" x14ac:dyDescent="0.25">
      <c r="A172" s="154" t="s">
        <v>51</v>
      </c>
      <c r="B172" s="143" t="s">
        <v>357</v>
      </c>
      <c r="C172" s="142" t="s">
        <v>98</v>
      </c>
      <c r="D172" s="142" t="s">
        <v>98</v>
      </c>
      <c r="E172" s="142" t="s">
        <v>165</v>
      </c>
      <c r="F172" s="144" t="s">
        <v>263</v>
      </c>
      <c r="G172" s="44" t="str">
        <f t="shared" si="28"/>
        <v>Líderes de Cada Proceso</v>
      </c>
      <c r="H172" s="137">
        <v>44433</v>
      </c>
      <c r="I172" s="137">
        <v>44453</v>
      </c>
      <c r="J172" s="61"/>
      <c r="K172" s="61"/>
      <c r="L172" s="61"/>
      <c r="M172" s="61"/>
      <c r="N172" s="61"/>
      <c r="O172" s="61"/>
      <c r="P172" s="61"/>
      <c r="Q172" s="61"/>
      <c r="R172" s="61"/>
      <c r="S172" s="61"/>
      <c r="T172" s="61"/>
      <c r="U172" s="61"/>
      <c r="V172" s="41" t="s">
        <v>123</v>
      </c>
      <c r="W172" s="206">
        <v>1.6E-2</v>
      </c>
      <c r="X172" s="137"/>
      <c r="Y172" s="72"/>
      <c r="Z172" s="72"/>
      <c r="AA172" s="41"/>
      <c r="AB172" s="70">
        <f t="shared" ca="1" si="30"/>
        <v>0</v>
      </c>
      <c r="AC172" s="70">
        <f t="shared" ca="1" si="29"/>
        <v>1.6E-2</v>
      </c>
      <c r="AD172" s="233">
        <f t="shared" si="21"/>
        <v>9</v>
      </c>
      <c r="AE172" s="234">
        <f t="shared" si="22"/>
        <v>20</v>
      </c>
      <c r="AF172" s="234">
        <f t="shared" si="23"/>
        <v>-147</v>
      </c>
      <c r="AG172" s="235">
        <f t="shared" si="24"/>
        <v>-7.35</v>
      </c>
      <c r="AH172" s="236">
        <f t="shared" si="25"/>
        <v>-0.1176</v>
      </c>
      <c r="AI172" s="235">
        <f t="shared" ca="1" si="26"/>
        <v>0.1176</v>
      </c>
      <c r="AJ172" s="237"/>
    </row>
    <row r="173" spans="1:36" s="23" customFormat="1" ht="35.4" customHeight="1" x14ac:dyDescent="0.25">
      <c r="A173" s="154" t="s">
        <v>51</v>
      </c>
      <c r="B173" s="143" t="s">
        <v>358</v>
      </c>
      <c r="C173" s="142" t="s">
        <v>98</v>
      </c>
      <c r="D173" s="142" t="s">
        <v>98</v>
      </c>
      <c r="E173" s="142" t="s">
        <v>165</v>
      </c>
      <c r="F173" s="144" t="s">
        <v>263</v>
      </c>
      <c r="G173" s="44" t="str">
        <f t="shared" si="28"/>
        <v>Líderes de Cada Proceso</v>
      </c>
      <c r="H173" s="137">
        <v>44433</v>
      </c>
      <c r="I173" s="137">
        <v>44453</v>
      </c>
      <c r="J173" s="61"/>
      <c r="K173" s="61"/>
      <c r="L173" s="61"/>
      <c r="M173" s="61"/>
      <c r="N173" s="61"/>
      <c r="O173" s="61"/>
      <c r="P173" s="61"/>
      <c r="Q173" s="61"/>
      <c r="R173" s="61"/>
      <c r="S173" s="61"/>
      <c r="T173" s="61"/>
      <c r="U173" s="61"/>
      <c r="V173" s="142" t="s">
        <v>123</v>
      </c>
      <c r="W173" s="206">
        <v>1.4999999999999999E-2</v>
      </c>
      <c r="X173" s="137"/>
      <c r="Y173" s="72"/>
      <c r="Z173" s="72"/>
      <c r="AA173" s="41"/>
      <c r="AB173" s="70">
        <f t="shared" ca="1" si="30"/>
        <v>0</v>
      </c>
      <c r="AC173" s="70">
        <f t="shared" ca="1" si="29"/>
        <v>1.4999999999999999E-2</v>
      </c>
      <c r="AD173" s="233">
        <f t="shared" si="21"/>
        <v>9</v>
      </c>
      <c r="AE173" s="234">
        <f t="shared" si="22"/>
        <v>20</v>
      </c>
      <c r="AF173" s="234">
        <f t="shared" si="23"/>
        <v>-147</v>
      </c>
      <c r="AG173" s="235">
        <f t="shared" si="24"/>
        <v>-7.35</v>
      </c>
      <c r="AH173" s="236">
        <f t="shared" si="25"/>
        <v>-0.11024999999999999</v>
      </c>
      <c r="AI173" s="235">
        <f t="shared" ca="1" si="26"/>
        <v>0.11024999999999999</v>
      </c>
      <c r="AJ173" s="237"/>
    </row>
    <row r="174" spans="1:36" s="23" customFormat="1" ht="35.4" customHeight="1" x14ac:dyDescent="0.25">
      <c r="A174" s="142" t="s">
        <v>45</v>
      </c>
      <c r="B174" s="143" t="s">
        <v>289</v>
      </c>
      <c r="C174" s="142" t="s">
        <v>90</v>
      </c>
      <c r="D174" s="142" t="s">
        <v>97</v>
      </c>
      <c r="E174" s="142" t="s">
        <v>165</v>
      </c>
      <c r="F174" s="145" t="s">
        <v>239</v>
      </c>
      <c r="G174" s="44" t="str">
        <f t="shared" si="28"/>
        <v>Asesor de Control Interno</v>
      </c>
      <c r="H174" s="137">
        <v>44435</v>
      </c>
      <c r="I174" s="137">
        <v>44441</v>
      </c>
      <c r="J174" s="61"/>
      <c r="K174" s="61"/>
      <c r="L174" s="61"/>
      <c r="M174" s="61"/>
      <c r="N174" s="61"/>
      <c r="O174" s="61"/>
      <c r="P174" s="61"/>
      <c r="Q174" s="61"/>
      <c r="R174" s="61"/>
      <c r="S174" s="61"/>
      <c r="T174" s="61"/>
      <c r="U174" s="61"/>
      <c r="V174" s="142" t="s">
        <v>215</v>
      </c>
      <c r="W174" s="206">
        <v>3.0000000000000001E-3</v>
      </c>
      <c r="X174" s="137"/>
      <c r="Y174" s="143"/>
      <c r="Z174" s="72"/>
      <c r="AA174" s="41"/>
      <c r="AB174" s="70">
        <f t="shared" ca="1" si="30"/>
        <v>0</v>
      </c>
      <c r="AC174" s="70">
        <f t="shared" ca="1" si="29"/>
        <v>3.0000000000000001E-3</v>
      </c>
      <c r="AD174" s="233">
        <f t="shared" si="21"/>
        <v>9</v>
      </c>
      <c r="AE174" s="234">
        <f t="shared" si="22"/>
        <v>6</v>
      </c>
      <c r="AF174" s="234">
        <f t="shared" si="23"/>
        <v>-149</v>
      </c>
      <c r="AG174" s="235">
        <f t="shared" si="24"/>
        <v>-24.833333333333332</v>
      </c>
      <c r="AH174" s="236">
        <f t="shared" si="25"/>
        <v>-7.4499999999999997E-2</v>
      </c>
      <c r="AI174" s="235">
        <f t="shared" ca="1" si="26"/>
        <v>7.4499999999999997E-2</v>
      </c>
      <c r="AJ174" s="237"/>
    </row>
    <row r="175" spans="1:36" s="23" customFormat="1" ht="35.4" customHeight="1" x14ac:dyDescent="0.25">
      <c r="A175" s="154" t="s">
        <v>46</v>
      </c>
      <c r="B175" s="143" t="s">
        <v>314</v>
      </c>
      <c r="C175" s="142" t="s">
        <v>82</v>
      </c>
      <c r="D175" s="142" t="s">
        <v>100</v>
      </c>
      <c r="E175" s="142" t="s">
        <v>165</v>
      </c>
      <c r="F175" s="145" t="s">
        <v>239</v>
      </c>
      <c r="G175" s="44" t="str">
        <f t="shared" si="28"/>
        <v>Director de Mejoramiento de Barrios</v>
      </c>
      <c r="H175" s="137">
        <v>44438</v>
      </c>
      <c r="I175" s="137">
        <v>44441</v>
      </c>
      <c r="J175" s="61"/>
      <c r="K175" s="61"/>
      <c r="L175" s="61"/>
      <c r="M175" s="61"/>
      <c r="N175" s="61"/>
      <c r="O175" s="61"/>
      <c r="P175" s="61"/>
      <c r="Q175" s="61"/>
      <c r="R175" s="61"/>
      <c r="S175" s="61"/>
      <c r="T175" s="61"/>
      <c r="U175" s="61"/>
      <c r="V175" s="140" t="s">
        <v>317</v>
      </c>
      <c r="W175" s="206">
        <v>1E-3</v>
      </c>
      <c r="X175" s="137"/>
      <c r="Y175" s="72"/>
      <c r="Z175" s="72"/>
      <c r="AA175" s="41"/>
      <c r="AB175" s="70">
        <f t="shared" ca="1" si="30"/>
        <v>0</v>
      </c>
      <c r="AC175" s="70">
        <f t="shared" ca="1" si="29"/>
        <v>1E-3</v>
      </c>
      <c r="AD175" s="233">
        <f t="shared" si="21"/>
        <v>9</v>
      </c>
      <c r="AE175" s="234">
        <f t="shared" si="22"/>
        <v>3</v>
      </c>
      <c r="AF175" s="234">
        <f t="shared" si="23"/>
        <v>-152</v>
      </c>
      <c r="AG175" s="235">
        <f t="shared" si="24"/>
        <v>-50.666666666666664</v>
      </c>
      <c r="AH175" s="236">
        <f t="shared" si="25"/>
        <v>-5.0666666666666665E-2</v>
      </c>
      <c r="AI175" s="235">
        <f t="shared" ca="1" si="26"/>
        <v>5.0666666666666665E-2</v>
      </c>
      <c r="AJ175" s="237"/>
    </row>
    <row r="176" spans="1:36" s="23" customFormat="1" ht="35.4" customHeight="1" x14ac:dyDescent="0.25">
      <c r="A176" s="142" t="s">
        <v>45</v>
      </c>
      <c r="B176" s="143" t="s">
        <v>114</v>
      </c>
      <c r="C176" s="142" t="s">
        <v>90</v>
      </c>
      <c r="D176" s="142" t="s">
        <v>97</v>
      </c>
      <c r="E176" s="142" t="s">
        <v>165</v>
      </c>
      <c r="F176" s="145" t="s">
        <v>239</v>
      </c>
      <c r="G176" s="44" t="str">
        <f t="shared" si="28"/>
        <v>Asesor de Control Interno</v>
      </c>
      <c r="H176" s="137">
        <v>44440</v>
      </c>
      <c r="I176" s="137">
        <v>44445</v>
      </c>
      <c r="J176" s="61"/>
      <c r="K176" s="61"/>
      <c r="L176" s="61"/>
      <c r="M176" s="61"/>
      <c r="N176" s="61"/>
      <c r="O176" s="61"/>
      <c r="P176" s="61"/>
      <c r="Q176" s="61"/>
      <c r="R176" s="61"/>
      <c r="S176" s="61"/>
      <c r="T176" s="61"/>
      <c r="U176" s="61"/>
      <c r="V176" s="142" t="s">
        <v>202</v>
      </c>
      <c r="W176" s="206">
        <v>3.0000000000000001E-3</v>
      </c>
      <c r="X176" s="137"/>
      <c r="Y176" s="72"/>
      <c r="Z176" s="72"/>
      <c r="AA176" s="41"/>
      <c r="AB176" s="70">
        <f t="shared" ca="1" si="30"/>
        <v>0</v>
      </c>
      <c r="AC176" s="70">
        <f t="shared" ca="1" si="29"/>
        <v>3.0000000000000001E-3</v>
      </c>
      <c r="AD176" s="233">
        <f t="shared" si="21"/>
        <v>9</v>
      </c>
      <c r="AE176" s="234">
        <f t="shared" si="22"/>
        <v>5</v>
      </c>
      <c r="AF176" s="234">
        <f t="shared" si="23"/>
        <v>-154</v>
      </c>
      <c r="AG176" s="235">
        <f t="shared" si="24"/>
        <v>-30.8</v>
      </c>
      <c r="AH176" s="236">
        <f t="shared" si="25"/>
        <v>-9.240000000000001E-2</v>
      </c>
      <c r="AI176" s="235">
        <f t="shared" ca="1" si="26"/>
        <v>9.240000000000001E-2</v>
      </c>
      <c r="AJ176" s="237"/>
    </row>
    <row r="177" spans="1:36" s="23" customFormat="1" ht="35.4" customHeight="1" x14ac:dyDescent="0.25">
      <c r="A177" s="154" t="s">
        <v>46</v>
      </c>
      <c r="B177" s="143" t="s">
        <v>93</v>
      </c>
      <c r="C177" s="142" t="s">
        <v>89</v>
      </c>
      <c r="D177" s="142" t="s">
        <v>96</v>
      </c>
      <c r="E177" s="142" t="s">
        <v>165</v>
      </c>
      <c r="F177" s="144" t="s">
        <v>240</v>
      </c>
      <c r="G177" s="44" t="str">
        <f t="shared" si="28"/>
        <v>Subdirector Financiero</v>
      </c>
      <c r="H177" s="137">
        <v>44440</v>
      </c>
      <c r="I177" s="137">
        <v>44448</v>
      </c>
      <c r="J177" s="61"/>
      <c r="K177" s="61"/>
      <c r="L177" s="61"/>
      <c r="M177" s="61"/>
      <c r="N177" s="61"/>
      <c r="O177" s="61"/>
      <c r="P177" s="61"/>
      <c r="Q177" s="61"/>
      <c r="R177" s="61"/>
      <c r="S177" s="61"/>
      <c r="T177" s="61"/>
      <c r="U177" s="61"/>
      <c r="V177" s="142" t="s">
        <v>332</v>
      </c>
      <c r="W177" s="206">
        <v>1E-3</v>
      </c>
      <c r="X177" s="137"/>
      <c r="Y177" s="72"/>
      <c r="Z177" s="72"/>
      <c r="AA177" s="41"/>
      <c r="AB177" s="70">
        <f t="shared" ca="1" si="30"/>
        <v>0</v>
      </c>
      <c r="AC177" s="70">
        <f t="shared" ca="1" si="29"/>
        <v>1E-3</v>
      </c>
      <c r="AD177" s="233">
        <f t="shared" si="21"/>
        <v>9</v>
      </c>
      <c r="AE177" s="234">
        <f t="shared" si="22"/>
        <v>8</v>
      </c>
      <c r="AF177" s="234">
        <f t="shared" si="23"/>
        <v>-154</v>
      </c>
      <c r="AG177" s="235">
        <f t="shared" si="24"/>
        <v>-19.25</v>
      </c>
      <c r="AH177" s="236">
        <f t="shared" si="25"/>
        <v>-1.925E-2</v>
      </c>
      <c r="AI177" s="235">
        <f t="shared" ca="1" si="26"/>
        <v>1.925E-2</v>
      </c>
      <c r="AJ177" s="237"/>
    </row>
    <row r="178" spans="1:36" s="23" customFormat="1" ht="35.4" customHeight="1" x14ac:dyDescent="0.25">
      <c r="A178" s="154" t="s">
        <v>44</v>
      </c>
      <c r="B178" s="143" t="s">
        <v>92</v>
      </c>
      <c r="C178" s="142" t="s">
        <v>89</v>
      </c>
      <c r="D178" s="142" t="s">
        <v>96</v>
      </c>
      <c r="E178" s="142" t="s">
        <v>165</v>
      </c>
      <c r="F178" s="144" t="s">
        <v>203</v>
      </c>
      <c r="G178" s="44" t="str">
        <f t="shared" si="28"/>
        <v>Subdirector Financiero</v>
      </c>
      <c r="H178" s="137">
        <v>44440</v>
      </c>
      <c r="I178" s="137">
        <v>44448</v>
      </c>
      <c r="J178" s="61"/>
      <c r="K178" s="61"/>
      <c r="L178" s="61"/>
      <c r="M178" s="61"/>
      <c r="N178" s="61"/>
      <c r="O178" s="61"/>
      <c r="P178" s="61"/>
      <c r="Q178" s="61"/>
      <c r="R178" s="61"/>
      <c r="S178" s="61"/>
      <c r="T178" s="61"/>
      <c r="U178" s="61"/>
      <c r="V178" s="142" t="s">
        <v>123</v>
      </c>
      <c r="W178" s="206">
        <v>1E-3</v>
      </c>
      <c r="X178" s="137"/>
      <c r="Y178" s="143"/>
      <c r="Z178" s="72"/>
      <c r="AA178" s="41"/>
      <c r="AB178" s="70">
        <f t="shared" ca="1" si="30"/>
        <v>0</v>
      </c>
      <c r="AC178" s="70">
        <f t="shared" ca="1" si="29"/>
        <v>1E-3</v>
      </c>
      <c r="AD178" s="233">
        <f t="shared" si="21"/>
        <v>9</v>
      </c>
      <c r="AE178" s="234">
        <f t="shared" si="22"/>
        <v>8</v>
      </c>
      <c r="AF178" s="234">
        <f t="shared" si="23"/>
        <v>-154</v>
      </c>
      <c r="AG178" s="235">
        <f t="shared" si="24"/>
        <v>-19.25</v>
      </c>
      <c r="AH178" s="236">
        <f t="shared" si="25"/>
        <v>-1.925E-2</v>
      </c>
      <c r="AI178" s="235">
        <f t="shared" ca="1" si="26"/>
        <v>1.925E-2</v>
      </c>
      <c r="AJ178" s="237"/>
    </row>
    <row r="179" spans="1:36" s="23" customFormat="1" ht="35.4" customHeight="1" x14ac:dyDescent="0.25">
      <c r="A179" s="142" t="s">
        <v>51</v>
      </c>
      <c r="B179" s="143" t="s">
        <v>278</v>
      </c>
      <c r="C179" s="142" t="s">
        <v>98</v>
      </c>
      <c r="D179" s="142" t="s">
        <v>98</v>
      </c>
      <c r="E179" s="142" t="s">
        <v>165</v>
      </c>
      <c r="F179" s="145" t="s">
        <v>239</v>
      </c>
      <c r="G179" s="44" t="str">
        <f t="shared" si="28"/>
        <v>Líderes de Cada Proceso</v>
      </c>
      <c r="H179" s="137">
        <v>44440</v>
      </c>
      <c r="I179" s="137">
        <v>44449</v>
      </c>
      <c r="J179" s="61"/>
      <c r="K179" s="61"/>
      <c r="L179" s="61"/>
      <c r="M179" s="61"/>
      <c r="N179" s="61"/>
      <c r="O179" s="61"/>
      <c r="P179" s="61"/>
      <c r="Q179" s="61"/>
      <c r="R179" s="61"/>
      <c r="S179" s="61"/>
      <c r="T179" s="61"/>
      <c r="U179" s="61"/>
      <c r="V179" s="41" t="s">
        <v>202</v>
      </c>
      <c r="W179" s="208">
        <v>5.0000000000000001E-3</v>
      </c>
      <c r="X179" s="137"/>
      <c r="Y179" s="72"/>
      <c r="Z179" s="72"/>
      <c r="AA179" s="41"/>
      <c r="AB179" s="70">
        <f t="shared" ca="1" si="30"/>
        <v>0</v>
      </c>
      <c r="AC179" s="70">
        <f t="shared" ca="1" si="29"/>
        <v>5.0000000000000001E-3</v>
      </c>
      <c r="AD179" s="233">
        <f t="shared" si="21"/>
        <v>9</v>
      </c>
      <c r="AE179" s="234">
        <f t="shared" si="22"/>
        <v>9</v>
      </c>
      <c r="AF179" s="234">
        <f t="shared" si="23"/>
        <v>-154</v>
      </c>
      <c r="AG179" s="235">
        <f t="shared" si="24"/>
        <v>-17.111111111111111</v>
      </c>
      <c r="AH179" s="236">
        <f t="shared" si="25"/>
        <v>-8.5555555555555551E-2</v>
      </c>
      <c r="AI179" s="235">
        <f t="shared" ca="1" si="26"/>
        <v>8.5555555555555551E-2</v>
      </c>
      <c r="AJ179" s="237"/>
    </row>
    <row r="180" spans="1:36" s="23" customFormat="1" ht="35.4" customHeight="1" x14ac:dyDescent="0.25">
      <c r="A180" s="142" t="s">
        <v>50</v>
      </c>
      <c r="B180" s="143" t="s">
        <v>344</v>
      </c>
      <c r="C180" s="142" t="s">
        <v>80</v>
      </c>
      <c r="D180" s="142" t="s">
        <v>100</v>
      </c>
      <c r="E180" s="142" t="s">
        <v>165</v>
      </c>
      <c r="F180" s="145" t="s">
        <v>240</v>
      </c>
      <c r="G180" s="44" t="str">
        <f t="shared" si="28"/>
        <v>Director de Reasentamientos Humanos</v>
      </c>
      <c r="H180" s="137">
        <v>44440</v>
      </c>
      <c r="I180" s="137">
        <v>44469</v>
      </c>
      <c r="J180" s="61"/>
      <c r="K180" s="61"/>
      <c r="L180" s="61"/>
      <c r="M180" s="61"/>
      <c r="N180" s="61"/>
      <c r="O180" s="61"/>
      <c r="P180" s="61"/>
      <c r="Q180" s="61"/>
      <c r="R180" s="61"/>
      <c r="S180" s="61"/>
      <c r="T180" s="61"/>
      <c r="U180" s="61"/>
      <c r="V180" s="142" t="s">
        <v>123</v>
      </c>
      <c r="W180" s="206">
        <v>5.0000000000000001E-3</v>
      </c>
      <c r="X180" s="137"/>
      <c r="Y180" s="80"/>
      <c r="Z180" s="72"/>
      <c r="AA180" s="41"/>
      <c r="AB180" s="70">
        <f t="shared" ca="1" si="30"/>
        <v>0</v>
      </c>
      <c r="AC180" s="70">
        <f t="shared" ca="1" si="29"/>
        <v>5.0000000000000001E-3</v>
      </c>
      <c r="AD180" s="233">
        <f t="shared" si="21"/>
        <v>9</v>
      </c>
      <c r="AE180" s="234">
        <f t="shared" si="22"/>
        <v>29</v>
      </c>
      <c r="AF180" s="234">
        <f t="shared" si="23"/>
        <v>-154</v>
      </c>
      <c r="AG180" s="235">
        <f t="shared" si="24"/>
        <v>-5.3103448275862073</v>
      </c>
      <c r="AH180" s="236">
        <f t="shared" si="25"/>
        <v>-2.6551724137931037E-2</v>
      </c>
      <c r="AI180" s="235">
        <f t="shared" ca="1" si="26"/>
        <v>2.6551724137931037E-2</v>
      </c>
      <c r="AJ180" s="237"/>
    </row>
    <row r="181" spans="1:36" s="23" customFormat="1" ht="35.4" customHeight="1" x14ac:dyDescent="0.25">
      <c r="A181" s="142" t="s">
        <v>52</v>
      </c>
      <c r="B181" s="143" t="s">
        <v>333</v>
      </c>
      <c r="C181" s="142" t="s">
        <v>90</v>
      </c>
      <c r="D181" s="142" t="s">
        <v>97</v>
      </c>
      <c r="E181" s="142" t="s">
        <v>165</v>
      </c>
      <c r="F181" s="145" t="s">
        <v>160</v>
      </c>
      <c r="G181" s="44" t="str">
        <f t="shared" si="28"/>
        <v>Asesor de Control Interno</v>
      </c>
      <c r="H181" s="137">
        <v>44454</v>
      </c>
      <c r="I181" s="137">
        <v>44484</v>
      </c>
      <c r="J181" s="61"/>
      <c r="K181" s="61"/>
      <c r="L181" s="61"/>
      <c r="M181" s="61"/>
      <c r="N181" s="61"/>
      <c r="O181" s="61"/>
      <c r="P181" s="61"/>
      <c r="Q181" s="61"/>
      <c r="R181" s="61"/>
      <c r="S181" s="61"/>
      <c r="T181" s="61"/>
      <c r="U181" s="61"/>
      <c r="V181" s="142" t="s">
        <v>202</v>
      </c>
      <c r="W181" s="206">
        <v>0.01</v>
      </c>
      <c r="X181" s="137"/>
      <c r="Y181" s="80"/>
      <c r="Z181" s="72"/>
      <c r="AA181" s="41"/>
      <c r="AB181" s="70">
        <f t="shared" ca="1" si="30"/>
        <v>0</v>
      </c>
      <c r="AC181" s="70">
        <f t="shared" ca="1" si="29"/>
        <v>0.01</v>
      </c>
      <c r="AD181" s="233">
        <f t="shared" si="21"/>
        <v>10</v>
      </c>
      <c r="AE181" s="234">
        <f t="shared" si="22"/>
        <v>30</v>
      </c>
      <c r="AF181" s="234">
        <f t="shared" si="23"/>
        <v>-168</v>
      </c>
      <c r="AG181" s="235">
        <f t="shared" si="24"/>
        <v>-5.6</v>
      </c>
      <c r="AH181" s="236">
        <f t="shared" si="25"/>
        <v>-5.5999999999999994E-2</v>
      </c>
      <c r="AI181" s="235">
        <f t="shared" ca="1" si="26"/>
        <v>5.5999999999999994E-2</v>
      </c>
      <c r="AJ181" s="237"/>
    </row>
    <row r="182" spans="1:36" s="23" customFormat="1" ht="35.4" customHeight="1" x14ac:dyDescent="0.25">
      <c r="A182" s="142" t="s">
        <v>50</v>
      </c>
      <c r="B182" s="146" t="s">
        <v>186</v>
      </c>
      <c r="C182" s="142" t="s">
        <v>73</v>
      </c>
      <c r="D182" s="142" t="s">
        <v>95</v>
      </c>
      <c r="E182" s="142" t="s">
        <v>165</v>
      </c>
      <c r="F182" s="144" t="s">
        <v>263</v>
      </c>
      <c r="G182" s="44" t="str">
        <f t="shared" si="28"/>
        <v xml:space="preserve">Jefe Oficina Asesora de Planeación </v>
      </c>
      <c r="H182" s="137">
        <v>44454</v>
      </c>
      <c r="I182" s="137">
        <v>44484</v>
      </c>
      <c r="J182" s="61"/>
      <c r="K182" s="61"/>
      <c r="L182" s="61"/>
      <c r="M182" s="61"/>
      <c r="N182" s="61"/>
      <c r="O182" s="61"/>
      <c r="P182" s="61"/>
      <c r="Q182" s="61"/>
      <c r="R182" s="61"/>
      <c r="S182" s="61"/>
      <c r="T182" s="61"/>
      <c r="U182" s="61"/>
      <c r="V182" s="142" t="s">
        <v>123</v>
      </c>
      <c r="W182" s="206">
        <v>5.0000000000000001E-3</v>
      </c>
      <c r="X182" s="137"/>
      <c r="Y182" s="143"/>
      <c r="Z182" s="72"/>
      <c r="AA182" s="41"/>
      <c r="AB182" s="70">
        <f t="shared" ca="1" si="30"/>
        <v>0</v>
      </c>
      <c r="AC182" s="70">
        <f t="shared" ca="1" si="29"/>
        <v>5.0000000000000001E-3</v>
      </c>
      <c r="AD182" s="233">
        <f t="shared" si="21"/>
        <v>10</v>
      </c>
      <c r="AE182" s="234">
        <f t="shared" si="22"/>
        <v>30</v>
      </c>
      <c r="AF182" s="234">
        <f t="shared" si="23"/>
        <v>-168</v>
      </c>
      <c r="AG182" s="235">
        <f t="shared" si="24"/>
        <v>-5.6</v>
      </c>
      <c r="AH182" s="236">
        <f t="shared" si="25"/>
        <v>-2.7999999999999997E-2</v>
      </c>
      <c r="AI182" s="235">
        <f t="shared" ca="1" si="26"/>
        <v>2.7999999999999997E-2</v>
      </c>
      <c r="AJ182" s="237"/>
    </row>
    <row r="183" spans="1:36" s="23" customFormat="1" ht="35.4" customHeight="1" x14ac:dyDescent="0.25">
      <c r="A183" s="142" t="s">
        <v>45</v>
      </c>
      <c r="B183" s="143" t="s">
        <v>289</v>
      </c>
      <c r="C183" s="142" t="s">
        <v>90</v>
      </c>
      <c r="D183" s="142" t="s">
        <v>97</v>
      </c>
      <c r="E183" s="142" t="s">
        <v>165</v>
      </c>
      <c r="F183" s="145" t="s">
        <v>239</v>
      </c>
      <c r="G183" s="44" t="str">
        <f t="shared" si="28"/>
        <v>Asesor de Control Interno</v>
      </c>
      <c r="H183" s="137">
        <v>44467</v>
      </c>
      <c r="I183" s="137">
        <v>44473</v>
      </c>
      <c r="J183" s="61"/>
      <c r="K183" s="61"/>
      <c r="L183" s="61"/>
      <c r="M183" s="61"/>
      <c r="N183" s="61"/>
      <c r="O183" s="61"/>
      <c r="P183" s="61"/>
      <c r="Q183" s="61"/>
      <c r="R183" s="61"/>
      <c r="S183" s="61"/>
      <c r="T183" s="61"/>
      <c r="U183" s="61"/>
      <c r="V183" s="142" t="s">
        <v>215</v>
      </c>
      <c r="W183" s="206">
        <v>3.0000000000000001E-3</v>
      </c>
      <c r="X183" s="137"/>
      <c r="Y183" s="143"/>
      <c r="Z183" s="72"/>
      <c r="AA183" s="41"/>
      <c r="AB183" s="70">
        <f t="shared" ca="1" si="30"/>
        <v>0</v>
      </c>
      <c r="AC183" s="70">
        <f t="shared" ca="1" si="29"/>
        <v>3.0000000000000001E-3</v>
      </c>
      <c r="AD183" s="233">
        <f t="shared" si="21"/>
        <v>10</v>
      </c>
      <c r="AE183" s="234">
        <f t="shared" si="22"/>
        <v>6</v>
      </c>
      <c r="AF183" s="234">
        <f t="shared" si="23"/>
        <v>-181</v>
      </c>
      <c r="AG183" s="235">
        <f t="shared" si="24"/>
        <v>-30.166666666666668</v>
      </c>
      <c r="AH183" s="236">
        <f t="shared" si="25"/>
        <v>-9.0500000000000011E-2</v>
      </c>
      <c r="AI183" s="235">
        <f t="shared" ca="1" si="26"/>
        <v>9.0500000000000011E-2</v>
      </c>
      <c r="AJ183" s="237"/>
    </row>
    <row r="184" spans="1:36" s="23" customFormat="1" ht="35.4" customHeight="1" x14ac:dyDescent="0.25">
      <c r="A184" s="154" t="s">
        <v>46</v>
      </c>
      <c r="B184" s="143" t="s">
        <v>314</v>
      </c>
      <c r="C184" s="142" t="s">
        <v>82</v>
      </c>
      <c r="D184" s="142" t="s">
        <v>100</v>
      </c>
      <c r="E184" s="142" t="s">
        <v>165</v>
      </c>
      <c r="F184" s="145" t="s">
        <v>239</v>
      </c>
      <c r="G184" s="44" t="str">
        <f t="shared" si="28"/>
        <v>Director de Mejoramiento de Barrios</v>
      </c>
      <c r="H184" s="137">
        <v>44468</v>
      </c>
      <c r="I184" s="137">
        <v>44473</v>
      </c>
      <c r="J184" s="61"/>
      <c r="K184" s="61"/>
      <c r="L184" s="61"/>
      <c r="M184" s="61"/>
      <c r="N184" s="61"/>
      <c r="O184" s="61"/>
      <c r="P184" s="61"/>
      <c r="Q184" s="61"/>
      <c r="R184" s="61"/>
      <c r="S184" s="61"/>
      <c r="T184" s="61"/>
      <c r="U184" s="61"/>
      <c r="V184" s="140" t="s">
        <v>317</v>
      </c>
      <c r="W184" s="206">
        <v>1E-3</v>
      </c>
      <c r="X184" s="137"/>
      <c r="Y184" s="72"/>
      <c r="Z184" s="72"/>
      <c r="AA184" s="142"/>
      <c r="AB184" s="70">
        <f t="shared" ca="1" si="30"/>
        <v>0</v>
      </c>
      <c r="AC184" s="70">
        <f t="shared" ca="1" si="29"/>
        <v>1E-3</v>
      </c>
      <c r="AD184" s="233">
        <f t="shared" si="21"/>
        <v>10</v>
      </c>
      <c r="AE184" s="234">
        <f t="shared" si="22"/>
        <v>5</v>
      </c>
      <c r="AF184" s="234">
        <f t="shared" si="23"/>
        <v>-182</v>
      </c>
      <c r="AG184" s="235">
        <f t="shared" si="24"/>
        <v>-36.4</v>
      </c>
      <c r="AH184" s="236">
        <f t="shared" si="25"/>
        <v>-3.6400000000000002E-2</v>
      </c>
      <c r="AI184" s="235">
        <f t="shared" ca="1" si="26"/>
        <v>3.6400000000000002E-2</v>
      </c>
      <c r="AJ184" s="237"/>
    </row>
    <row r="185" spans="1:36" s="23" customFormat="1" ht="35.4" customHeight="1" x14ac:dyDescent="0.25">
      <c r="A185" s="142" t="s">
        <v>45</v>
      </c>
      <c r="B185" s="143" t="s">
        <v>114</v>
      </c>
      <c r="C185" s="142" t="s">
        <v>90</v>
      </c>
      <c r="D185" s="142" t="s">
        <v>97</v>
      </c>
      <c r="E185" s="142" t="s">
        <v>165</v>
      </c>
      <c r="F185" s="145" t="s">
        <v>239</v>
      </c>
      <c r="G185" s="44" t="str">
        <f t="shared" si="28"/>
        <v>Asesor de Control Interno</v>
      </c>
      <c r="H185" s="137">
        <v>44470</v>
      </c>
      <c r="I185" s="137">
        <v>44475</v>
      </c>
      <c r="J185" s="61"/>
      <c r="K185" s="61"/>
      <c r="L185" s="61"/>
      <c r="M185" s="61"/>
      <c r="N185" s="61"/>
      <c r="O185" s="61"/>
      <c r="P185" s="61"/>
      <c r="Q185" s="61"/>
      <c r="R185" s="61"/>
      <c r="S185" s="61"/>
      <c r="T185" s="61"/>
      <c r="U185" s="61"/>
      <c r="V185" s="142" t="s">
        <v>202</v>
      </c>
      <c r="W185" s="206">
        <v>3.0000000000000001E-3</v>
      </c>
      <c r="X185" s="137"/>
      <c r="Y185" s="72"/>
      <c r="Z185" s="72"/>
      <c r="AA185" s="142"/>
      <c r="AB185" s="70">
        <f t="shared" ca="1" si="30"/>
        <v>0</v>
      </c>
      <c r="AC185" s="70">
        <f t="shared" ca="1" si="29"/>
        <v>3.0000000000000001E-3</v>
      </c>
      <c r="AD185" s="233">
        <f t="shared" si="21"/>
        <v>10</v>
      </c>
      <c r="AE185" s="234">
        <f t="shared" si="22"/>
        <v>5</v>
      </c>
      <c r="AF185" s="234">
        <f t="shared" si="23"/>
        <v>-184</v>
      </c>
      <c r="AG185" s="235">
        <f t="shared" si="24"/>
        <v>-36.799999999999997</v>
      </c>
      <c r="AH185" s="236">
        <f t="shared" si="25"/>
        <v>-0.1104</v>
      </c>
      <c r="AI185" s="235">
        <f t="shared" ca="1" si="26"/>
        <v>0.1104</v>
      </c>
      <c r="AJ185" s="237"/>
    </row>
    <row r="186" spans="1:36" s="23" customFormat="1" ht="35.4" customHeight="1" x14ac:dyDescent="0.25">
      <c r="A186" s="142" t="s">
        <v>45</v>
      </c>
      <c r="B186" s="143" t="s">
        <v>254</v>
      </c>
      <c r="C186" s="142" t="s">
        <v>90</v>
      </c>
      <c r="D186" s="142" t="s">
        <v>97</v>
      </c>
      <c r="E186" s="142" t="s">
        <v>165</v>
      </c>
      <c r="F186" s="144" t="s">
        <v>160</v>
      </c>
      <c r="G186" s="44" t="str">
        <f t="shared" si="28"/>
        <v>Asesor de Control Interno</v>
      </c>
      <c r="H186" s="137">
        <v>44470</v>
      </c>
      <c r="I186" s="137">
        <v>44476</v>
      </c>
      <c r="J186" s="61"/>
      <c r="K186" s="61"/>
      <c r="L186" s="61"/>
      <c r="M186" s="61"/>
      <c r="N186" s="61"/>
      <c r="O186" s="61"/>
      <c r="P186" s="61"/>
      <c r="Q186" s="61"/>
      <c r="R186" s="61"/>
      <c r="S186" s="61"/>
      <c r="T186" s="61"/>
      <c r="U186" s="61"/>
      <c r="V186" s="142" t="s">
        <v>215</v>
      </c>
      <c r="W186" s="206">
        <v>3.0000000000000001E-3</v>
      </c>
      <c r="X186" s="137"/>
      <c r="Y186" s="143"/>
      <c r="Z186" s="72"/>
      <c r="AA186" s="142"/>
      <c r="AB186" s="70">
        <f t="shared" ca="1" si="30"/>
        <v>0</v>
      </c>
      <c r="AC186" s="70">
        <f t="shared" ca="1" si="29"/>
        <v>3.0000000000000001E-3</v>
      </c>
      <c r="AD186" s="233">
        <f t="shared" si="21"/>
        <v>10</v>
      </c>
      <c r="AE186" s="234">
        <f t="shared" si="22"/>
        <v>6</v>
      </c>
      <c r="AF186" s="234">
        <f t="shared" si="23"/>
        <v>-184</v>
      </c>
      <c r="AG186" s="235">
        <f t="shared" si="24"/>
        <v>-30.666666666666668</v>
      </c>
      <c r="AH186" s="236">
        <f t="shared" si="25"/>
        <v>-9.2000000000000012E-2</v>
      </c>
      <c r="AI186" s="235">
        <f t="shared" ca="1" si="26"/>
        <v>9.2000000000000012E-2</v>
      </c>
      <c r="AJ186" s="237"/>
    </row>
    <row r="187" spans="1:36" s="23" customFormat="1" ht="35.4" customHeight="1" x14ac:dyDescent="0.25">
      <c r="A187" s="154" t="s">
        <v>46</v>
      </c>
      <c r="B187" s="143" t="s">
        <v>93</v>
      </c>
      <c r="C187" s="142" t="s">
        <v>141</v>
      </c>
      <c r="D187" s="142" t="s">
        <v>96</v>
      </c>
      <c r="E187" s="142" t="s">
        <v>165</v>
      </c>
      <c r="F187" s="144" t="s">
        <v>240</v>
      </c>
      <c r="G187" s="44" t="str">
        <f t="shared" si="28"/>
        <v>Director de Gestión Corporativa y CID</v>
      </c>
      <c r="H187" s="137">
        <v>44470</v>
      </c>
      <c r="I187" s="137">
        <v>44480</v>
      </c>
      <c r="J187" s="61"/>
      <c r="K187" s="61"/>
      <c r="L187" s="61"/>
      <c r="M187" s="61"/>
      <c r="N187" s="61"/>
      <c r="O187" s="61"/>
      <c r="P187" s="61"/>
      <c r="Q187" s="61"/>
      <c r="R187" s="61"/>
      <c r="S187" s="61"/>
      <c r="T187" s="61"/>
      <c r="U187" s="61"/>
      <c r="V187" s="142" t="s">
        <v>332</v>
      </c>
      <c r="W187" s="206">
        <v>1E-3</v>
      </c>
      <c r="X187" s="137"/>
      <c r="Y187" s="72"/>
      <c r="Z187" s="72"/>
      <c r="AA187" s="142"/>
      <c r="AB187" s="70">
        <f t="shared" ca="1" si="30"/>
        <v>0</v>
      </c>
      <c r="AC187" s="70">
        <f t="shared" ca="1" si="29"/>
        <v>1E-3</v>
      </c>
      <c r="AD187" s="233">
        <f t="shared" si="21"/>
        <v>10</v>
      </c>
      <c r="AE187" s="234">
        <f t="shared" si="22"/>
        <v>10</v>
      </c>
      <c r="AF187" s="234">
        <f t="shared" si="23"/>
        <v>-184</v>
      </c>
      <c r="AG187" s="235">
        <f t="shared" si="24"/>
        <v>-18.399999999999999</v>
      </c>
      <c r="AH187" s="236">
        <f t="shared" si="25"/>
        <v>-1.84E-2</v>
      </c>
      <c r="AI187" s="235">
        <f t="shared" ca="1" si="26"/>
        <v>1.84E-2</v>
      </c>
      <c r="AJ187" s="237"/>
    </row>
    <row r="188" spans="1:36" s="23" customFormat="1" ht="35.4" customHeight="1" x14ac:dyDescent="0.25">
      <c r="A188" s="154" t="s">
        <v>44</v>
      </c>
      <c r="B188" s="143" t="s">
        <v>92</v>
      </c>
      <c r="C188" s="142" t="s">
        <v>89</v>
      </c>
      <c r="D188" s="142" t="s">
        <v>96</v>
      </c>
      <c r="E188" s="142" t="s">
        <v>165</v>
      </c>
      <c r="F188" s="144" t="s">
        <v>203</v>
      </c>
      <c r="G188" s="44" t="str">
        <f t="shared" si="28"/>
        <v>Subdirector Financiero</v>
      </c>
      <c r="H188" s="137">
        <v>44470</v>
      </c>
      <c r="I188" s="137">
        <v>44480</v>
      </c>
      <c r="J188" s="61"/>
      <c r="K188" s="61"/>
      <c r="L188" s="61"/>
      <c r="M188" s="61"/>
      <c r="N188" s="61"/>
      <c r="O188" s="61"/>
      <c r="P188" s="61"/>
      <c r="Q188" s="61"/>
      <c r="R188" s="61"/>
      <c r="S188" s="61"/>
      <c r="T188" s="61"/>
      <c r="U188" s="61"/>
      <c r="V188" s="142" t="s">
        <v>123</v>
      </c>
      <c r="W188" s="206">
        <v>1E-3</v>
      </c>
      <c r="X188" s="137"/>
      <c r="Y188" s="143"/>
      <c r="Z188" s="72"/>
      <c r="AA188" s="142"/>
      <c r="AB188" s="70">
        <f t="shared" ca="1" si="30"/>
        <v>0</v>
      </c>
      <c r="AC188" s="70">
        <f t="shared" ca="1" si="29"/>
        <v>1E-3</v>
      </c>
      <c r="AD188" s="233">
        <f t="shared" si="21"/>
        <v>10</v>
      </c>
      <c r="AE188" s="234">
        <f t="shared" si="22"/>
        <v>10</v>
      </c>
      <c r="AF188" s="234">
        <f t="shared" si="23"/>
        <v>-184</v>
      </c>
      <c r="AG188" s="235">
        <f t="shared" si="24"/>
        <v>-18.399999999999999</v>
      </c>
      <c r="AH188" s="236">
        <f t="shared" si="25"/>
        <v>-1.84E-2</v>
      </c>
      <c r="AI188" s="235">
        <f t="shared" ca="1" si="26"/>
        <v>1.84E-2</v>
      </c>
      <c r="AJ188" s="237"/>
    </row>
    <row r="189" spans="1:36" s="23" customFormat="1" ht="35.4" customHeight="1" x14ac:dyDescent="0.25">
      <c r="A189" s="154" t="s">
        <v>44</v>
      </c>
      <c r="B189" s="143" t="s">
        <v>209</v>
      </c>
      <c r="C189" s="142" t="s">
        <v>87</v>
      </c>
      <c r="D189" s="142" t="s">
        <v>96</v>
      </c>
      <c r="E189" s="142" t="s">
        <v>165</v>
      </c>
      <c r="F189" s="144" t="s">
        <v>159</v>
      </c>
      <c r="G189" s="44" t="str">
        <f t="shared" si="28"/>
        <v>Subdirector Administrativo</v>
      </c>
      <c r="H189" s="137">
        <v>44470</v>
      </c>
      <c r="I189" s="137">
        <v>44497</v>
      </c>
      <c r="J189" s="61"/>
      <c r="K189" s="61"/>
      <c r="L189" s="61"/>
      <c r="M189" s="61"/>
      <c r="N189" s="61"/>
      <c r="O189" s="61"/>
      <c r="P189" s="61"/>
      <c r="Q189" s="61"/>
      <c r="R189" s="61"/>
      <c r="S189" s="61"/>
      <c r="T189" s="61"/>
      <c r="U189" s="61"/>
      <c r="V189" s="142" t="s">
        <v>123</v>
      </c>
      <c r="W189" s="206">
        <v>7.4999999999999997E-3</v>
      </c>
      <c r="X189" s="137"/>
      <c r="Y189" s="143"/>
      <c r="Z189" s="72"/>
      <c r="AA189" s="142"/>
      <c r="AB189" s="70">
        <f t="shared" ca="1" si="30"/>
        <v>0</v>
      </c>
      <c r="AC189" s="70">
        <f t="shared" ca="1" si="29"/>
        <v>7.4999999999999997E-3</v>
      </c>
      <c r="AD189" s="233">
        <f t="shared" si="21"/>
        <v>10</v>
      </c>
      <c r="AE189" s="234">
        <f t="shared" si="22"/>
        <v>27</v>
      </c>
      <c r="AF189" s="234">
        <f t="shared" si="23"/>
        <v>-184</v>
      </c>
      <c r="AG189" s="235">
        <f t="shared" si="24"/>
        <v>-6.8148148148148149</v>
      </c>
      <c r="AH189" s="236">
        <f t="shared" si="25"/>
        <v>-5.1111111111111107E-2</v>
      </c>
      <c r="AI189" s="235">
        <f t="shared" ca="1" si="26"/>
        <v>5.1111111111111107E-2</v>
      </c>
      <c r="AJ189" s="237"/>
    </row>
    <row r="190" spans="1:36" s="23" customFormat="1" ht="35.4" customHeight="1" x14ac:dyDescent="0.25">
      <c r="A190" s="154" t="s">
        <v>44</v>
      </c>
      <c r="B190" s="143" t="s">
        <v>282</v>
      </c>
      <c r="C190" s="142" t="s">
        <v>89</v>
      </c>
      <c r="D190" s="142" t="s">
        <v>96</v>
      </c>
      <c r="E190" s="142" t="s">
        <v>165</v>
      </c>
      <c r="F190" s="144" t="s">
        <v>159</v>
      </c>
      <c r="G190" s="44" t="str">
        <f t="shared" si="28"/>
        <v>Subdirector Financiero</v>
      </c>
      <c r="H190" s="137">
        <v>44470</v>
      </c>
      <c r="I190" s="137">
        <v>44497</v>
      </c>
      <c r="J190" s="61"/>
      <c r="K190" s="61"/>
      <c r="L190" s="61"/>
      <c r="M190" s="61"/>
      <c r="N190" s="61"/>
      <c r="O190" s="61"/>
      <c r="P190" s="61"/>
      <c r="Q190" s="61"/>
      <c r="R190" s="61"/>
      <c r="S190" s="61"/>
      <c r="T190" s="61"/>
      <c r="U190" s="61"/>
      <c r="V190" s="142" t="s">
        <v>123</v>
      </c>
      <c r="W190" s="206">
        <v>2E-3</v>
      </c>
      <c r="X190" s="137"/>
      <c r="Y190" s="72"/>
      <c r="Z190" s="72"/>
      <c r="AA190" s="142"/>
      <c r="AB190" s="70">
        <f t="shared" ca="1" si="30"/>
        <v>0</v>
      </c>
      <c r="AC190" s="70">
        <f t="shared" ca="1" si="29"/>
        <v>2E-3</v>
      </c>
      <c r="AD190" s="233">
        <f t="shared" si="21"/>
        <v>10</v>
      </c>
      <c r="AE190" s="234">
        <f t="shared" si="22"/>
        <v>27</v>
      </c>
      <c r="AF190" s="234">
        <f t="shared" si="23"/>
        <v>-184</v>
      </c>
      <c r="AG190" s="235">
        <f t="shared" si="24"/>
        <v>-6.8148148148148149</v>
      </c>
      <c r="AH190" s="236">
        <f t="shared" si="25"/>
        <v>-1.362962962962963E-2</v>
      </c>
      <c r="AI190" s="235">
        <f t="shared" ca="1" si="26"/>
        <v>1.362962962962963E-2</v>
      </c>
      <c r="AJ190" s="237"/>
    </row>
    <row r="191" spans="1:36" s="23" customFormat="1" ht="35.4" customHeight="1" x14ac:dyDescent="0.25">
      <c r="A191" s="142" t="s">
        <v>50</v>
      </c>
      <c r="B191" s="143" t="s">
        <v>465</v>
      </c>
      <c r="C191" s="142" t="s">
        <v>80</v>
      </c>
      <c r="D191" s="142" t="s">
        <v>100</v>
      </c>
      <c r="E191" s="142" t="s">
        <v>165</v>
      </c>
      <c r="F191" s="145" t="s">
        <v>240</v>
      </c>
      <c r="G191" s="44" t="str">
        <f t="shared" si="28"/>
        <v>Director de Reasentamientos Humanos</v>
      </c>
      <c r="H191" s="137">
        <v>44470</v>
      </c>
      <c r="I191" s="137">
        <v>44516</v>
      </c>
      <c r="J191" s="61"/>
      <c r="K191" s="61"/>
      <c r="L191" s="61"/>
      <c r="M191" s="61"/>
      <c r="N191" s="61"/>
      <c r="O191" s="61"/>
      <c r="P191" s="61"/>
      <c r="Q191" s="61"/>
      <c r="R191" s="61"/>
      <c r="S191" s="61"/>
      <c r="T191" s="61"/>
      <c r="U191" s="61"/>
      <c r="V191" s="142" t="s">
        <v>123</v>
      </c>
      <c r="W191" s="206">
        <v>1.25E-3</v>
      </c>
      <c r="X191" s="137"/>
      <c r="Y191" s="80"/>
      <c r="Z191" s="72"/>
      <c r="AA191" s="142"/>
      <c r="AB191" s="70">
        <f t="shared" ca="1" si="30"/>
        <v>0</v>
      </c>
      <c r="AC191" s="70">
        <f t="shared" ca="1" si="29"/>
        <v>1.25E-3</v>
      </c>
      <c r="AD191" s="233">
        <f t="shared" si="21"/>
        <v>11</v>
      </c>
      <c r="AE191" s="234">
        <f t="shared" si="22"/>
        <v>46</v>
      </c>
      <c r="AF191" s="234">
        <f t="shared" si="23"/>
        <v>-184</v>
      </c>
      <c r="AG191" s="235">
        <f t="shared" si="24"/>
        <v>-4</v>
      </c>
      <c r="AH191" s="236">
        <f t="shared" si="25"/>
        <v>-5.0000000000000001E-3</v>
      </c>
      <c r="AI191" s="235">
        <f t="shared" ca="1" si="26"/>
        <v>5.0000000000000001E-3</v>
      </c>
      <c r="AJ191" s="237"/>
    </row>
    <row r="192" spans="1:36" s="23" customFormat="1" ht="35.4" customHeight="1" x14ac:dyDescent="0.25">
      <c r="A192" s="142" t="s">
        <v>50</v>
      </c>
      <c r="B192" s="143" t="s">
        <v>465</v>
      </c>
      <c r="C192" s="142" t="s">
        <v>89</v>
      </c>
      <c r="D192" s="142" t="s">
        <v>96</v>
      </c>
      <c r="E192" s="142" t="s">
        <v>165</v>
      </c>
      <c r="F192" s="145" t="s">
        <v>240</v>
      </c>
      <c r="G192" s="44" t="str">
        <f t="shared" si="28"/>
        <v>Subdirector Financiero</v>
      </c>
      <c r="H192" s="137">
        <v>44470</v>
      </c>
      <c r="I192" s="137">
        <v>44516</v>
      </c>
      <c r="J192" s="61"/>
      <c r="K192" s="61"/>
      <c r="L192" s="61"/>
      <c r="M192" s="61"/>
      <c r="N192" s="61"/>
      <c r="O192" s="61"/>
      <c r="P192" s="61"/>
      <c r="Q192" s="61"/>
      <c r="R192" s="61"/>
      <c r="S192" s="61"/>
      <c r="T192" s="61"/>
      <c r="U192" s="61"/>
      <c r="V192" s="142" t="s">
        <v>123</v>
      </c>
      <c r="W192" s="206">
        <v>1.25E-3</v>
      </c>
      <c r="X192" s="137"/>
      <c r="Y192" s="80"/>
      <c r="Z192" s="72"/>
      <c r="AA192" s="142"/>
      <c r="AB192" s="70">
        <f t="shared" ca="1" si="30"/>
        <v>0</v>
      </c>
      <c r="AC192" s="70">
        <f t="shared" ca="1" si="29"/>
        <v>1.25E-3</v>
      </c>
      <c r="AD192" s="233">
        <f t="shared" si="21"/>
        <v>11</v>
      </c>
      <c r="AE192" s="234">
        <f t="shared" si="22"/>
        <v>46</v>
      </c>
      <c r="AF192" s="234">
        <f t="shared" si="23"/>
        <v>-184</v>
      </c>
      <c r="AG192" s="235">
        <f t="shared" si="24"/>
        <v>-4</v>
      </c>
      <c r="AH192" s="236">
        <f t="shared" si="25"/>
        <v>-5.0000000000000001E-3</v>
      </c>
      <c r="AI192" s="235">
        <f t="shared" ca="1" si="26"/>
        <v>5.0000000000000001E-3</v>
      </c>
      <c r="AJ192" s="237"/>
    </row>
    <row r="193" spans="1:36" s="23" customFormat="1" ht="35.4" customHeight="1" x14ac:dyDescent="0.25">
      <c r="A193" s="142" t="s">
        <v>50</v>
      </c>
      <c r="B193" s="143" t="s">
        <v>462</v>
      </c>
      <c r="C193" s="142" t="s">
        <v>80</v>
      </c>
      <c r="D193" s="142" t="s">
        <v>100</v>
      </c>
      <c r="E193" s="142" t="s">
        <v>165</v>
      </c>
      <c r="F193" s="145" t="s">
        <v>240</v>
      </c>
      <c r="G193" s="44" t="str">
        <f t="shared" si="28"/>
        <v>Director de Reasentamientos Humanos</v>
      </c>
      <c r="H193" s="137">
        <v>44470</v>
      </c>
      <c r="I193" s="137">
        <v>44516</v>
      </c>
      <c r="J193" s="61"/>
      <c r="K193" s="61"/>
      <c r="L193" s="61"/>
      <c r="M193" s="61"/>
      <c r="N193" s="61"/>
      <c r="O193" s="61"/>
      <c r="P193" s="61"/>
      <c r="Q193" s="61"/>
      <c r="R193" s="61"/>
      <c r="S193" s="61"/>
      <c r="T193" s="61"/>
      <c r="U193" s="61"/>
      <c r="V193" s="142" t="s">
        <v>123</v>
      </c>
      <c r="W193" s="206">
        <v>1.25E-3</v>
      </c>
      <c r="X193" s="137"/>
      <c r="Y193" s="80"/>
      <c r="Z193" s="72"/>
      <c r="AA193" s="142"/>
      <c r="AB193" s="70">
        <f t="shared" ca="1" si="30"/>
        <v>0</v>
      </c>
      <c r="AC193" s="70">
        <f t="shared" ca="1" si="29"/>
        <v>1.25E-3</v>
      </c>
      <c r="AD193" s="233">
        <f t="shared" si="21"/>
        <v>11</v>
      </c>
      <c r="AE193" s="234">
        <f t="shared" si="22"/>
        <v>46</v>
      </c>
      <c r="AF193" s="234">
        <f t="shared" si="23"/>
        <v>-184</v>
      </c>
      <c r="AG193" s="235">
        <f t="shared" si="24"/>
        <v>-4</v>
      </c>
      <c r="AH193" s="236">
        <f t="shared" si="25"/>
        <v>-5.0000000000000001E-3</v>
      </c>
      <c r="AI193" s="235">
        <f t="shared" ca="1" si="26"/>
        <v>5.0000000000000001E-3</v>
      </c>
      <c r="AJ193" s="237"/>
    </row>
    <row r="194" spans="1:36" s="23" customFormat="1" ht="35.4" customHeight="1" x14ac:dyDescent="0.25">
      <c r="A194" s="142" t="s">
        <v>50</v>
      </c>
      <c r="B194" s="143" t="s">
        <v>462</v>
      </c>
      <c r="C194" s="142" t="s">
        <v>89</v>
      </c>
      <c r="D194" s="142" t="s">
        <v>96</v>
      </c>
      <c r="E194" s="142" t="s">
        <v>165</v>
      </c>
      <c r="F194" s="145" t="s">
        <v>240</v>
      </c>
      <c r="G194" s="44" t="str">
        <f t="shared" si="28"/>
        <v>Subdirector Financiero</v>
      </c>
      <c r="H194" s="137">
        <v>44470</v>
      </c>
      <c r="I194" s="137">
        <v>44516</v>
      </c>
      <c r="J194" s="61"/>
      <c r="K194" s="61"/>
      <c r="L194" s="61"/>
      <c r="M194" s="61"/>
      <c r="N194" s="61"/>
      <c r="O194" s="61"/>
      <c r="P194" s="61"/>
      <c r="Q194" s="61"/>
      <c r="R194" s="61"/>
      <c r="S194" s="61"/>
      <c r="T194" s="61"/>
      <c r="U194" s="61"/>
      <c r="V194" s="142" t="s">
        <v>123</v>
      </c>
      <c r="W194" s="206">
        <v>1.25E-3</v>
      </c>
      <c r="X194" s="137"/>
      <c r="Y194" s="80"/>
      <c r="Z194" s="72"/>
      <c r="AA194" s="142"/>
      <c r="AB194" s="70">
        <f t="shared" ca="1" si="30"/>
        <v>0</v>
      </c>
      <c r="AC194" s="70">
        <f t="shared" ca="1" si="29"/>
        <v>1.25E-3</v>
      </c>
      <c r="AD194" s="233">
        <f t="shared" si="21"/>
        <v>11</v>
      </c>
      <c r="AE194" s="234">
        <f t="shared" si="22"/>
        <v>46</v>
      </c>
      <c r="AF194" s="234">
        <f t="shared" si="23"/>
        <v>-184</v>
      </c>
      <c r="AG194" s="235">
        <f t="shared" si="24"/>
        <v>-4</v>
      </c>
      <c r="AH194" s="236">
        <f t="shared" si="25"/>
        <v>-5.0000000000000001E-3</v>
      </c>
      <c r="AI194" s="235">
        <f t="shared" ca="1" si="26"/>
        <v>5.0000000000000001E-3</v>
      </c>
      <c r="AJ194" s="237"/>
    </row>
    <row r="195" spans="1:36" s="23" customFormat="1" ht="35.4" customHeight="1" x14ac:dyDescent="0.25">
      <c r="A195" s="142" t="s">
        <v>50</v>
      </c>
      <c r="B195" s="143" t="s">
        <v>464</v>
      </c>
      <c r="C195" s="142" t="s">
        <v>80</v>
      </c>
      <c r="D195" s="142" t="s">
        <v>100</v>
      </c>
      <c r="E195" s="142" t="s">
        <v>165</v>
      </c>
      <c r="F195" s="145" t="s">
        <v>240</v>
      </c>
      <c r="G195" s="44" t="str">
        <f t="shared" si="28"/>
        <v>Director de Reasentamientos Humanos</v>
      </c>
      <c r="H195" s="137">
        <v>44470</v>
      </c>
      <c r="I195" s="137">
        <v>44516</v>
      </c>
      <c r="J195" s="61"/>
      <c r="K195" s="61"/>
      <c r="L195" s="61"/>
      <c r="M195" s="61"/>
      <c r="N195" s="61"/>
      <c r="O195" s="61"/>
      <c r="P195" s="61"/>
      <c r="Q195" s="61"/>
      <c r="R195" s="61"/>
      <c r="S195" s="61"/>
      <c r="T195" s="61"/>
      <c r="U195" s="61"/>
      <c r="V195" s="142" t="s">
        <v>123</v>
      </c>
      <c r="W195" s="206">
        <v>1.25E-3</v>
      </c>
      <c r="X195" s="137"/>
      <c r="Y195" s="80"/>
      <c r="Z195" s="72"/>
      <c r="AA195" s="142"/>
      <c r="AB195" s="70">
        <f t="shared" ca="1" si="30"/>
        <v>0</v>
      </c>
      <c r="AC195" s="70">
        <f t="shared" ca="1" si="29"/>
        <v>1.25E-3</v>
      </c>
      <c r="AD195" s="233">
        <f t="shared" si="21"/>
        <v>11</v>
      </c>
      <c r="AE195" s="234">
        <f t="shared" si="22"/>
        <v>46</v>
      </c>
      <c r="AF195" s="234">
        <f t="shared" si="23"/>
        <v>-184</v>
      </c>
      <c r="AG195" s="235">
        <f t="shared" si="24"/>
        <v>-4</v>
      </c>
      <c r="AH195" s="236">
        <f t="shared" si="25"/>
        <v>-5.0000000000000001E-3</v>
      </c>
      <c r="AI195" s="235">
        <f t="shared" ca="1" si="26"/>
        <v>5.0000000000000001E-3</v>
      </c>
      <c r="AJ195" s="237"/>
    </row>
    <row r="196" spans="1:36" s="23" customFormat="1" ht="35.4" customHeight="1" x14ac:dyDescent="0.25">
      <c r="A196" s="142" t="s">
        <v>50</v>
      </c>
      <c r="B196" s="143" t="s">
        <v>464</v>
      </c>
      <c r="C196" s="142" t="s">
        <v>87</v>
      </c>
      <c r="D196" s="142" t="s">
        <v>96</v>
      </c>
      <c r="E196" s="142" t="s">
        <v>165</v>
      </c>
      <c r="F196" s="145" t="s">
        <v>240</v>
      </c>
      <c r="G196" s="44" t="str">
        <f t="shared" si="28"/>
        <v>Subdirector Administrativo</v>
      </c>
      <c r="H196" s="137">
        <v>44470</v>
      </c>
      <c r="I196" s="137">
        <v>44516</v>
      </c>
      <c r="J196" s="61"/>
      <c r="K196" s="61"/>
      <c r="L196" s="61"/>
      <c r="M196" s="61"/>
      <c r="N196" s="61"/>
      <c r="O196" s="61"/>
      <c r="P196" s="61"/>
      <c r="Q196" s="61"/>
      <c r="R196" s="61"/>
      <c r="S196" s="61"/>
      <c r="T196" s="61"/>
      <c r="U196" s="61"/>
      <c r="V196" s="142" t="s">
        <v>123</v>
      </c>
      <c r="W196" s="206">
        <v>1.25E-3</v>
      </c>
      <c r="X196" s="137"/>
      <c r="Y196" s="80"/>
      <c r="Z196" s="72"/>
      <c r="AA196" s="142"/>
      <c r="AB196" s="70">
        <f t="shared" ca="1" si="30"/>
        <v>0</v>
      </c>
      <c r="AC196" s="70">
        <f t="shared" ca="1" si="29"/>
        <v>1.25E-3</v>
      </c>
      <c r="AD196" s="233">
        <f t="shared" si="21"/>
        <v>11</v>
      </c>
      <c r="AE196" s="234">
        <f t="shared" si="22"/>
        <v>46</v>
      </c>
      <c r="AF196" s="234">
        <f t="shared" si="23"/>
        <v>-184</v>
      </c>
      <c r="AG196" s="235">
        <f t="shared" si="24"/>
        <v>-4</v>
      </c>
      <c r="AH196" s="236">
        <f t="shared" si="25"/>
        <v>-5.0000000000000001E-3</v>
      </c>
      <c r="AI196" s="235">
        <f t="shared" ca="1" si="26"/>
        <v>5.0000000000000001E-3</v>
      </c>
      <c r="AJ196" s="237"/>
    </row>
    <row r="197" spans="1:36" s="23" customFormat="1" ht="35.4" customHeight="1" x14ac:dyDescent="0.25">
      <c r="A197" s="142" t="s">
        <v>50</v>
      </c>
      <c r="B197" s="143" t="s">
        <v>463</v>
      </c>
      <c r="C197" s="142" t="s">
        <v>76</v>
      </c>
      <c r="D197" s="142" t="s">
        <v>96</v>
      </c>
      <c r="E197" s="142" t="s">
        <v>165</v>
      </c>
      <c r="F197" s="145" t="s">
        <v>240</v>
      </c>
      <c r="G197" s="44" t="str">
        <f t="shared" si="28"/>
        <v>Subdirector Administrativo</v>
      </c>
      <c r="H197" s="137">
        <v>44470</v>
      </c>
      <c r="I197" s="137">
        <v>44516</v>
      </c>
      <c r="J197" s="61"/>
      <c r="K197" s="61"/>
      <c r="L197" s="61"/>
      <c r="M197" s="61"/>
      <c r="N197" s="61"/>
      <c r="O197" s="61"/>
      <c r="P197" s="61"/>
      <c r="Q197" s="61"/>
      <c r="R197" s="61"/>
      <c r="S197" s="61"/>
      <c r="T197" s="61"/>
      <c r="U197" s="61"/>
      <c r="V197" s="142" t="s">
        <v>123</v>
      </c>
      <c r="W197" s="206">
        <v>1.25E-3</v>
      </c>
      <c r="X197" s="137"/>
      <c r="Y197" s="80"/>
      <c r="Z197" s="72"/>
      <c r="AA197" s="142"/>
      <c r="AB197" s="70">
        <f t="shared" ca="1" si="30"/>
        <v>0</v>
      </c>
      <c r="AC197" s="70">
        <f t="shared" ca="1" si="29"/>
        <v>1.25E-3</v>
      </c>
      <c r="AD197" s="233">
        <f t="shared" si="21"/>
        <v>11</v>
      </c>
      <c r="AE197" s="234">
        <f t="shared" si="22"/>
        <v>46</v>
      </c>
      <c r="AF197" s="234">
        <f t="shared" si="23"/>
        <v>-184</v>
      </c>
      <c r="AG197" s="235">
        <f t="shared" si="24"/>
        <v>-4</v>
      </c>
      <c r="AH197" s="236">
        <f t="shared" si="25"/>
        <v>-5.0000000000000001E-3</v>
      </c>
      <c r="AI197" s="235">
        <f t="shared" ca="1" si="26"/>
        <v>5.0000000000000001E-3</v>
      </c>
      <c r="AJ197" s="237"/>
    </row>
    <row r="198" spans="1:36" s="23" customFormat="1" ht="35.4" customHeight="1" x14ac:dyDescent="0.25">
      <c r="A198" s="142" t="s">
        <v>44</v>
      </c>
      <c r="B198" s="143" t="s">
        <v>324</v>
      </c>
      <c r="C198" s="142" t="s">
        <v>89</v>
      </c>
      <c r="D198" s="142" t="s">
        <v>96</v>
      </c>
      <c r="E198" s="142" t="s">
        <v>165</v>
      </c>
      <c r="F198" s="144" t="s">
        <v>263</v>
      </c>
      <c r="G198" s="44" t="str">
        <f t="shared" si="28"/>
        <v>Subdirector Financiero</v>
      </c>
      <c r="H198" s="137">
        <v>44470</v>
      </c>
      <c r="I198" s="137">
        <v>44526</v>
      </c>
      <c r="J198" s="61"/>
      <c r="K198" s="61"/>
      <c r="L198" s="61"/>
      <c r="M198" s="61"/>
      <c r="N198" s="61"/>
      <c r="O198" s="61"/>
      <c r="P198" s="61"/>
      <c r="Q198" s="61"/>
      <c r="R198" s="61"/>
      <c r="S198" s="61"/>
      <c r="T198" s="61"/>
      <c r="U198" s="61"/>
      <c r="V198" s="142" t="s">
        <v>202</v>
      </c>
      <c r="W198" s="206">
        <v>0.01</v>
      </c>
      <c r="X198" s="137"/>
      <c r="Y198" s="72"/>
      <c r="Z198" s="72"/>
      <c r="AA198" s="142"/>
      <c r="AB198" s="70">
        <f t="shared" ca="1" si="30"/>
        <v>0</v>
      </c>
      <c r="AC198" s="70">
        <f t="shared" ca="1" si="29"/>
        <v>0.01</v>
      </c>
      <c r="AD198" s="233">
        <f t="shared" si="21"/>
        <v>11</v>
      </c>
      <c r="AE198" s="234">
        <f t="shared" si="22"/>
        <v>56</v>
      </c>
      <c r="AF198" s="234">
        <f t="shared" si="23"/>
        <v>-184</v>
      </c>
      <c r="AG198" s="235">
        <f t="shared" si="24"/>
        <v>-3.2857142857142856</v>
      </c>
      <c r="AH198" s="236">
        <f t="shared" si="25"/>
        <v>-3.2857142857142856E-2</v>
      </c>
      <c r="AI198" s="235">
        <f t="shared" ca="1" si="26"/>
        <v>3.2857142857142856E-2</v>
      </c>
      <c r="AJ198" s="237"/>
    </row>
    <row r="199" spans="1:36" s="23" customFormat="1" ht="35.4" customHeight="1" x14ac:dyDescent="0.25">
      <c r="A199" s="154" t="s">
        <v>44</v>
      </c>
      <c r="B199" s="143" t="s">
        <v>94</v>
      </c>
      <c r="C199" s="142" t="s">
        <v>87</v>
      </c>
      <c r="D199" s="142" t="s">
        <v>96</v>
      </c>
      <c r="E199" s="142" t="s">
        <v>165</v>
      </c>
      <c r="F199" s="144" t="s">
        <v>159</v>
      </c>
      <c r="G199" s="44" t="str">
        <f t="shared" si="28"/>
        <v>Subdirector Administrativo</v>
      </c>
      <c r="H199" s="137">
        <v>44480</v>
      </c>
      <c r="I199" s="137">
        <v>44512</v>
      </c>
      <c r="J199" s="61"/>
      <c r="K199" s="61"/>
      <c r="L199" s="61"/>
      <c r="M199" s="61"/>
      <c r="N199" s="61"/>
      <c r="O199" s="61"/>
      <c r="P199" s="61"/>
      <c r="Q199" s="61"/>
      <c r="R199" s="61"/>
      <c r="S199" s="61"/>
      <c r="T199" s="61"/>
      <c r="U199" s="61"/>
      <c r="V199" s="142" t="s">
        <v>123</v>
      </c>
      <c r="W199" s="206">
        <v>0.01</v>
      </c>
      <c r="X199" s="137"/>
      <c r="Y199" s="72"/>
      <c r="Z199" s="72"/>
      <c r="AA199" s="142"/>
      <c r="AB199" s="70">
        <f t="shared" ca="1" si="30"/>
        <v>0</v>
      </c>
      <c r="AC199" s="70">
        <f t="shared" ca="1" si="29"/>
        <v>0.01</v>
      </c>
      <c r="AD199" s="233">
        <f t="shared" si="21"/>
        <v>11</v>
      </c>
      <c r="AE199" s="234">
        <f t="shared" si="22"/>
        <v>32</v>
      </c>
      <c r="AF199" s="234">
        <f t="shared" si="23"/>
        <v>-194</v>
      </c>
      <c r="AG199" s="235">
        <f t="shared" si="24"/>
        <v>-6.0625</v>
      </c>
      <c r="AH199" s="236">
        <f t="shared" si="25"/>
        <v>-6.0624999999999998E-2</v>
      </c>
      <c r="AI199" s="235">
        <f t="shared" ca="1" si="26"/>
        <v>6.0624999999999998E-2</v>
      </c>
      <c r="AJ199" s="237"/>
    </row>
    <row r="200" spans="1:36" s="23" customFormat="1" ht="35.4" customHeight="1" x14ac:dyDescent="0.25">
      <c r="A200" s="142" t="s">
        <v>43</v>
      </c>
      <c r="B200" s="143" t="s">
        <v>305</v>
      </c>
      <c r="C200" s="142" t="s">
        <v>90</v>
      </c>
      <c r="D200" s="142" t="s">
        <v>97</v>
      </c>
      <c r="E200" s="142" t="s">
        <v>165</v>
      </c>
      <c r="F200" s="145" t="s">
        <v>239</v>
      </c>
      <c r="G200" s="44" t="str">
        <f t="shared" si="28"/>
        <v>Asesor de Control Interno</v>
      </c>
      <c r="H200" s="137">
        <v>44488</v>
      </c>
      <c r="I200" s="137">
        <v>44498</v>
      </c>
      <c r="J200" s="61"/>
      <c r="K200" s="61"/>
      <c r="L200" s="61"/>
      <c r="M200" s="61"/>
      <c r="N200" s="61"/>
      <c r="O200" s="61"/>
      <c r="P200" s="61"/>
      <c r="Q200" s="61"/>
      <c r="R200" s="61"/>
      <c r="S200" s="61"/>
      <c r="T200" s="61"/>
      <c r="U200" s="61"/>
      <c r="V200" s="142" t="s">
        <v>334</v>
      </c>
      <c r="W200" s="208">
        <v>4.0000000000000001E-3</v>
      </c>
      <c r="X200" s="137"/>
      <c r="Y200" s="143"/>
      <c r="Z200" s="72"/>
      <c r="AA200" s="142"/>
      <c r="AB200" s="70">
        <f t="shared" ca="1" si="30"/>
        <v>0</v>
      </c>
      <c r="AC200" s="70">
        <f t="shared" ca="1" si="29"/>
        <v>4.0000000000000001E-3</v>
      </c>
      <c r="AD200" s="233">
        <f t="shared" ref="AD200:AD226" si="31">MONTH(I200)</f>
        <v>10</v>
      </c>
      <c r="AE200" s="234">
        <f t="shared" ref="AE200:AE226" si="32">+I200-H200</f>
        <v>10</v>
      </c>
      <c r="AF200" s="234">
        <f t="shared" ref="AF200:AF226" si="33">+$AF$18-H200</f>
        <v>-202</v>
      </c>
      <c r="AG200" s="235">
        <f t="shared" ref="AG200:AG226" si="34">+AF200/AE200</f>
        <v>-20.2</v>
      </c>
      <c r="AH200" s="236">
        <f t="shared" ref="AH200:AH226" si="35">+AG200*W200</f>
        <v>-8.0799999999999997E-2</v>
      </c>
      <c r="AI200" s="235">
        <f t="shared" ref="AI200:AI226" ca="1" si="36">+AB200-AH200</f>
        <v>8.0799999999999997E-2</v>
      </c>
      <c r="AJ200" s="237"/>
    </row>
    <row r="201" spans="1:36" s="23" customFormat="1" ht="35.4" customHeight="1" x14ac:dyDescent="0.25">
      <c r="A201" s="142" t="s">
        <v>47</v>
      </c>
      <c r="B201" s="146" t="s">
        <v>192</v>
      </c>
      <c r="C201" s="142" t="s">
        <v>90</v>
      </c>
      <c r="D201" s="142" t="s">
        <v>97</v>
      </c>
      <c r="E201" s="142" t="s">
        <v>165</v>
      </c>
      <c r="F201" s="144" t="s">
        <v>240</v>
      </c>
      <c r="G201" s="44" t="str">
        <f t="shared" si="28"/>
        <v>Asesor de Control Interno</v>
      </c>
      <c r="H201" s="137">
        <v>44494</v>
      </c>
      <c r="I201" s="137">
        <v>44508</v>
      </c>
      <c r="J201" s="61"/>
      <c r="K201" s="61"/>
      <c r="L201" s="61"/>
      <c r="M201" s="61"/>
      <c r="N201" s="61"/>
      <c r="O201" s="61"/>
      <c r="P201" s="61"/>
      <c r="Q201" s="61"/>
      <c r="R201" s="61"/>
      <c r="S201" s="61"/>
      <c r="T201" s="61"/>
      <c r="U201" s="61"/>
      <c r="V201" s="142" t="s">
        <v>215</v>
      </c>
      <c r="W201" s="208">
        <v>7.4999999999999997E-3</v>
      </c>
      <c r="X201" s="207"/>
      <c r="Y201" s="72"/>
      <c r="Z201" s="72"/>
      <c r="AA201" s="142"/>
      <c r="AB201" s="70">
        <f t="shared" ref="AB201:AB220" ca="1" si="37">IF(ISERROR(VLOOKUP(AA201,INDIRECT(VLOOKUP(A201,ACTA,2,0)&amp;"A"),2,0))=TRUE,0,W201*(VLOOKUP(AA201,INDIRECT(VLOOKUP(A201,ACTA,2,0)&amp;"A"),2,0)))</f>
        <v>0</v>
      </c>
      <c r="AC201" s="70">
        <f t="shared" ca="1" si="29"/>
        <v>7.4999999999999997E-3</v>
      </c>
      <c r="AD201" s="233">
        <f t="shared" si="31"/>
        <v>11</v>
      </c>
      <c r="AE201" s="234">
        <f t="shared" si="32"/>
        <v>14</v>
      </c>
      <c r="AF201" s="234">
        <f t="shared" si="33"/>
        <v>-208</v>
      </c>
      <c r="AG201" s="235">
        <f t="shared" si="34"/>
        <v>-14.857142857142858</v>
      </c>
      <c r="AH201" s="236">
        <f t="shared" si="35"/>
        <v>-0.11142857142857143</v>
      </c>
      <c r="AI201" s="235">
        <f t="shared" ca="1" si="36"/>
        <v>0.11142857142857143</v>
      </c>
      <c r="AJ201" s="237"/>
    </row>
    <row r="202" spans="1:36" s="23" customFormat="1" ht="35.4" customHeight="1" x14ac:dyDescent="0.25">
      <c r="A202" s="142" t="s">
        <v>45</v>
      </c>
      <c r="B202" s="143" t="s">
        <v>289</v>
      </c>
      <c r="C202" s="142" t="s">
        <v>90</v>
      </c>
      <c r="D202" s="142" t="s">
        <v>97</v>
      </c>
      <c r="E202" s="142" t="s">
        <v>165</v>
      </c>
      <c r="F202" s="145" t="s">
        <v>239</v>
      </c>
      <c r="G202" s="44" t="str">
        <f t="shared" si="28"/>
        <v>Asesor de Control Interno</v>
      </c>
      <c r="H202" s="137">
        <v>44496</v>
      </c>
      <c r="I202" s="137">
        <v>44503</v>
      </c>
      <c r="J202" s="61"/>
      <c r="K202" s="61"/>
      <c r="L202" s="61"/>
      <c r="M202" s="61"/>
      <c r="N202" s="61"/>
      <c r="O202" s="61"/>
      <c r="P202" s="61"/>
      <c r="Q202" s="61"/>
      <c r="R202" s="61"/>
      <c r="S202" s="61"/>
      <c r="T202" s="61"/>
      <c r="U202" s="61"/>
      <c r="V202" s="142" t="s">
        <v>215</v>
      </c>
      <c r="W202" s="206">
        <v>3.0000000000000001E-3</v>
      </c>
      <c r="X202" s="137"/>
      <c r="Y202" s="143"/>
      <c r="Z202" s="72"/>
      <c r="AA202" s="142"/>
      <c r="AB202" s="70">
        <f t="shared" ca="1" si="37"/>
        <v>0</v>
      </c>
      <c r="AC202" s="70">
        <f t="shared" ca="1" si="29"/>
        <v>3.0000000000000001E-3</v>
      </c>
      <c r="AD202" s="233">
        <f t="shared" si="31"/>
        <v>11</v>
      </c>
      <c r="AE202" s="234">
        <f t="shared" si="32"/>
        <v>7</v>
      </c>
      <c r="AF202" s="234">
        <f t="shared" si="33"/>
        <v>-210</v>
      </c>
      <c r="AG202" s="235">
        <f t="shared" si="34"/>
        <v>-30</v>
      </c>
      <c r="AH202" s="236">
        <f t="shared" si="35"/>
        <v>-0.09</v>
      </c>
      <c r="AI202" s="235">
        <f t="shared" ca="1" si="36"/>
        <v>0.09</v>
      </c>
      <c r="AJ202" s="237"/>
    </row>
    <row r="203" spans="1:36" s="23" customFormat="1" ht="35.4" customHeight="1" x14ac:dyDescent="0.25">
      <c r="A203" s="142" t="s">
        <v>46</v>
      </c>
      <c r="B203" s="136" t="s">
        <v>316</v>
      </c>
      <c r="C203" s="142" t="s">
        <v>80</v>
      </c>
      <c r="D203" s="142" t="s">
        <v>100</v>
      </c>
      <c r="E203" s="142" t="s">
        <v>165</v>
      </c>
      <c r="F203" s="144" t="s">
        <v>240</v>
      </c>
      <c r="G203" s="44" t="str">
        <f t="shared" si="28"/>
        <v>Director de Reasentamientos Humanos</v>
      </c>
      <c r="H203" s="137">
        <v>44496</v>
      </c>
      <c r="I203" s="137">
        <v>44561</v>
      </c>
      <c r="J203" s="61"/>
      <c r="K203" s="61"/>
      <c r="L203" s="61"/>
      <c r="M203" s="61"/>
      <c r="N203" s="61"/>
      <c r="O203" s="61"/>
      <c r="P203" s="61"/>
      <c r="Q203" s="61"/>
      <c r="R203" s="61"/>
      <c r="S203" s="61"/>
      <c r="T203" s="61"/>
      <c r="U203" s="61"/>
      <c r="V203" s="140" t="s">
        <v>337</v>
      </c>
      <c r="W203" s="208">
        <v>0.01</v>
      </c>
      <c r="X203" s="137"/>
      <c r="Y203" s="79"/>
      <c r="Z203" s="72"/>
      <c r="AA203" s="142"/>
      <c r="AB203" s="70">
        <f t="shared" ca="1" si="37"/>
        <v>0</v>
      </c>
      <c r="AC203" s="70">
        <f t="shared" ca="1" si="29"/>
        <v>0.01</v>
      </c>
      <c r="AD203" s="233">
        <f t="shared" si="31"/>
        <v>12</v>
      </c>
      <c r="AE203" s="234">
        <f t="shared" si="32"/>
        <v>65</v>
      </c>
      <c r="AF203" s="234">
        <f t="shared" si="33"/>
        <v>-210</v>
      </c>
      <c r="AG203" s="235">
        <f t="shared" si="34"/>
        <v>-3.2307692307692308</v>
      </c>
      <c r="AH203" s="236">
        <f t="shared" si="35"/>
        <v>-3.2307692307692308E-2</v>
      </c>
      <c r="AI203" s="235">
        <f t="shared" ca="1" si="36"/>
        <v>3.2307692307692308E-2</v>
      </c>
      <c r="AJ203" s="237"/>
    </row>
    <row r="204" spans="1:36" s="23" customFormat="1" ht="35.4" customHeight="1" x14ac:dyDescent="0.25">
      <c r="A204" s="154" t="s">
        <v>46</v>
      </c>
      <c r="B204" s="143" t="s">
        <v>314</v>
      </c>
      <c r="C204" s="142" t="s">
        <v>82</v>
      </c>
      <c r="D204" s="142" t="s">
        <v>100</v>
      </c>
      <c r="E204" s="142" t="s">
        <v>165</v>
      </c>
      <c r="F204" s="145" t="s">
        <v>239</v>
      </c>
      <c r="G204" s="44" t="str">
        <f t="shared" si="28"/>
        <v>Director de Mejoramiento de Barrios</v>
      </c>
      <c r="H204" s="137">
        <v>44497</v>
      </c>
      <c r="I204" s="137">
        <v>44503</v>
      </c>
      <c r="J204" s="61"/>
      <c r="K204" s="61"/>
      <c r="L204" s="61"/>
      <c r="M204" s="61"/>
      <c r="N204" s="61"/>
      <c r="O204" s="61"/>
      <c r="P204" s="61"/>
      <c r="Q204" s="61"/>
      <c r="R204" s="61"/>
      <c r="S204" s="61"/>
      <c r="T204" s="61"/>
      <c r="U204" s="61"/>
      <c r="V204" s="140" t="s">
        <v>317</v>
      </c>
      <c r="W204" s="206">
        <v>1E-3</v>
      </c>
      <c r="X204" s="137"/>
      <c r="Y204" s="72"/>
      <c r="Z204" s="72"/>
      <c r="AA204" s="142"/>
      <c r="AB204" s="70">
        <f t="shared" ca="1" si="37"/>
        <v>0</v>
      </c>
      <c r="AC204" s="70">
        <f t="shared" ca="1" si="29"/>
        <v>1E-3</v>
      </c>
      <c r="AD204" s="233">
        <f t="shared" si="31"/>
        <v>11</v>
      </c>
      <c r="AE204" s="234">
        <f t="shared" si="32"/>
        <v>6</v>
      </c>
      <c r="AF204" s="234">
        <f t="shared" si="33"/>
        <v>-211</v>
      </c>
      <c r="AG204" s="235">
        <f t="shared" si="34"/>
        <v>-35.166666666666664</v>
      </c>
      <c r="AH204" s="236">
        <f t="shared" si="35"/>
        <v>-3.5166666666666666E-2</v>
      </c>
      <c r="AI204" s="235">
        <f t="shared" ca="1" si="36"/>
        <v>3.5166666666666666E-2</v>
      </c>
      <c r="AJ204" s="237"/>
    </row>
    <row r="205" spans="1:36" s="23" customFormat="1" ht="35.4" customHeight="1" x14ac:dyDescent="0.25">
      <c r="A205" s="142" t="s">
        <v>45</v>
      </c>
      <c r="B205" s="143" t="s">
        <v>114</v>
      </c>
      <c r="C205" s="142" t="s">
        <v>90</v>
      </c>
      <c r="D205" s="142" t="s">
        <v>97</v>
      </c>
      <c r="E205" s="142" t="s">
        <v>165</v>
      </c>
      <c r="F205" s="145" t="s">
        <v>239</v>
      </c>
      <c r="G205" s="44" t="str">
        <f t="shared" si="28"/>
        <v>Asesor de Control Interno</v>
      </c>
      <c r="H205" s="137">
        <v>44502</v>
      </c>
      <c r="I205" s="137">
        <v>44505</v>
      </c>
      <c r="J205" s="61"/>
      <c r="K205" s="61"/>
      <c r="L205" s="61"/>
      <c r="M205" s="61"/>
      <c r="N205" s="61"/>
      <c r="O205" s="61"/>
      <c r="P205" s="61"/>
      <c r="Q205" s="61"/>
      <c r="R205" s="61"/>
      <c r="S205" s="61"/>
      <c r="T205" s="61"/>
      <c r="U205" s="61"/>
      <c r="V205" s="142" t="s">
        <v>202</v>
      </c>
      <c r="W205" s="206">
        <v>3.0000000000000001E-3</v>
      </c>
      <c r="X205" s="137"/>
      <c r="Y205" s="143"/>
      <c r="Z205" s="72"/>
      <c r="AA205" s="142"/>
      <c r="AB205" s="70">
        <f t="shared" ca="1" si="37"/>
        <v>0</v>
      </c>
      <c r="AC205" s="70">
        <f t="shared" ca="1" si="29"/>
        <v>3.0000000000000001E-3</v>
      </c>
      <c r="AD205" s="233">
        <f t="shared" si="31"/>
        <v>11</v>
      </c>
      <c r="AE205" s="234">
        <f t="shared" si="32"/>
        <v>3</v>
      </c>
      <c r="AF205" s="234">
        <f t="shared" si="33"/>
        <v>-216</v>
      </c>
      <c r="AG205" s="235">
        <f t="shared" si="34"/>
        <v>-72</v>
      </c>
      <c r="AH205" s="236">
        <f t="shared" si="35"/>
        <v>-0.216</v>
      </c>
      <c r="AI205" s="235">
        <f t="shared" ca="1" si="36"/>
        <v>0.216</v>
      </c>
      <c r="AJ205" s="237"/>
    </row>
    <row r="206" spans="1:36" s="23" customFormat="1" ht="35.4" customHeight="1" x14ac:dyDescent="0.25">
      <c r="A206" s="154" t="s">
        <v>44</v>
      </c>
      <c r="B206" s="143" t="s">
        <v>92</v>
      </c>
      <c r="C206" s="142" t="s">
        <v>89</v>
      </c>
      <c r="D206" s="142" t="s">
        <v>96</v>
      </c>
      <c r="E206" s="142" t="s">
        <v>165</v>
      </c>
      <c r="F206" s="144" t="s">
        <v>203</v>
      </c>
      <c r="G206" s="44" t="str">
        <f t="shared" si="28"/>
        <v>Subdirector Financiero</v>
      </c>
      <c r="H206" s="137">
        <v>44502</v>
      </c>
      <c r="I206" s="137">
        <v>44509</v>
      </c>
      <c r="J206" s="61"/>
      <c r="K206" s="61"/>
      <c r="L206" s="61"/>
      <c r="M206" s="61"/>
      <c r="N206" s="61"/>
      <c r="O206" s="61"/>
      <c r="P206" s="61"/>
      <c r="Q206" s="61"/>
      <c r="R206" s="61"/>
      <c r="S206" s="61"/>
      <c r="T206" s="61"/>
      <c r="U206" s="61"/>
      <c r="V206" s="142" t="s">
        <v>123</v>
      </c>
      <c r="W206" s="206">
        <v>1E-3</v>
      </c>
      <c r="X206" s="137"/>
      <c r="Y206" s="143"/>
      <c r="Z206" s="72"/>
      <c r="AA206" s="142"/>
      <c r="AB206" s="70">
        <f t="shared" ca="1" si="37"/>
        <v>0</v>
      </c>
      <c r="AC206" s="70">
        <f t="shared" ca="1" si="29"/>
        <v>1E-3</v>
      </c>
      <c r="AD206" s="233">
        <f t="shared" si="31"/>
        <v>11</v>
      </c>
      <c r="AE206" s="234">
        <f t="shared" si="32"/>
        <v>7</v>
      </c>
      <c r="AF206" s="234">
        <f t="shared" si="33"/>
        <v>-216</v>
      </c>
      <c r="AG206" s="235">
        <f t="shared" si="34"/>
        <v>-30.857142857142858</v>
      </c>
      <c r="AH206" s="236">
        <f t="shared" si="35"/>
        <v>-3.0857142857142857E-2</v>
      </c>
      <c r="AI206" s="235">
        <f t="shared" ca="1" si="36"/>
        <v>3.0857142857142857E-2</v>
      </c>
      <c r="AJ206" s="237"/>
    </row>
    <row r="207" spans="1:36" s="23" customFormat="1" ht="35.4" customHeight="1" x14ac:dyDescent="0.25">
      <c r="A207" s="154" t="s">
        <v>46</v>
      </c>
      <c r="B207" s="143" t="s">
        <v>93</v>
      </c>
      <c r="C207" s="142" t="s">
        <v>89</v>
      </c>
      <c r="D207" s="142" t="s">
        <v>96</v>
      </c>
      <c r="E207" s="142" t="s">
        <v>165</v>
      </c>
      <c r="F207" s="144" t="s">
        <v>240</v>
      </c>
      <c r="G207" s="44" t="str">
        <f t="shared" si="28"/>
        <v>Subdirector Financiero</v>
      </c>
      <c r="H207" s="137">
        <v>44502</v>
      </c>
      <c r="I207" s="137">
        <v>44510</v>
      </c>
      <c r="J207" s="61"/>
      <c r="K207" s="61"/>
      <c r="L207" s="61"/>
      <c r="M207" s="61"/>
      <c r="N207" s="61"/>
      <c r="O207" s="61"/>
      <c r="P207" s="61"/>
      <c r="Q207" s="61"/>
      <c r="R207" s="61"/>
      <c r="S207" s="61"/>
      <c r="T207" s="61"/>
      <c r="U207" s="61"/>
      <c r="V207" s="142" t="s">
        <v>332</v>
      </c>
      <c r="W207" s="206">
        <v>1E-3</v>
      </c>
      <c r="X207" s="137"/>
      <c r="Y207" s="72"/>
      <c r="Z207" s="72"/>
      <c r="AA207" s="142"/>
      <c r="AB207" s="70">
        <f t="shared" ca="1" si="37"/>
        <v>0</v>
      </c>
      <c r="AC207" s="70">
        <f t="shared" ca="1" si="29"/>
        <v>1E-3</v>
      </c>
      <c r="AD207" s="233">
        <f t="shared" si="31"/>
        <v>11</v>
      </c>
      <c r="AE207" s="234">
        <f t="shared" si="32"/>
        <v>8</v>
      </c>
      <c r="AF207" s="234">
        <f t="shared" si="33"/>
        <v>-216</v>
      </c>
      <c r="AG207" s="235">
        <f t="shared" si="34"/>
        <v>-27</v>
      </c>
      <c r="AH207" s="236">
        <f t="shared" si="35"/>
        <v>-2.7E-2</v>
      </c>
      <c r="AI207" s="235">
        <f t="shared" ca="1" si="36"/>
        <v>2.7E-2</v>
      </c>
      <c r="AJ207" s="237"/>
    </row>
    <row r="208" spans="1:36" s="23" customFormat="1" ht="35.4" customHeight="1" x14ac:dyDescent="0.25">
      <c r="A208" s="142" t="s">
        <v>45</v>
      </c>
      <c r="B208" s="72" t="s">
        <v>213</v>
      </c>
      <c r="C208" s="142" t="s">
        <v>98</v>
      </c>
      <c r="D208" s="142" t="s">
        <v>98</v>
      </c>
      <c r="E208" s="142" t="s">
        <v>165</v>
      </c>
      <c r="F208" s="145" t="s">
        <v>239</v>
      </c>
      <c r="G208" s="44" t="str">
        <f t="shared" si="28"/>
        <v>Líderes de Cada Proceso</v>
      </c>
      <c r="H208" s="137">
        <v>44510</v>
      </c>
      <c r="I208" s="137">
        <v>44540</v>
      </c>
      <c r="J208" s="61"/>
      <c r="K208" s="61"/>
      <c r="L208" s="61"/>
      <c r="M208" s="61"/>
      <c r="N208" s="61"/>
      <c r="O208" s="61"/>
      <c r="P208" s="61"/>
      <c r="Q208" s="61"/>
      <c r="R208" s="61"/>
      <c r="S208" s="61"/>
      <c r="T208" s="61"/>
      <c r="U208" s="61"/>
      <c r="V208" s="142" t="s">
        <v>123</v>
      </c>
      <c r="W208" s="206">
        <v>5.0000000000000001E-3</v>
      </c>
      <c r="X208" s="137"/>
      <c r="Y208" s="72"/>
      <c r="Z208" s="72"/>
      <c r="AA208" s="142"/>
      <c r="AB208" s="70">
        <f t="shared" ca="1" si="37"/>
        <v>0</v>
      </c>
      <c r="AC208" s="70">
        <f t="shared" ca="1" si="29"/>
        <v>5.0000000000000001E-3</v>
      </c>
      <c r="AD208" s="233">
        <f t="shared" si="31"/>
        <v>12</v>
      </c>
      <c r="AE208" s="234">
        <f t="shared" si="32"/>
        <v>30</v>
      </c>
      <c r="AF208" s="234">
        <f t="shared" si="33"/>
        <v>-224</v>
      </c>
      <c r="AG208" s="235">
        <f t="shared" si="34"/>
        <v>-7.4666666666666668</v>
      </c>
      <c r="AH208" s="236">
        <f t="shared" si="35"/>
        <v>-3.7333333333333336E-2</v>
      </c>
      <c r="AI208" s="235">
        <f t="shared" ca="1" si="36"/>
        <v>3.7333333333333336E-2</v>
      </c>
      <c r="AJ208" s="237"/>
    </row>
    <row r="209" spans="1:36" s="23" customFormat="1" ht="35.4" customHeight="1" x14ac:dyDescent="0.25">
      <c r="A209" s="154" t="s">
        <v>47</v>
      </c>
      <c r="B209" s="146" t="s">
        <v>308</v>
      </c>
      <c r="C209" s="142" t="s">
        <v>98</v>
      </c>
      <c r="D209" s="142" t="s">
        <v>98</v>
      </c>
      <c r="E209" s="142" t="s">
        <v>165</v>
      </c>
      <c r="F209" s="144" t="s">
        <v>263</v>
      </c>
      <c r="G209" s="44" t="str">
        <f t="shared" si="28"/>
        <v>Líderes de Cada Proceso</v>
      </c>
      <c r="H209" s="137">
        <v>44522</v>
      </c>
      <c r="I209" s="137">
        <v>44540</v>
      </c>
      <c r="J209" s="61"/>
      <c r="K209" s="61"/>
      <c r="L209" s="61"/>
      <c r="M209" s="61"/>
      <c r="N209" s="61"/>
      <c r="O209" s="61"/>
      <c r="P209" s="61"/>
      <c r="Q209" s="61"/>
      <c r="R209" s="61"/>
      <c r="S209" s="61"/>
      <c r="T209" s="61"/>
      <c r="U209" s="61"/>
      <c r="V209" s="142" t="s">
        <v>215</v>
      </c>
      <c r="W209" s="208">
        <v>0.02</v>
      </c>
      <c r="X209" s="137"/>
      <c r="Y209" s="72"/>
      <c r="Z209" s="72"/>
      <c r="AA209" s="142"/>
      <c r="AB209" s="70">
        <f t="shared" ca="1" si="37"/>
        <v>0</v>
      </c>
      <c r="AC209" s="70">
        <f t="shared" ca="1" si="29"/>
        <v>0.02</v>
      </c>
      <c r="AD209" s="233">
        <f t="shared" si="31"/>
        <v>12</v>
      </c>
      <c r="AE209" s="234">
        <f t="shared" si="32"/>
        <v>18</v>
      </c>
      <c r="AF209" s="234">
        <f t="shared" si="33"/>
        <v>-236</v>
      </c>
      <c r="AG209" s="235">
        <f t="shared" si="34"/>
        <v>-13.111111111111111</v>
      </c>
      <c r="AH209" s="236">
        <f t="shared" si="35"/>
        <v>-0.26222222222222225</v>
      </c>
      <c r="AI209" s="235">
        <f t="shared" ca="1" si="36"/>
        <v>0.26222222222222225</v>
      </c>
      <c r="AJ209" s="237"/>
    </row>
    <row r="210" spans="1:36" s="23" customFormat="1" ht="35.4" customHeight="1" x14ac:dyDescent="0.25">
      <c r="A210" s="142" t="s">
        <v>47</v>
      </c>
      <c r="B210" s="146" t="s">
        <v>309</v>
      </c>
      <c r="C210" s="142" t="s">
        <v>98</v>
      </c>
      <c r="D210" s="142" t="s">
        <v>98</v>
      </c>
      <c r="E210" s="142" t="s">
        <v>165</v>
      </c>
      <c r="F210" s="144" t="s">
        <v>263</v>
      </c>
      <c r="G210" s="44" t="str">
        <f t="shared" si="28"/>
        <v>Líderes de Cada Proceso</v>
      </c>
      <c r="H210" s="137">
        <v>44522</v>
      </c>
      <c r="I210" s="137">
        <v>44540</v>
      </c>
      <c r="J210" s="61"/>
      <c r="K210" s="61"/>
      <c r="L210" s="61"/>
      <c r="M210" s="61"/>
      <c r="N210" s="61"/>
      <c r="O210" s="61"/>
      <c r="P210" s="61"/>
      <c r="Q210" s="61"/>
      <c r="R210" s="61"/>
      <c r="S210" s="61"/>
      <c r="T210" s="61"/>
      <c r="U210" s="61"/>
      <c r="V210" s="142" t="s">
        <v>215</v>
      </c>
      <c r="W210" s="208">
        <v>0.02</v>
      </c>
      <c r="X210" s="137"/>
      <c r="Y210" s="143"/>
      <c r="Z210" s="72"/>
      <c r="AA210" s="142"/>
      <c r="AB210" s="70">
        <f t="shared" ca="1" si="37"/>
        <v>0</v>
      </c>
      <c r="AC210" s="70">
        <f t="shared" ca="1" si="29"/>
        <v>0.02</v>
      </c>
      <c r="AD210" s="233">
        <f t="shared" si="31"/>
        <v>12</v>
      </c>
      <c r="AE210" s="234">
        <f t="shared" si="32"/>
        <v>18</v>
      </c>
      <c r="AF210" s="234">
        <f t="shared" si="33"/>
        <v>-236</v>
      </c>
      <c r="AG210" s="235">
        <f t="shared" si="34"/>
        <v>-13.111111111111111</v>
      </c>
      <c r="AH210" s="236">
        <f t="shared" si="35"/>
        <v>-0.26222222222222225</v>
      </c>
      <c r="AI210" s="235">
        <f t="shared" ca="1" si="36"/>
        <v>0.26222222222222225</v>
      </c>
      <c r="AJ210" s="237"/>
    </row>
    <row r="211" spans="1:36" s="23" customFormat="1" ht="35.4" customHeight="1" x14ac:dyDescent="0.25">
      <c r="A211" s="142" t="s">
        <v>45</v>
      </c>
      <c r="B211" s="143" t="s">
        <v>289</v>
      </c>
      <c r="C211" s="142" t="s">
        <v>90</v>
      </c>
      <c r="D211" s="142" t="s">
        <v>97</v>
      </c>
      <c r="E211" s="142" t="s">
        <v>165</v>
      </c>
      <c r="F211" s="145" t="s">
        <v>239</v>
      </c>
      <c r="G211" s="44" t="str">
        <f t="shared" ref="G211:G220" si="38">IF(LEN(C211)&gt;0,VLOOKUP(C211,PROCESO2,3,0),"")</f>
        <v>Asesor de Control Interno</v>
      </c>
      <c r="H211" s="137">
        <v>44524</v>
      </c>
      <c r="I211" s="137">
        <v>44532</v>
      </c>
      <c r="J211" s="61"/>
      <c r="K211" s="61"/>
      <c r="L211" s="61"/>
      <c r="M211" s="61"/>
      <c r="N211" s="61"/>
      <c r="O211" s="61"/>
      <c r="P211" s="61"/>
      <c r="Q211" s="61"/>
      <c r="R211" s="61"/>
      <c r="S211" s="61"/>
      <c r="T211" s="61"/>
      <c r="U211" s="61"/>
      <c r="V211" s="142" t="s">
        <v>215</v>
      </c>
      <c r="W211" s="206">
        <v>3.0000000000000001E-3</v>
      </c>
      <c r="X211" s="137"/>
      <c r="Y211" s="143"/>
      <c r="Z211" s="72"/>
      <c r="AA211" s="142"/>
      <c r="AB211" s="70">
        <f t="shared" ca="1" si="37"/>
        <v>0</v>
      </c>
      <c r="AC211" s="70">
        <f t="shared" ref="AC211:AC220" ca="1" si="39">+W211-AB211</f>
        <v>3.0000000000000001E-3</v>
      </c>
      <c r="AD211" s="233">
        <f t="shared" si="31"/>
        <v>12</v>
      </c>
      <c r="AE211" s="234">
        <f t="shared" si="32"/>
        <v>8</v>
      </c>
      <c r="AF211" s="234">
        <f t="shared" si="33"/>
        <v>-238</v>
      </c>
      <c r="AG211" s="235">
        <f t="shared" si="34"/>
        <v>-29.75</v>
      </c>
      <c r="AH211" s="236">
        <f t="shared" si="35"/>
        <v>-8.9249999999999996E-2</v>
      </c>
      <c r="AI211" s="235">
        <f t="shared" ca="1" si="36"/>
        <v>8.9249999999999996E-2</v>
      </c>
      <c r="AJ211" s="237"/>
    </row>
    <row r="212" spans="1:36" s="23" customFormat="1" ht="35.4" customHeight="1" x14ac:dyDescent="0.25">
      <c r="A212" s="154" t="s">
        <v>46</v>
      </c>
      <c r="B212" s="143" t="s">
        <v>314</v>
      </c>
      <c r="C212" s="142" t="s">
        <v>82</v>
      </c>
      <c r="D212" s="142" t="s">
        <v>100</v>
      </c>
      <c r="E212" s="142" t="s">
        <v>165</v>
      </c>
      <c r="F212" s="145" t="s">
        <v>239</v>
      </c>
      <c r="G212" s="44" t="str">
        <f t="shared" si="38"/>
        <v>Director de Mejoramiento de Barrios</v>
      </c>
      <c r="H212" s="137">
        <v>44529</v>
      </c>
      <c r="I212" s="137">
        <v>44532</v>
      </c>
      <c r="J212" s="61"/>
      <c r="K212" s="61"/>
      <c r="L212" s="61"/>
      <c r="M212" s="61"/>
      <c r="N212" s="61"/>
      <c r="O212" s="61"/>
      <c r="P212" s="61"/>
      <c r="Q212" s="61"/>
      <c r="R212" s="61"/>
      <c r="S212" s="61"/>
      <c r="T212" s="61"/>
      <c r="U212" s="61"/>
      <c r="V212" s="140" t="s">
        <v>317</v>
      </c>
      <c r="W212" s="206">
        <v>1E-3</v>
      </c>
      <c r="X212" s="137"/>
      <c r="Y212" s="72"/>
      <c r="Z212" s="72"/>
      <c r="AA212" s="142"/>
      <c r="AB212" s="70">
        <f t="shared" ca="1" si="37"/>
        <v>0</v>
      </c>
      <c r="AC212" s="70">
        <f t="shared" ca="1" si="39"/>
        <v>1E-3</v>
      </c>
      <c r="AD212" s="233">
        <f t="shared" si="31"/>
        <v>12</v>
      </c>
      <c r="AE212" s="234">
        <f t="shared" si="32"/>
        <v>3</v>
      </c>
      <c r="AF212" s="234">
        <f t="shared" si="33"/>
        <v>-243</v>
      </c>
      <c r="AG212" s="235">
        <f t="shared" si="34"/>
        <v>-81</v>
      </c>
      <c r="AH212" s="236">
        <f t="shared" si="35"/>
        <v>-8.1000000000000003E-2</v>
      </c>
      <c r="AI212" s="235">
        <f t="shared" ca="1" si="36"/>
        <v>8.1000000000000003E-2</v>
      </c>
      <c r="AJ212" s="237"/>
    </row>
    <row r="213" spans="1:36" s="23" customFormat="1" ht="35.4" customHeight="1" x14ac:dyDescent="0.25">
      <c r="A213" s="142" t="s">
        <v>45</v>
      </c>
      <c r="B213" s="143" t="s">
        <v>114</v>
      </c>
      <c r="C213" s="142" t="s">
        <v>90</v>
      </c>
      <c r="D213" s="142" t="s">
        <v>97</v>
      </c>
      <c r="E213" s="142" t="s">
        <v>165</v>
      </c>
      <c r="F213" s="145" t="s">
        <v>239</v>
      </c>
      <c r="G213" s="44" t="str">
        <f t="shared" si="38"/>
        <v>Asesor de Control Interno</v>
      </c>
      <c r="H213" s="137">
        <v>44531</v>
      </c>
      <c r="I213" s="137">
        <v>44536</v>
      </c>
      <c r="J213" s="61"/>
      <c r="K213" s="61"/>
      <c r="L213" s="61"/>
      <c r="M213" s="61"/>
      <c r="N213" s="61"/>
      <c r="O213" s="61"/>
      <c r="P213" s="61"/>
      <c r="Q213" s="61"/>
      <c r="R213" s="61"/>
      <c r="S213" s="61"/>
      <c r="T213" s="61"/>
      <c r="U213" s="61"/>
      <c r="V213" s="142" t="s">
        <v>202</v>
      </c>
      <c r="W213" s="206">
        <v>3.0000000000000001E-3</v>
      </c>
      <c r="X213" s="207"/>
      <c r="Y213" s="72"/>
      <c r="Z213" s="72"/>
      <c r="AA213" s="142"/>
      <c r="AB213" s="70">
        <f t="shared" ca="1" si="37"/>
        <v>0</v>
      </c>
      <c r="AC213" s="70">
        <f t="shared" ca="1" si="39"/>
        <v>3.0000000000000001E-3</v>
      </c>
      <c r="AD213" s="233">
        <f t="shared" si="31"/>
        <v>12</v>
      </c>
      <c r="AE213" s="234">
        <f t="shared" si="32"/>
        <v>5</v>
      </c>
      <c r="AF213" s="234">
        <f t="shared" si="33"/>
        <v>-245</v>
      </c>
      <c r="AG213" s="235">
        <f t="shared" si="34"/>
        <v>-49</v>
      </c>
      <c r="AH213" s="236">
        <f t="shared" si="35"/>
        <v>-0.14699999999999999</v>
      </c>
      <c r="AI213" s="235">
        <f t="shared" ca="1" si="36"/>
        <v>0.14699999999999999</v>
      </c>
      <c r="AJ213" s="237"/>
    </row>
    <row r="214" spans="1:36" s="23" customFormat="1" ht="35.4" customHeight="1" x14ac:dyDescent="0.25">
      <c r="A214" s="154" t="s">
        <v>46</v>
      </c>
      <c r="B214" s="143" t="s">
        <v>93</v>
      </c>
      <c r="C214" s="142" t="s">
        <v>141</v>
      </c>
      <c r="D214" s="142" t="s">
        <v>96</v>
      </c>
      <c r="E214" s="142" t="s">
        <v>165</v>
      </c>
      <c r="F214" s="144" t="s">
        <v>240</v>
      </c>
      <c r="G214" s="44" t="str">
        <f t="shared" si="38"/>
        <v>Director de Gestión Corporativa y CID</v>
      </c>
      <c r="H214" s="137">
        <v>44531</v>
      </c>
      <c r="I214" s="137">
        <v>44540</v>
      </c>
      <c r="J214" s="61"/>
      <c r="K214" s="61"/>
      <c r="L214" s="61"/>
      <c r="M214" s="61"/>
      <c r="N214" s="61"/>
      <c r="O214" s="61"/>
      <c r="P214" s="61"/>
      <c r="Q214" s="61"/>
      <c r="R214" s="61"/>
      <c r="S214" s="61"/>
      <c r="T214" s="61"/>
      <c r="U214" s="61"/>
      <c r="V214" s="142" t="s">
        <v>332</v>
      </c>
      <c r="W214" s="206">
        <v>1E-3</v>
      </c>
      <c r="X214" s="137"/>
      <c r="Y214" s="143"/>
      <c r="Z214" s="72"/>
      <c r="AA214" s="142"/>
      <c r="AB214" s="70">
        <f t="shared" ca="1" si="37"/>
        <v>0</v>
      </c>
      <c r="AC214" s="70">
        <f t="shared" ca="1" si="39"/>
        <v>1E-3</v>
      </c>
      <c r="AD214" s="233">
        <f t="shared" si="31"/>
        <v>12</v>
      </c>
      <c r="AE214" s="234">
        <f t="shared" si="32"/>
        <v>9</v>
      </c>
      <c r="AF214" s="234">
        <f t="shared" si="33"/>
        <v>-245</v>
      </c>
      <c r="AG214" s="235">
        <f t="shared" si="34"/>
        <v>-27.222222222222221</v>
      </c>
      <c r="AH214" s="236">
        <f t="shared" si="35"/>
        <v>-2.7222222222222221E-2</v>
      </c>
      <c r="AI214" s="235">
        <f t="shared" ca="1" si="36"/>
        <v>2.7222222222222221E-2</v>
      </c>
      <c r="AJ214" s="237"/>
    </row>
    <row r="215" spans="1:36" s="23" customFormat="1" ht="35.4" customHeight="1" x14ac:dyDescent="0.25">
      <c r="A215" s="154" t="s">
        <v>44</v>
      </c>
      <c r="B215" s="143" t="s">
        <v>92</v>
      </c>
      <c r="C215" s="142" t="s">
        <v>89</v>
      </c>
      <c r="D215" s="142" t="s">
        <v>96</v>
      </c>
      <c r="E215" s="142" t="s">
        <v>165</v>
      </c>
      <c r="F215" s="144" t="s">
        <v>203</v>
      </c>
      <c r="G215" s="44" t="str">
        <f t="shared" si="38"/>
        <v>Subdirector Financiero</v>
      </c>
      <c r="H215" s="137">
        <v>44531</v>
      </c>
      <c r="I215" s="137">
        <v>44540</v>
      </c>
      <c r="J215" s="61"/>
      <c r="K215" s="61"/>
      <c r="L215" s="61"/>
      <c r="M215" s="61"/>
      <c r="N215" s="61"/>
      <c r="O215" s="61"/>
      <c r="P215" s="61"/>
      <c r="Q215" s="61"/>
      <c r="R215" s="61"/>
      <c r="S215" s="61"/>
      <c r="T215" s="61"/>
      <c r="U215" s="61"/>
      <c r="V215" s="142" t="s">
        <v>123</v>
      </c>
      <c r="W215" s="206">
        <v>1E-3</v>
      </c>
      <c r="X215" s="137"/>
      <c r="Y215" s="143"/>
      <c r="Z215" s="143"/>
      <c r="AA215" s="142"/>
      <c r="AB215" s="70">
        <f t="shared" ca="1" si="37"/>
        <v>0</v>
      </c>
      <c r="AC215" s="70">
        <f t="shared" ca="1" si="39"/>
        <v>1E-3</v>
      </c>
      <c r="AD215" s="233">
        <f t="shared" si="31"/>
        <v>12</v>
      </c>
      <c r="AE215" s="234">
        <f t="shared" si="32"/>
        <v>9</v>
      </c>
      <c r="AF215" s="234">
        <f t="shared" si="33"/>
        <v>-245</v>
      </c>
      <c r="AG215" s="235">
        <f t="shared" si="34"/>
        <v>-27.222222222222221</v>
      </c>
      <c r="AH215" s="236">
        <f t="shared" si="35"/>
        <v>-2.7222222222222221E-2</v>
      </c>
      <c r="AI215" s="235">
        <f t="shared" ca="1" si="36"/>
        <v>2.7222222222222221E-2</v>
      </c>
      <c r="AJ215" s="237"/>
    </row>
    <row r="216" spans="1:36" s="23" customFormat="1" ht="35.4" customHeight="1" x14ac:dyDescent="0.25">
      <c r="A216" s="142" t="s">
        <v>43</v>
      </c>
      <c r="B216" s="143" t="s">
        <v>305</v>
      </c>
      <c r="C216" s="142" t="s">
        <v>90</v>
      </c>
      <c r="D216" s="142" t="s">
        <v>97</v>
      </c>
      <c r="E216" s="142" t="s">
        <v>165</v>
      </c>
      <c r="F216" s="145" t="s">
        <v>239</v>
      </c>
      <c r="G216" s="44" t="str">
        <f t="shared" si="38"/>
        <v>Asesor de Control Interno</v>
      </c>
      <c r="H216" s="137">
        <v>44536</v>
      </c>
      <c r="I216" s="137">
        <v>44552</v>
      </c>
      <c r="J216" s="61"/>
      <c r="K216" s="61"/>
      <c r="L216" s="61"/>
      <c r="M216" s="61"/>
      <c r="N216" s="61"/>
      <c r="O216" s="61"/>
      <c r="P216" s="61"/>
      <c r="Q216" s="61"/>
      <c r="R216" s="61"/>
      <c r="S216" s="61"/>
      <c r="T216" s="61"/>
      <c r="U216" s="61"/>
      <c r="V216" s="142" t="s">
        <v>334</v>
      </c>
      <c r="W216" s="206">
        <v>4.0000000000000001E-3</v>
      </c>
      <c r="X216" s="137"/>
      <c r="Y216" s="143"/>
      <c r="Z216" s="72"/>
      <c r="AA216" s="142"/>
      <c r="AB216" s="70">
        <f t="shared" ca="1" si="37"/>
        <v>0</v>
      </c>
      <c r="AC216" s="70">
        <f t="shared" ca="1" si="39"/>
        <v>4.0000000000000001E-3</v>
      </c>
      <c r="AD216" s="233">
        <f t="shared" si="31"/>
        <v>12</v>
      </c>
      <c r="AE216" s="234">
        <f t="shared" si="32"/>
        <v>16</v>
      </c>
      <c r="AF216" s="234">
        <f t="shared" si="33"/>
        <v>-250</v>
      </c>
      <c r="AG216" s="235">
        <f t="shared" si="34"/>
        <v>-15.625</v>
      </c>
      <c r="AH216" s="236">
        <f t="shared" si="35"/>
        <v>-6.25E-2</v>
      </c>
      <c r="AI216" s="235">
        <f t="shared" ca="1" si="36"/>
        <v>6.25E-2</v>
      </c>
      <c r="AJ216" s="237"/>
    </row>
    <row r="217" spans="1:36" s="23" customFormat="1" ht="35.4" customHeight="1" x14ac:dyDescent="0.25">
      <c r="A217" s="154" t="s">
        <v>45</v>
      </c>
      <c r="B217" s="143" t="s">
        <v>307</v>
      </c>
      <c r="C217" s="142" t="s">
        <v>90</v>
      </c>
      <c r="D217" s="142" t="s">
        <v>97</v>
      </c>
      <c r="E217" s="142" t="s">
        <v>165</v>
      </c>
      <c r="F217" s="145" t="s">
        <v>160</v>
      </c>
      <c r="G217" s="44" t="str">
        <f t="shared" si="38"/>
        <v>Asesor de Control Interno</v>
      </c>
      <c r="H217" s="137">
        <v>44543</v>
      </c>
      <c r="I217" s="137">
        <v>44557</v>
      </c>
      <c r="J217" s="61"/>
      <c r="K217" s="61"/>
      <c r="L217" s="61"/>
      <c r="M217" s="61"/>
      <c r="N217" s="61"/>
      <c r="O217" s="61"/>
      <c r="P217" s="61"/>
      <c r="Q217" s="61"/>
      <c r="R217" s="61"/>
      <c r="S217" s="61"/>
      <c r="T217" s="61"/>
      <c r="U217" s="61"/>
      <c r="V217" s="142" t="s">
        <v>123</v>
      </c>
      <c r="W217" s="206">
        <v>1.2E-2</v>
      </c>
      <c r="X217" s="137"/>
      <c r="Y217" s="80"/>
      <c r="Z217" s="72"/>
      <c r="AA217" s="142"/>
      <c r="AB217" s="70">
        <f t="shared" ca="1" si="37"/>
        <v>0</v>
      </c>
      <c r="AC217" s="70">
        <f t="shared" ca="1" si="39"/>
        <v>1.2E-2</v>
      </c>
      <c r="AD217" s="233">
        <f t="shared" si="31"/>
        <v>12</v>
      </c>
      <c r="AE217" s="234">
        <f t="shared" si="32"/>
        <v>14</v>
      </c>
      <c r="AF217" s="234">
        <f t="shared" si="33"/>
        <v>-257</v>
      </c>
      <c r="AG217" s="235">
        <f t="shared" si="34"/>
        <v>-18.357142857142858</v>
      </c>
      <c r="AH217" s="236">
        <f t="shared" si="35"/>
        <v>-0.22028571428571431</v>
      </c>
      <c r="AI217" s="235">
        <f t="shared" ca="1" si="36"/>
        <v>0.22028571428571431</v>
      </c>
      <c r="AJ217" s="237"/>
    </row>
    <row r="218" spans="1:36" s="23" customFormat="1" ht="35.4" customHeight="1" x14ac:dyDescent="0.25">
      <c r="A218" s="142" t="s">
        <v>47</v>
      </c>
      <c r="B218" s="146" t="s">
        <v>192</v>
      </c>
      <c r="C218" s="142" t="s">
        <v>90</v>
      </c>
      <c r="D218" s="142" t="s">
        <v>97</v>
      </c>
      <c r="E218" s="142" t="s">
        <v>165</v>
      </c>
      <c r="F218" s="144" t="s">
        <v>240</v>
      </c>
      <c r="G218" s="44" t="str">
        <f t="shared" si="38"/>
        <v>Asesor de Control Interno</v>
      </c>
      <c r="H218" s="137">
        <v>44559</v>
      </c>
      <c r="I218" s="137">
        <v>44573</v>
      </c>
      <c r="J218" s="61"/>
      <c r="K218" s="61"/>
      <c r="L218" s="61"/>
      <c r="M218" s="61"/>
      <c r="N218" s="61"/>
      <c r="O218" s="61"/>
      <c r="P218" s="61"/>
      <c r="Q218" s="61"/>
      <c r="R218" s="61"/>
      <c r="S218" s="61"/>
      <c r="T218" s="61"/>
      <c r="U218" s="61"/>
      <c r="V218" s="142" t="s">
        <v>215</v>
      </c>
      <c r="W218" s="208">
        <v>7.4999999999999997E-3</v>
      </c>
      <c r="X218" s="207"/>
      <c r="Y218" s="72"/>
      <c r="Z218" s="72"/>
      <c r="AA218" s="142"/>
      <c r="AB218" s="70">
        <f t="shared" ca="1" si="37"/>
        <v>0</v>
      </c>
      <c r="AC218" s="70">
        <f t="shared" ca="1" si="39"/>
        <v>7.4999999999999997E-3</v>
      </c>
      <c r="AD218" s="233">
        <f t="shared" si="31"/>
        <v>1</v>
      </c>
      <c r="AE218" s="234">
        <f t="shared" si="32"/>
        <v>14</v>
      </c>
      <c r="AF218" s="234">
        <f t="shared" si="33"/>
        <v>-273</v>
      </c>
      <c r="AG218" s="235">
        <f t="shared" si="34"/>
        <v>-19.5</v>
      </c>
      <c r="AH218" s="236">
        <f t="shared" si="35"/>
        <v>-0.14624999999999999</v>
      </c>
      <c r="AI218" s="235">
        <f t="shared" ca="1" si="36"/>
        <v>0.14624999999999999</v>
      </c>
      <c r="AJ218" s="237"/>
    </row>
    <row r="219" spans="1:36" s="23" customFormat="1" ht="35.4" customHeight="1" x14ac:dyDescent="0.25">
      <c r="A219" s="154" t="s">
        <v>44</v>
      </c>
      <c r="B219" s="143" t="s">
        <v>331</v>
      </c>
      <c r="C219" s="142" t="s">
        <v>98</v>
      </c>
      <c r="D219" s="142" t="s">
        <v>98</v>
      </c>
      <c r="E219" s="142" t="s">
        <v>165</v>
      </c>
      <c r="F219" s="145" t="s">
        <v>263</v>
      </c>
      <c r="G219" s="44" t="str">
        <f t="shared" si="38"/>
        <v>Líderes de Cada Proceso</v>
      </c>
      <c r="H219" s="184"/>
      <c r="I219" s="184"/>
      <c r="J219" s="61"/>
      <c r="K219" s="61"/>
      <c r="L219" s="61"/>
      <c r="M219" s="61"/>
      <c r="N219" s="61"/>
      <c r="O219" s="61"/>
      <c r="P219" s="61"/>
      <c r="Q219" s="61"/>
      <c r="R219" s="61"/>
      <c r="S219" s="61"/>
      <c r="T219" s="61"/>
      <c r="U219" s="61"/>
      <c r="V219" s="142" t="s">
        <v>332</v>
      </c>
      <c r="W219" s="206"/>
      <c r="X219" s="137"/>
      <c r="Y219" s="80"/>
      <c r="Z219" s="72"/>
      <c r="AA219" s="142"/>
      <c r="AB219" s="70">
        <f t="shared" ca="1" si="37"/>
        <v>0</v>
      </c>
      <c r="AC219" s="70">
        <f t="shared" ca="1" si="39"/>
        <v>0</v>
      </c>
      <c r="AD219" s="233"/>
      <c r="AE219" s="234"/>
      <c r="AF219" s="234"/>
      <c r="AG219" s="235"/>
      <c r="AH219" s="236"/>
      <c r="AI219" s="235"/>
      <c r="AJ219" s="193" t="s">
        <v>242</v>
      </c>
    </row>
    <row r="220" spans="1:36" s="23" customFormat="1" ht="35.4" customHeight="1" x14ac:dyDescent="0.25">
      <c r="A220" s="142" t="s">
        <v>47</v>
      </c>
      <c r="B220" s="146" t="s">
        <v>309</v>
      </c>
      <c r="C220" s="142" t="s">
        <v>98</v>
      </c>
      <c r="D220" s="142" t="s">
        <v>98</v>
      </c>
      <c r="E220" s="142" t="s">
        <v>165</v>
      </c>
      <c r="F220" s="144" t="s">
        <v>263</v>
      </c>
      <c r="G220" s="44" t="str">
        <f t="shared" si="38"/>
        <v>Líderes de Cada Proceso</v>
      </c>
      <c r="H220" s="184"/>
      <c r="I220" s="184"/>
      <c r="J220" s="61"/>
      <c r="K220" s="61"/>
      <c r="L220" s="61"/>
      <c r="M220" s="61"/>
      <c r="N220" s="61"/>
      <c r="O220" s="61"/>
      <c r="P220" s="61"/>
      <c r="Q220" s="61"/>
      <c r="R220" s="61"/>
      <c r="S220" s="61"/>
      <c r="T220" s="61"/>
      <c r="U220" s="61"/>
      <c r="V220" s="142" t="s">
        <v>215</v>
      </c>
      <c r="W220" s="208"/>
      <c r="X220" s="137"/>
      <c r="Y220" s="72"/>
      <c r="Z220" s="72"/>
      <c r="AA220" s="142"/>
      <c r="AB220" s="70">
        <f t="shared" ca="1" si="37"/>
        <v>0</v>
      </c>
      <c r="AC220" s="70">
        <f t="shared" ca="1" si="39"/>
        <v>0</v>
      </c>
      <c r="AD220" s="233"/>
      <c r="AE220" s="234"/>
      <c r="AF220" s="234"/>
      <c r="AG220" s="235"/>
      <c r="AH220" s="236"/>
      <c r="AI220" s="235"/>
      <c r="AJ220" s="193" t="s">
        <v>242</v>
      </c>
    </row>
    <row r="221" spans="1:36" s="23" customFormat="1" ht="35.4" customHeight="1" x14ac:dyDescent="0.25">
      <c r="A221" s="142" t="s">
        <v>46</v>
      </c>
      <c r="B221" s="136" t="s">
        <v>392</v>
      </c>
      <c r="C221" s="142" t="s">
        <v>98</v>
      </c>
      <c r="D221" s="142" t="s">
        <v>98</v>
      </c>
      <c r="E221" s="142" t="s">
        <v>165</v>
      </c>
      <c r="F221" s="144" t="s">
        <v>240</v>
      </c>
      <c r="G221" s="44" t="str">
        <f t="shared" ref="G221:G222" si="40">IF(LEN(C221)&gt;0,VLOOKUP(C221,PROCESO2,3,0),"")</f>
        <v>Líderes de Cada Proceso</v>
      </c>
      <c r="H221" s="184">
        <v>44286</v>
      </c>
      <c r="I221" s="184">
        <v>44406</v>
      </c>
      <c r="J221" s="61"/>
      <c r="K221" s="61"/>
      <c r="L221" s="61"/>
      <c r="M221" s="61"/>
      <c r="N221" s="61"/>
      <c r="O221" s="61"/>
      <c r="P221" s="61"/>
      <c r="Q221" s="61"/>
      <c r="R221" s="61"/>
      <c r="S221" s="61"/>
      <c r="T221" s="61"/>
      <c r="U221" s="61"/>
      <c r="V221" s="140" t="s">
        <v>337</v>
      </c>
      <c r="W221" s="208">
        <v>0.02</v>
      </c>
      <c r="X221" s="207"/>
      <c r="Y221" s="72" t="s">
        <v>537</v>
      </c>
      <c r="Z221" s="72" t="s">
        <v>537</v>
      </c>
      <c r="AA221" s="142" t="s">
        <v>149</v>
      </c>
      <c r="AB221" s="152">
        <f t="shared" ref="AB221" ca="1" si="41">IF(ISERROR(VLOOKUP(AA221,INDIRECT(VLOOKUP(A221,ACTA,2,0)&amp;"A"),2,0))=TRUE,0,W221*(VLOOKUP(AA221,INDIRECT(VLOOKUP(A221,ACTA,2,0)&amp;"A"),2,0)))</f>
        <v>2E-3</v>
      </c>
      <c r="AC221" s="152">
        <f t="shared" ref="AC221" ca="1" si="42">+W221-AB221</f>
        <v>1.8000000000000002E-2</v>
      </c>
      <c r="AD221" s="233">
        <f t="shared" si="31"/>
        <v>7</v>
      </c>
      <c r="AE221" s="234">
        <f t="shared" si="32"/>
        <v>120</v>
      </c>
      <c r="AF221" s="234">
        <f t="shared" si="33"/>
        <v>0</v>
      </c>
      <c r="AG221" s="235">
        <f t="shared" si="34"/>
        <v>0</v>
      </c>
      <c r="AH221" s="236">
        <f t="shared" si="35"/>
        <v>0</v>
      </c>
      <c r="AI221" s="235">
        <f t="shared" ca="1" si="36"/>
        <v>2E-3</v>
      </c>
      <c r="AJ221" s="188" t="s">
        <v>408</v>
      </c>
    </row>
    <row r="222" spans="1:36" s="23" customFormat="1" ht="35.4" customHeight="1" x14ac:dyDescent="0.25">
      <c r="A222" s="142" t="s">
        <v>52</v>
      </c>
      <c r="B222" s="143" t="s">
        <v>390</v>
      </c>
      <c r="C222" s="142" t="s">
        <v>89</v>
      </c>
      <c r="D222" s="142" t="s">
        <v>96</v>
      </c>
      <c r="E222" s="142" t="s">
        <v>165</v>
      </c>
      <c r="F222" s="145" t="s">
        <v>159</v>
      </c>
      <c r="G222" s="44" t="str">
        <f t="shared" si="40"/>
        <v>Subdirector Financiero</v>
      </c>
      <c r="H222" s="184">
        <v>44257</v>
      </c>
      <c r="I222" s="184">
        <v>44295</v>
      </c>
      <c r="J222" s="61"/>
      <c r="K222" s="61"/>
      <c r="L222" s="61"/>
      <c r="M222" s="61"/>
      <c r="N222" s="61"/>
      <c r="O222" s="61"/>
      <c r="P222" s="61"/>
      <c r="Q222" s="61"/>
      <c r="R222" s="61"/>
      <c r="S222" s="61"/>
      <c r="T222" s="61"/>
      <c r="U222" s="61"/>
      <c r="V222" s="142" t="s">
        <v>334</v>
      </c>
      <c r="W222" s="206">
        <v>2.5000000000000001E-3</v>
      </c>
      <c r="X222" s="137"/>
      <c r="Y222" s="72" t="s">
        <v>518</v>
      </c>
      <c r="Z222" s="72" t="s">
        <v>519</v>
      </c>
      <c r="AA222" s="142" t="s">
        <v>166</v>
      </c>
      <c r="AB222" s="242">
        <f t="shared" ref="AB222:AB226" ca="1" si="43">IF(ISERROR(VLOOKUP(AA222,INDIRECT(VLOOKUP(A222,ACTA,2,0)&amp;"A"),2,0))=TRUE,0,W222*(VLOOKUP(AA222,INDIRECT(VLOOKUP(A222,ACTA,2,0)&amp;"A"),2,0)))</f>
        <v>1.3750000000000001E-3</v>
      </c>
      <c r="AC222" s="242">
        <f t="shared" ref="AC222:AC226" ca="1" si="44">+W222-AB222</f>
        <v>1.1249999999999999E-3</v>
      </c>
      <c r="AD222" s="233">
        <f t="shared" si="31"/>
        <v>4</v>
      </c>
      <c r="AE222" s="234">
        <f t="shared" si="32"/>
        <v>38</v>
      </c>
      <c r="AF222" s="234">
        <f t="shared" si="33"/>
        <v>29</v>
      </c>
      <c r="AG222" s="235">
        <f t="shared" si="34"/>
        <v>0.76315789473684215</v>
      </c>
      <c r="AH222" s="236">
        <f t="shared" si="35"/>
        <v>1.9078947368421054E-3</v>
      </c>
      <c r="AI222" s="235">
        <f t="shared" ca="1" si="36"/>
        <v>-5.3289473684210525E-4</v>
      </c>
      <c r="AJ222" s="190" t="s">
        <v>430</v>
      </c>
    </row>
    <row r="223" spans="1:36" s="23" customFormat="1" ht="35.4" customHeight="1" x14ac:dyDescent="0.25">
      <c r="A223" s="142" t="s">
        <v>52</v>
      </c>
      <c r="B223" s="143" t="s">
        <v>391</v>
      </c>
      <c r="C223" s="142" t="s">
        <v>87</v>
      </c>
      <c r="D223" s="142" t="s">
        <v>96</v>
      </c>
      <c r="E223" s="142" t="s">
        <v>165</v>
      </c>
      <c r="F223" s="145" t="s">
        <v>159</v>
      </c>
      <c r="G223" s="44" t="str">
        <f t="shared" ref="G223:G226" si="45">IF(LEN(C223)&gt;0,VLOOKUP(C223,PROCESO2,3,0),"")</f>
        <v>Subdirector Administrativo</v>
      </c>
      <c r="H223" s="184">
        <v>44257</v>
      </c>
      <c r="I223" s="184">
        <v>44281</v>
      </c>
      <c r="J223" s="61"/>
      <c r="K223" s="61"/>
      <c r="L223" s="61"/>
      <c r="M223" s="61"/>
      <c r="N223" s="61"/>
      <c r="O223" s="61"/>
      <c r="P223" s="61"/>
      <c r="Q223" s="61"/>
      <c r="R223" s="61"/>
      <c r="S223" s="61"/>
      <c r="T223" s="61"/>
      <c r="U223" s="61"/>
      <c r="V223" s="142" t="s">
        <v>334</v>
      </c>
      <c r="W223" s="206">
        <v>2.5000000000000001E-3</v>
      </c>
      <c r="X223" s="137"/>
      <c r="Y223" s="72" t="s">
        <v>496</v>
      </c>
      <c r="Z223" s="72" t="s">
        <v>496</v>
      </c>
      <c r="AA223" s="142"/>
      <c r="AB223" s="240">
        <f t="shared" ref="AB223:AB225" ca="1" si="46">IF(ISERROR(VLOOKUP(AA223,INDIRECT(VLOOKUP(A223,ACTA,2,0)&amp;"A"),2,0))=TRUE,0,W223*(VLOOKUP(AA223,INDIRECT(VLOOKUP(A223,ACTA,2,0)&amp;"A"),2,0)))</f>
        <v>0</v>
      </c>
      <c r="AC223" s="239">
        <f t="shared" ref="AC223:AC225" ca="1" si="47">+W223-AB223</f>
        <v>2.5000000000000001E-3</v>
      </c>
      <c r="AD223" s="233">
        <f t="shared" si="31"/>
        <v>3</v>
      </c>
      <c r="AE223" s="234">
        <f t="shared" si="32"/>
        <v>24</v>
      </c>
      <c r="AF223" s="234">
        <f t="shared" si="33"/>
        <v>29</v>
      </c>
      <c r="AG223" s="235">
        <f t="shared" si="34"/>
        <v>1.2083333333333333</v>
      </c>
      <c r="AH223" s="236">
        <f t="shared" si="35"/>
        <v>3.0208333333333333E-3</v>
      </c>
      <c r="AI223" s="235">
        <f t="shared" ca="1" si="36"/>
        <v>-3.0208333333333333E-3</v>
      </c>
      <c r="AJ223" s="232" t="s">
        <v>508</v>
      </c>
    </row>
    <row r="224" spans="1:36" s="23" customFormat="1" ht="35.4" customHeight="1" x14ac:dyDescent="0.25">
      <c r="A224" s="142" t="s">
        <v>43</v>
      </c>
      <c r="B224" s="143" t="s">
        <v>305</v>
      </c>
      <c r="C224" s="142" t="s">
        <v>90</v>
      </c>
      <c r="D224" s="142" t="s">
        <v>97</v>
      </c>
      <c r="E224" s="142" t="s">
        <v>165</v>
      </c>
      <c r="F224" s="145" t="s">
        <v>239</v>
      </c>
      <c r="G224" s="44" t="str">
        <f t="shared" si="45"/>
        <v>Asesor de Control Interno</v>
      </c>
      <c r="H224" s="184"/>
      <c r="I224" s="184"/>
      <c r="J224" s="61"/>
      <c r="K224" s="61"/>
      <c r="L224" s="61"/>
      <c r="M224" s="61"/>
      <c r="N224" s="61"/>
      <c r="O224" s="61"/>
      <c r="P224" s="61"/>
      <c r="Q224" s="61"/>
      <c r="R224" s="61"/>
      <c r="S224" s="61"/>
      <c r="T224" s="61"/>
      <c r="U224" s="61"/>
      <c r="V224" s="142" t="s">
        <v>334</v>
      </c>
      <c r="W224" s="206"/>
      <c r="X224" s="137"/>
      <c r="Y224" s="80"/>
      <c r="Z224" s="72"/>
      <c r="AA224" s="142"/>
      <c r="AB224" s="70">
        <f t="shared" ca="1" si="46"/>
        <v>0</v>
      </c>
      <c r="AC224" s="70">
        <f t="shared" ca="1" si="47"/>
        <v>0</v>
      </c>
      <c r="AD224" s="233"/>
      <c r="AE224" s="234"/>
      <c r="AF224" s="234"/>
      <c r="AG224" s="235"/>
      <c r="AH224" s="236"/>
      <c r="AI224" s="235"/>
      <c r="AJ224" s="193" t="s">
        <v>242</v>
      </c>
    </row>
    <row r="225" spans="1:36" s="23" customFormat="1" ht="35.4" customHeight="1" x14ac:dyDescent="0.25">
      <c r="A225" s="142" t="s">
        <v>45</v>
      </c>
      <c r="B225" s="143" t="s">
        <v>434</v>
      </c>
      <c r="C225" s="142" t="s">
        <v>90</v>
      </c>
      <c r="D225" s="142" t="s">
        <v>97</v>
      </c>
      <c r="E225" s="142" t="s">
        <v>165</v>
      </c>
      <c r="F225" s="144" t="s">
        <v>203</v>
      </c>
      <c r="G225" s="44" t="str">
        <f t="shared" ref="G225" si="48">IF(LEN(C225)&gt;0,VLOOKUP(C225,PROCESO2,3,0),"")</f>
        <v>Asesor de Control Interno</v>
      </c>
      <c r="H225" s="184">
        <v>44410</v>
      </c>
      <c r="I225" s="184">
        <v>44428</v>
      </c>
      <c r="J225" s="61"/>
      <c r="K225" s="61"/>
      <c r="L225" s="61"/>
      <c r="M225" s="61"/>
      <c r="N225" s="61"/>
      <c r="O225" s="61"/>
      <c r="P225" s="61"/>
      <c r="Q225" s="61"/>
      <c r="R225" s="61"/>
      <c r="S225" s="61"/>
      <c r="T225" s="61"/>
      <c r="U225" s="61"/>
      <c r="V225" s="142" t="s">
        <v>332</v>
      </c>
      <c r="W225" s="206">
        <v>1E-3</v>
      </c>
      <c r="X225" s="137"/>
      <c r="Y225" s="80"/>
      <c r="Z225" s="72"/>
      <c r="AA225" s="142"/>
      <c r="AB225" s="70">
        <f t="shared" ca="1" si="46"/>
        <v>0</v>
      </c>
      <c r="AC225" s="70">
        <f t="shared" ca="1" si="47"/>
        <v>1E-3</v>
      </c>
      <c r="AD225" s="233">
        <f t="shared" si="31"/>
        <v>8</v>
      </c>
      <c r="AE225" s="234">
        <f t="shared" si="32"/>
        <v>18</v>
      </c>
      <c r="AF225" s="234">
        <f t="shared" si="33"/>
        <v>-124</v>
      </c>
      <c r="AG225" s="235">
        <f t="shared" si="34"/>
        <v>-6.8888888888888893</v>
      </c>
      <c r="AH225" s="236">
        <f t="shared" si="35"/>
        <v>-6.8888888888888897E-3</v>
      </c>
      <c r="AI225" s="235">
        <f t="shared" ca="1" si="36"/>
        <v>6.8888888888888897E-3</v>
      </c>
      <c r="AJ225" s="237"/>
    </row>
    <row r="226" spans="1:36" s="23" customFormat="1" ht="35.4" customHeight="1" x14ac:dyDescent="0.25">
      <c r="A226" s="142" t="s">
        <v>45</v>
      </c>
      <c r="B226" s="143" t="s">
        <v>433</v>
      </c>
      <c r="C226" s="142" t="s">
        <v>90</v>
      </c>
      <c r="D226" s="142" t="s">
        <v>97</v>
      </c>
      <c r="E226" s="142" t="s">
        <v>165</v>
      </c>
      <c r="F226" s="144" t="s">
        <v>203</v>
      </c>
      <c r="G226" s="44" t="str">
        <f t="shared" si="45"/>
        <v>Asesor de Control Interno</v>
      </c>
      <c r="H226" s="184">
        <v>44533</v>
      </c>
      <c r="I226" s="184">
        <v>44545</v>
      </c>
      <c r="J226" s="61"/>
      <c r="K226" s="61"/>
      <c r="L226" s="61"/>
      <c r="M226" s="61"/>
      <c r="N226" s="61"/>
      <c r="O226" s="61"/>
      <c r="P226" s="61"/>
      <c r="Q226" s="61"/>
      <c r="R226" s="61"/>
      <c r="S226" s="61"/>
      <c r="T226" s="61"/>
      <c r="U226" s="61"/>
      <c r="V226" s="142" t="s">
        <v>332</v>
      </c>
      <c r="W226" s="206">
        <v>1E-3</v>
      </c>
      <c r="X226" s="137"/>
      <c r="Y226" s="80"/>
      <c r="Z226" s="72"/>
      <c r="AA226" s="142"/>
      <c r="AB226" s="70">
        <f t="shared" ca="1" si="43"/>
        <v>0</v>
      </c>
      <c r="AC226" s="70">
        <f t="shared" ca="1" si="44"/>
        <v>1E-3</v>
      </c>
      <c r="AD226" s="233">
        <f t="shared" si="31"/>
        <v>12</v>
      </c>
      <c r="AE226" s="234">
        <f t="shared" si="32"/>
        <v>12</v>
      </c>
      <c r="AF226" s="234">
        <f t="shared" si="33"/>
        <v>-247</v>
      </c>
      <c r="AG226" s="235">
        <f t="shared" si="34"/>
        <v>-20.583333333333332</v>
      </c>
      <c r="AH226" s="236">
        <f t="shared" si="35"/>
        <v>-2.0583333333333332E-2</v>
      </c>
      <c r="AI226" s="235">
        <f t="shared" ca="1" si="36"/>
        <v>2.0583333333333332E-2</v>
      </c>
      <c r="AJ226" s="237"/>
    </row>
    <row r="227" spans="1:36" ht="15.6" x14ac:dyDescent="0.25">
      <c r="B227" s="71"/>
      <c r="I227" s="82"/>
      <c r="W227" s="209">
        <f>SUBTOTAL(9,W19:W226)</f>
        <v>0.99999999999999967</v>
      </c>
      <c r="X227" s="82"/>
      <c r="Y227" s="52"/>
      <c r="Z227" s="52"/>
      <c r="AB227" s="209">
        <f ca="1">SUBTOTAL(9,AB19:AB226)</f>
        <v>0.3257485294117648</v>
      </c>
      <c r="AC227" s="110">
        <f ca="1">SUBTOTAL(9,AC19:AC226)</f>
        <v>0.67425147058823531</v>
      </c>
      <c r="AD227" s="111"/>
      <c r="AE227" s="63"/>
      <c r="AF227" s="22"/>
      <c r="AG227" s="74"/>
      <c r="AH227" s="110">
        <f>SUBTOTAL(9,AH19:AH226)</f>
        <v>-3.0370803709784915</v>
      </c>
    </row>
    <row r="228" spans="1:36" x14ac:dyDescent="0.25">
      <c r="A228" s="181" t="s">
        <v>383</v>
      </c>
      <c r="B228" s="71"/>
      <c r="AD228" s="1"/>
    </row>
    <row r="229" spans="1:36" ht="27" customHeight="1" x14ac:dyDescent="0.25">
      <c r="A229" s="182" t="s">
        <v>125</v>
      </c>
      <c r="B229" s="181" t="s">
        <v>384</v>
      </c>
      <c r="I229" s="82"/>
      <c r="W229" s="82"/>
      <c r="X229" s="82"/>
      <c r="Y229" s="52"/>
      <c r="Z229" s="52"/>
      <c r="AB229" s="75"/>
      <c r="AC229" s="113"/>
      <c r="AD229" s="115"/>
      <c r="AE229" s="114"/>
      <c r="AF229" s="114"/>
      <c r="AG229" s="75"/>
      <c r="AH229" s="75"/>
      <c r="AI229" s="75"/>
      <c r="AJ229" s="51"/>
    </row>
    <row r="230" spans="1:36" ht="23.25" customHeight="1" x14ac:dyDescent="0.25">
      <c r="A230" s="182" t="s">
        <v>18</v>
      </c>
      <c r="B230" s="192" t="s">
        <v>432</v>
      </c>
      <c r="W230" s="120"/>
      <c r="X230" s="120"/>
      <c r="Y230" s="150"/>
      <c r="Z230" s="151"/>
      <c r="AA230" s="151"/>
      <c r="AB230" s="75"/>
      <c r="AC230" s="151"/>
      <c r="AD230" s="112"/>
      <c r="AF230" s="34"/>
      <c r="AG230" s="34"/>
      <c r="AH230" s="75"/>
      <c r="AI230" s="34"/>
    </row>
    <row r="231" spans="1:36" ht="23.25" customHeight="1" x14ac:dyDescent="0.25">
      <c r="A231" s="24" t="s">
        <v>148</v>
      </c>
      <c r="B231" s="121"/>
      <c r="C231" s="121"/>
      <c r="D231" s="121"/>
      <c r="E231" s="121"/>
      <c r="F231" s="121"/>
      <c r="G231" s="121"/>
      <c r="W231" s="120"/>
      <c r="X231" s="120"/>
      <c r="Y231" s="150"/>
      <c r="Z231" s="151"/>
      <c r="AA231" s="151"/>
      <c r="AB231" s="153"/>
      <c r="AC231" s="151"/>
      <c r="AH231" s="153"/>
      <c r="AI231" s="76"/>
    </row>
    <row r="232" spans="1:36" x14ac:dyDescent="0.25">
      <c r="B232" s="53"/>
      <c r="E232" s="97"/>
      <c r="F232" s="119"/>
      <c r="W232" s="77"/>
      <c r="X232" s="77"/>
      <c r="Y232" s="210" t="s">
        <v>538</v>
      </c>
      <c r="Z232" s="156"/>
      <c r="AA232" s="156"/>
      <c r="AB232" s="156"/>
      <c r="AC232" s="156"/>
      <c r="AD232" s="157"/>
      <c r="AE232" s="157"/>
      <c r="AF232" s="157"/>
    </row>
    <row r="233" spans="1:36" x14ac:dyDescent="0.25">
      <c r="E233" s="97"/>
      <c r="F233" s="119"/>
      <c r="W233" s="77"/>
      <c r="X233" s="77"/>
      <c r="Y233" s="210" t="s">
        <v>539</v>
      </c>
      <c r="Z233" s="156"/>
      <c r="AA233" s="156"/>
      <c r="AB233" s="156"/>
      <c r="AC233" s="156"/>
      <c r="AD233" s="157"/>
      <c r="AE233" s="157"/>
      <c r="AF233" s="157"/>
    </row>
    <row r="234" spans="1:36" x14ac:dyDescent="0.25">
      <c r="E234" s="97"/>
      <c r="F234" s="118"/>
      <c r="G234" s="116"/>
      <c r="H234" s="116"/>
      <c r="I234" s="116"/>
      <c r="J234" s="116"/>
      <c r="K234" s="116"/>
      <c r="L234" s="116"/>
      <c r="M234" s="116"/>
      <c r="N234" s="116"/>
      <c r="O234" s="116"/>
      <c r="P234" s="116"/>
      <c r="Q234" s="116"/>
      <c r="R234" s="116"/>
      <c r="S234" s="116"/>
      <c r="T234" s="116"/>
      <c r="U234" s="116"/>
      <c r="V234" s="116"/>
      <c r="W234" s="116"/>
      <c r="X234" s="116"/>
      <c r="Y234" s="158" t="s">
        <v>540</v>
      </c>
      <c r="Z234" s="158"/>
      <c r="AA234" s="158"/>
      <c r="AB234" s="158"/>
      <c r="AC234" s="158"/>
      <c r="AD234" s="158"/>
      <c r="AE234" s="157"/>
      <c r="AF234" s="157"/>
    </row>
    <row r="235" spans="1:36" x14ac:dyDescent="0.25">
      <c r="Y235" s="159" t="s">
        <v>541</v>
      </c>
      <c r="Z235" s="159"/>
      <c r="AA235" s="159"/>
      <c r="AB235" s="159"/>
      <c r="AC235" s="159"/>
      <c r="AD235" s="160"/>
      <c r="AE235" s="157"/>
      <c r="AF235" s="157"/>
      <c r="AG235" s="23"/>
      <c r="AH235" s="23"/>
      <c r="AI235" s="23"/>
      <c r="AJ235" s="101"/>
    </row>
    <row r="236" spans="1:36" x14ac:dyDescent="0.25">
      <c r="Y236" s="161" t="s">
        <v>542</v>
      </c>
      <c r="Z236" s="161"/>
      <c r="AA236" s="161"/>
      <c r="AB236" s="161"/>
      <c r="AC236" s="161"/>
      <c r="AD236" s="160"/>
      <c r="AE236" s="157"/>
      <c r="AF236" s="157"/>
      <c r="AG236" s="102"/>
      <c r="AH236" s="23"/>
      <c r="AI236" s="23"/>
      <c r="AJ236" s="101"/>
    </row>
    <row r="237" spans="1:36" x14ac:dyDescent="0.25">
      <c r="Y237" s="210" t="s">
        <v>543</v>
      </c>
      <c r="Z237" s="156"/>
      <c r="AA237" s="156"/>
      <c r="AB237" s="156"/>
      <c r="AC237" s="156"/>
      <c r="AD237" s="157"/>
      <c r="AE237" s="162"/>
      <c r="AF237" s="312" t="s">
        <v>549</v>
      </c>
      <c r="AG237" s="102"/>
      <c r="AH237" s="23"/>
      <c r="AI237" s="23"/>
      <c r="AJ237" s="101"/>
    </row>
    <row r="238" spans="1:36" x14ac:dyDescent="0.25">
      <c r="Y238" s="249" t="s">
        <v>544</v>
      </c>
      <c r="Z238" s="249"/>
      <c r="AA238" s="249"/>
      <c r="AB238" s="249"/>
      <c r="AC238" s="249"/>
      <c r="AD238" s="250"/>
      <c r="AE238" s="162"/>
      <c r="AF238" s="164">
        <v>0.30775000000000002</v>
      </c>
      <c r="AG238" s="102"/>
      <c r="AH238" s="23"/>
      <c r="AI238" s="23"/>
      <c r="AJ238" s="101"/>
    </row>
    <row r="239" spans="1:36" x14ac:dyDescent="0.25">
      <c r="Y239" s="249"/>
      <c r="Z239" s="249"/>
      <c r="AA239" s="249"/>
      <c r="AB239" s="249"/>
      <c r="AC239" s="249"/>
      <c r="AD239" s="250"/>
      <c r="AE239" s="162"/>
      <c r="AF239" s="165"/>
      <c r="AG239" s="102"/>
      <c r="AH239" s="23"/>
      <c r="AI239" s="23"/>
      <c r="AJ239" s="101"/>
    </row>
    <row r="240" spans="1:36" x14ac:dyDescent="0.25">
      <c r="Y240" s="251" t="s">
        <v>545</v>
      </c>
      <c r="Z240" s="251"/>
      <c r="AA240" s="251"/>
      <c r="AB240" s="251"/>
      <c r="AC240" s="251"/>
      <c r="AD240" s="250"/>
      <c r="AE240" s="157"/>
      <c r="AF240" s="166">
        <v>2.7869999999999999E-2</v>
      </c>
      <c r="AG240" s="23"/>
      <c r="AH240" s="23"/>
      <c r="AI240" s="23"/>
      <c r="AJ240" s="101"/>
    </row>
    <row r="241" spans="8:36" x14ac:dyDescent="0.25">
      <c r="Y241" s="251"/>
      <c r="Z241" s="251"/>
      <c r="AA241" s="251"/>
      <c r="AB241" s="251"/>
      <c r="AC241" s="251"/>
      <c r="AD241" s="250"/>
      <c r="AE241" s="103"/>
      <c r="AF241" s="167">
        <f>SUM(AF238:AF240)</f>
        <v>0.33562000000000003</v>
      </c>
      <c r="AG241" s="23"/>
      <c r="AH241" s="23"/>
      <c r="AI241" s="23"/>
      <c r="AJ241" s="101"/>
    </row>
    <row r="242" spans="8:36" x14ac:dyDescent="0.25">
      <c r="Y242" s="251"/>
      <c r="Z242" s="251"/>
      <c r="AA242" s="251"/>
      <c r="AB242" s="251"/>
      <c r="AC242" s="251"/>
      <c r="AD242" s="250"/>
      <c r="AE242" s="103"/>
      <c r="AF242" s="105"/>
      <c r="AG242" s="23"/>
      <c r="AH242" s="23"/>
      <c r="AI242" s="23"/>
      <c r="AJ242" s="101"/>
    </row>
    <row r="243" spans="8:36" x14ac:dyDescent="0.25">
      <c r="Y243" s="251"/>
      <c r="Z243" s="251"/>
      <c r="AA243" s="251"/>
      <c r="AB243" s="251"/>
      <c r="AC243" s="251"/>
      <c r="AD243" s="250"/>
      <c r="AE243" s="104"/>
      <c r="AF243" s="168"/>
      <c r="AG243" s="23"/>
      <c r="AH243" s="106"/>
      <c r="AI243" s="23"/>
      <c r="AJ243" s="101"/>
    </row>
    <row r="244" spans="8:36" x14ac:dyDescent="0.25">
      <c r="Y244" s="251"/>
      <c r="Z244" s="251"/>
      <c r="AA244" s="251"/>
      <c r="AB244" s="251"/>
      <c r="AC244" s="251"/>
      <c r="AD244" s="250"/>
      <c r="AE244" s="169"/>
      <c r="AF244" s="170"/>
      <c r="AG244" s="23"/>
      <c r="AH244" s="51"/>
      <c r="AI244" s="23"/>
      <c r="AJ244" s="101"/>
    </row>
    <row r="245" spans="8:36" ht="14.4" x14ac:dyDescent="0.3">
      <c r="Y245" s="252" t="s">
        <v>546</v>
      </c>
      <c r="Z245" s="252"/>
      <c r="AA245" s="252"/>
      <c r="AB245" s="252"/>
      <c r="AC245" s="252"/>
      <c r="AD245" s="252"/>
      <c r="AE245" s="171"/>
      <c r="AF245" s="163" t="s">
        <v>382</v>
      </c>
      <c r="AG245" s="23"/>
      <c r="AH245" s="23"/>
      <c r="AI245" s="23"/>
      <c r="AJ245" s="101"/>
    </row>
    <row r="246" spans="8:36" x14ac:dyDescent="0.25">
      <c r="Y246" s="252"/>
      <c r="Z246" s="252"/>
      <c r="AA246" s="252"/>
      <c r="AB246" s="252"/>
      <c r="AC246" s="252"/>
      <c r="AD246" s="252"/>
      <c r="AE246" s="162"/>
      <c r="AF246" s="172">
        <v>0.27650000000000002</v>
      </c>
      <c r="AG246" s="23"/>
      <c r="AH246" s="106"/>
      <c r="AI246" s="23"/>
      <c r="AJ246" s="101"/>
    </row>
    <row r="247" spans="8:36" x14ac:dyDescent="0.25">
      <c r="Y247" s="211" t="s">
        <v>547</v>
      </c>
      <c r="Z247" s="173"/>
      <c r="AA247" s="173"/>
      <c r="AB247" s="173"/>
      <c r="AC247" s="173"/>
      <c r="AD247" s="157"/>
      <c r="AE247" s="170"/>
      <c r="AF247" s="174">
        <v>2.1399999999999999E-2</v>
      </c>
      <c r="AG247" s="23"/>
      <c r="AH247" s="102"/>
      <c r="AI247" s="23"/>
      <c r="AJ247" s="101"/>
    </row>
    <row r="248" spans="8:36" x14ac:dyDescent="0.25">
      <c r="Y248" s="211" t="s">
        <v>548</v>
      </c>
      <c r="Z248" s="175"/>
      <c r="AA248" s="175"/>
      <c r="AB248" s="175"/>
      <c r="AC248" s="175"/>
      <c r="AD248" s="157"/>
      <c r="AE248" s="157"/>
      <c r="AF248" s="176"/>
      <c r="AG248" s="23"/>
      <c r="AH248" s="23"/>
      <c r="AI248" s="23"/>
      <c r="AJ248" s="101"/>
    </row>
    <row r="249" spans="8:36" x14ac:dyDescent="0.25">
      <c r="Y249" s="175"/>
      <c r="Z249" s="175"/>
      <c r="AA249" s="175"/>
      <c r="AB249" s="175"/>
      <c r="AC249" s="175"/>
      <c r="AD249" s="157"/>
      <c r="AE249" s="107"/>
      <c r="AF249" s="177">
        <v>2.7799999999999998E-2</v>
      </c>
      <c r="AG249" s="23"/>
      <c r="AH249" s="23"/>
      <c r="AI249" s="23"/>
      <c r="AJ249" s="101"/>
    </row>
    <row r="250" spans="8:36" x14ac:dyDescent="0.25">
      <c r="Y250" s="211" t="s">
        <v>550</v>
      </c>
      <c r="Z250" s="173"/>
      <c r="AA250" s="173"/>
      <c r="AB250" s="173"/>
      <c r="AC250" s="173"/>
      <c r="AD250" s="157"/>
      <c r="AE250" s="108"/>
      <c r="AF250" s="178"/>
      <c r="AG250" s="23"/>
      <c r="AH250" s="23"/>
      <c r="AI250" s="23"/>
      <c r="AJ250" s="101"/>
    </row>
    <row r="251" spans="8:36" x14ac:dyDescent="0.25">
      <c r="Y251" s="173"/>
      <c r="Z251" s="175"/>
      <c r="AA251" s="175"/>
      <c r="AB251" s="175"/>
      <c r="AC251" s="175"/>
      <c r="AD251" s="157"/>
      <c r="AE251" s="104"/>
      <c r="AF251" s="167">
        <f>SUM(AF246:AF249)</f>
        <v>0.32569999999999999</v>
      </c>
      <c r="AG251" s="23"/>
      <c r="AH251" s="23"/>
      <c r="AI251" s="23"/>
      <c r="AJ251" s="101"/>
    </row>
    <row r="252" spans="8:36" ht="14.4" thickBot="1" x14ac:dyDescent="0.3">
      <c r="H252" s="191"/>
      <c r="I252" s="191"/>
      <c r="Y252" s="175"/>
      <c r="Z252" s="175"/>
      <c r="AA252" s="175"/>
      <c r="AB252" s="175"/>
      <c r="AC252" s="175"/>
      <c r="AD252" s="157"/>
      <c r="AE252" s="109"/>
      <c r="AF252" s="157"/>
      <c r="AG252" s="23"/>
      <c r="AH252" s="23"/>
      <c r="AI252" s="23"/>
      <c r="AJ252" s="101"/>
    </row>
    <row r="253" spans="8:36" x14ac:dyDescent="0.25">
      <c r="Y253" s="173"/>
      <c r="Z253" s="173"/>
      <c r="AA253" s="173"/>
      <c r="AB253" s="173"/>
      <c r="AC253" s="173"/>
      <c r="AD253" s="157"/>
      <c r="AE253" s="157"/>
      <c r="AF253" s="179" t="s">
        <v>220</v>
      </c>
      <c r="AG253" s="23"/>
      <c r="AH253" s="23"/>
      <c r="AI253" s="23"/>
      <c r="AJ253" s="101"/>
    </row>
    <row r="254" spans="8:36" ht="14.4" thickBot="1" x14ac:dyDescent="0.3">
      <c r="Y254" s="157"/>
      <c r="Z254" s="157"/>
      <c r="AA254" s="157"/>
      <c r="AB254" s="157"/>
      <c r="AC254" s="157"/>
      <c r="AD254" s="157"/>
      <c r="AE254" s="105"/>
      <c r="AF254" s="180">
        <f>AF251/AF241</f>
        <v>0.97044276264823304</v>
      </c>
      <c r="AG254" s="23"/>
      <c r="AH254" s="23"/>
      <c r="AI254" s="23"/>
      <c r="AJ254" s="101"/>
    </row>
    <row r="255" spans="8:36" x14ac:dyDescent="0.25">
      <c r="AD255" s="64"/>
      <c r="AE255" s="23"/>
      <c r="AF255" s="23"/>
      <c r="AG255" s="23"/>
      <c r="AH255" s="23"/>
      <c r="AI255" s="23"/>
      <c r="AJ255" s="101"/>
    </row>
    <row r="256" spans="8:36" x14ac:dyDescent="0.25">
      <c r="AD256" s="64"/>
      <c r="AE256" s="23"/>
      <c r="AF256" s="23"/>
      <c r="AG256" s="23"/>
      <c r="AH256" s="23"/>
      <c r="AI256" s="23"/>
      <c r="AJ256" s="101"/>
    </row>
    <row r="257" spans="25:36" ht="23.25" customHeight="1" x14ac:dyDescent="0.25">
      <c r="AD257" s="64"/>
      <c r="AE257" s="23"/>
      <c r="AF257" s="23"/>
      <c r="AG257" s="23"/>
      <c r="AH257" s="23"/>
      <c r="AI257" s="23"/>
      <c r="AJ257" s="101"/>
    </row>
    <row r="258" spans="25:36" ht="23.25" customHeight="1" x14ac:dyDescent="0.25">
      <c r="AD258" s="64"/>
      <c r="AE258" s="23"/>
      <c r="AF258" s="23"/>
      <c r="AG258" s="23"/>
      <c r="AH258" s="23"/>
      <c r="AI258" s="23"/>
      <c r="AJ258" s="101"/>
    </row>
    <row r="259" spans="25:36" x14ac:dyDescent="0.25">
      <c r="Y259" s="23"/>
      <c r="Z259" s="23"/>
      <c r="AA259" s="23"/>
      <c r="AB259" s="23"/>
      <c r="AC259" s="23"/>
      <c r="AD259" s="64"/>
      <c r="AE259" s="23"/>
      <c r="AF259" s="23"/>
      <c r="AG259" s="23"/>
      <c r="AH259" s="23"/>
      <c r="AI259" s="23"/>
      <c r="AJ259" s="101"/>
    </row>
    <row r="260" spans="25:36" x14ac:dyDescent="0.25">
      <c r="Y260" s="23"/>
      <c r="Z260" s="23"/>
      <c r="AA260" s="23"/>
      <c r="AB260" s="23"/>
      <c r="AC260" s="23"/>
      <c r="AD260" s="64"/>
      <c r="AE260" s="23"/>
      <c r="AF260" s="23"/>
      <c r="AG260" s="23"/>
      <c r="AH260" s="23"/>
      <c r="AI260" s="23"/>
      <c r="AJ260" s="101"/>
    </row>
    <row r="261" spans="25:36" x14ac:dyDescent="0.25">
      <c r="Y261" s="23"/>
      <c r="Z261" s="23"/>
      <c r="AA261" s="23"/>
      <c r="AB261" s="23"/>
      <c r="AC261" s="23"/>
      <c r="AD261" s="64"/>
      <c r="AE261" s="23"/>
      <c r="AF261" s="23"/>
      <c r="AG261" s="23"/>
      <c r="AH261" s="23"/>
      <c r="AI261" s="23"/>
      <c r="AJ261" s="101"/>
    </row>
    <row r="262" spans="25:36" x14ac:dyDescent="0.25">
      <c r="Y262" s="23"/>
      <c r="Z262" s="23"/>
      <c r="AA262" s="23"/>
      <c r="AB262" s="23"/>
      <c r="AC262" s="23"/>
      <c r="AD262" s="64"/>
      <c r="AE262" s="23"/>
      <c r="AF262" s="23"/>
      <c r="AG262" s="23"/>
      <c r="AH262" s="23"/>
      <c r="AI262" s="23"/>
      <c r="AJ262" s="101"/>
    </row>
    <row r="263" spans="25:36" x14ac:dyDescent="0.25">
      <c r="Y263" s="23"/>
      <c r="Z263" s="23"/>
      <c r="AA263" s="23"/>
      <c r="AB263" s="23"/>
      <c r="AC263" s="23"/>
      <c r="AD263" s="64"/>
      <c r="AE263" s="23"/>
      <c r="AF263" s="23"/>
      <c r="AG263" s="23"/>
      <c r="AH263" s="23"/>
      <c r="AI263" s="23"/>
      <c r="AJ263" s="101"/>
    </row>
    <row r="264" spans="25:36" x14ac:dyDescent="0.25">
      <c r="Y264" s="23"/>
      <c r="Z264" s="23"/>
      <c r="AA264" s="23"/>
      <c r="AB264" s="23"/>
      <c r="AC264" s="23"/>
      <c r="AD264" s="64"/>
      <c r="AE264" s="23"/>
      <c r="AF264" s="23"/>
      <c r="AG264" s="23"/>
      <c r="AH264" s="23"/>
      <c r="AI264" s="23"/>
      <c r="AJ264" s="101"/>
    </row>
    <row r="265" spans="25:36" x14ac:dyDescent="0.25">
      <c r="Y265" s="23"/>
      <c r="Z265" s="23"/>
      <c r="AA265" s="23"/>
      <c r="AB265" s="23"/>
      <c r="AC265" s="23"/>
      <c r="AD265" s="64"/>
      <c r="AE265" s="23"/>
      <c r="AF265" s="23"/>
      <c r="AG265" s="23"/>
      <c r="AH265" s="23"/>
      <c r="AI265" s="23"/>
      <c r="AJ265" s="101"/>
    </row>
    <row r="266" spans="25:36" x14ac:dyDescent="0.25">
      <c r="Y266" s="23"/>
      <c r="Z266" s="23"/>
      <c r="AA266" s="23"/>
      <c r="AB266" s="23"/>
      <c r="AC266" s="23"/>
      <c r="AD266" s="64"/>
      <c r="AE266" s="23"/>
      <c r="AF266" s="23"/>
      <c r="AG266" s="23"/>
      <c r="AH266" s="23"/>
      <c r="AI266" s="23"/>
      <c r="AJ266" s="101"/>
    </row>
    <row r="267" spans="25:36" x14ac:dyDescent="0.25">
      <c r="Y267" s="23"/>
      <c r="Z267" s="23"/>
      <c r="AA267" s="23"/>
      <c r="AB267" s="23"/>
      <c r="AC267" s="23"/>
      <c r="AD267" s="64"/>
      <c r="AE267" s="23"/>
      <c r="AF267" s="23"/>
      <c r="AG267" s="23"/>
      <c r="AH267" s="23"/>
      <c r="AI267" s="23"/>
      <c r="AJ267" s="101"/>
    </row>
    <row r="268" spans="25:36" x14ac:dyDescent="0.25">
      <c r="Y268" s="23"/>
      <c r="Z268" s="23"/>
      <c r="AA268" s="23"/>
      <c r="AB268" s="23"/>
      <c r="AC268" s="23"/>
      <c r="AD268" s="64"/>
      <c r="AE268" s="23"/>
      <c r="AF268" s="23"/>
      <c r="AG268" s="23"/>
      <c r="AH268" s="23"/>
      <c r="AI268" s="23"/>
      <c r="AJ268" s="101"/>
    </row>
    <row r="269" spans="25:36" x14ac:dyDescent="0.25">
      <c r="Y269" s="23"/>
      <c r="Z269" s="23"/>
      <c r="AA269" s="23"/>
      <c r="AB269" s="23"/>
      <c r="AC269" s="23"/>
      <c r="AD269" s="64"/>
      <c r="AE269" s="23"/>
      <c r="AF269" s="23"/>
      <c r="AG269" s="23"/>
      <c r="AH269" s="23"/>
      <c r="AI269" s="23"/>
      <c r="AJ269" s="101"/>
    </row>
    <row r="270" spans="25:36" x14ac:dyDescent="0.25">
      <c r="Y270" s="23"/>
      <c r="Z270" s="23"/>
      <c r="AA270" s="23"/>
      <c r="AB270" s="23"/>
      <c r="AC270" s="23"/>
      <c r="AD270" s="64"/>
      <c r="AE270" s="23"/>
      <c r="AF270" s="23"/>
      <c r="AG270" s="23"/>
      <c r="AH270" s="23"/>
      <c r="AI270" s="23"/>
      <c r="AJ270" s="101"/>
    </row>
    <row r="271" spans="25:36" x14ac:dyDescent="0.25">
      <c r="Y271" s="23"/>
      <c r="Z271" s="23"/>
      <c r="AA271" s="23"/>
      <c r="AB271" s="23"/>
      <c r="AC271" s="23"/>
      <c r="AD271" s="64"/>
      <c r="AE271" s="23"/>
      <c r="AF271" s="23"/>
      <c r="AG271" s="23"/>
      <c r="AH271" s="23"/>
      <c r="AI271" s="23"/>
      <c r="AJ271" s="101"/>
    </row>
    <row r="272" spans="25:36" x14ac:dyDescent="0.25">
      <c r="Y272" s="23"/>
      <c r="Z272" s="23"/>
      <c r="AA272" s="23"/>
      <c r="AB272" s="23"/>
      <c r="AC272" s="23"/>
      <c r="AD272" s="64"/>
      <c r="AE272" s="23"/>
      <c r="AF272" s="23"/>
      <c r="AG272" s="23"/>
      <c r="AH272" s="23"/>
      <c r="AI272" s="23"/>
      <c r="AJ272" s="101"/>
    </row>
    <row r="273" spans="25:36" x14ac:dyDescent="0.25">
      <c r="Y273" s="23"/>
      <c r="Z273" s="23"/>
      <c r="AA273" s="23"/>
      <c r="AB273" s="23"/>
      <c r="AC273" s="23"/>
      <c r="AD273" s="64"/>
      <c r="AE273" s="23"/>
      <c r="AF273" s="23"/>
      <c r="AG273" s="23"/>
      <c r="AH273" s="23"/>
      <c r="AI273" s="23"/>
      <c r="AJ273" s="101"/>
    </row>
    <row r="274" spans="25:36" x14ac:dyDescent="0.25">
      <c r="Y274" s="23"/>
      <c r="Z274" s="23"/>
      <c r="AA274" s="23"/>
      <c r="AB274" s="23"/>
      <c r="AC274" s="23"/>
      <c r="AD274" s="64"/>
      <c r="AE274" s="23"/>
      <c r="AF274" s="23"/>
      <c r="AG274" s="23"/>
      <c r="AH274" s="23"/>
      <c r="AI274" s="23"/>
      <c r="AJ274" s="101"/>
    </row>
    <row r="1047359" spans="24:24" x14ac:dyDescent="0.25">
      <c r="X1047359" s="45"/>
    </row>
  </sheetData>
  <autoFilter ref="A18:AJ251"/>
  <sortState ref="A19:AJ218">
    <sortCondition ref="H19:H218"/>
    <sortCondition ref="I19:I218"/>
    <sortCondition ref="B19:B218"/>
    <sortCondition ref="F19:F218"/>
  </sortState>
  <dataConsolidate/>
  <mergeCells count="46">
    <mergeCell ref="H17:I17"/>
    <mergeCell ref="J17:U17"/>
    <mergeCell ref="X17:Z17"/>
    <mergeCell ref="V14:W14"/>
    <mergeCell ref="V13:W13"/>
    <mergeCell ref="R13:U13"/>
    <mergeCell ref="X10:AB14"/>
    <mergeCell ref="R14:U14"/>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X9:AB9"/>
    <mergeCell ref="B14:E14"/>
    <mergeCell ref="B13:E13"/>
    <mergeCell ref="A10:E10"/>
    <mergeCell ref="H10:W12"/>
    <mergeCell ref="F12:G12"/>
    <mergeCell ref="F11:G11"/>
    <mergeCell ref="Y238:AD239"/>
    <mergeCell ref="Y240:AD244"/>
    <mergeCell ref="Y245:AD246"/>
    <mergeCell ref="A12:C12"/>
    <mergeCell ref="A11:C11"/>
    <mergeCell ref="M14:Q14"/>
    <mergeCell ref="D12:E12"/>
    <mergeCell ref="D11:E11"/>
    <mergeCell ref="A13:A14"/>
    <mergeCell ref="H14:I14"/>
    <mergeCell ref="H13:I13"/>
    <mergeCell ref="M13:Q13"/>
    <mergeCell ref="J14:L14"/>
    <mergeCell ref="J13:L13"/>
    <mergeCell ref="F14:G14"/>
    <mergeCell ref="F13:G13"/>
  </mergeCells>
  <conditionalFormatting sqref="J19:U19 J23:U77 J222:U222 J226:U226 J113:U219 K112:U112 J79:U111 K78:U78">
    <cfRule type="expression" dxfId="1517" priority="3748" stopIfTrue="1">
      <formula>IF(AND(J$16&gt;=$H19,J$15&lt;=$I19,VLOOKUP($F19,PROFA,2,0)=1),1,0)</formula>
    </cfRule>
    <cfRule type="expression" dxfId="1516" priority="3749" stopIfTrue="1">
      <formula>IF(AND(J$16&gt;=$H19,J$15&lt;=$I19,VLOOKUP($F19,PROFA,2,0)=2),1,0)</formula>
    </cfRule>
    <cfRule type="expression" dxfId="1515" priority="3750" stopIfTrue="1">
      <formula>IF(AND(J$16&gt;=$H19,J$15&lt;=$I19,VLOOKUP($F19,PROFA,2,0)=3),1,0)</formula>
    </cfRule>
    <cfRule type="expression" dxfId="1514" priority="3751" stopIfTrue="1">
      <formula>IF(AND(J$16&gt;=$H19,J$15&lt;=$I19,VLOOKUP($F19,PROFA,2,0)=4),1,0)</formula>
    </cfRule>
    <cfRule type="expression" dxfId="1513" priority="3752" stopIfTrue="1">
      <formula>IF(AND(J$16&gt;=$H19,J$15&lt;=$I19,VLOOKUP($F19,PROFA,2,0)=5),1,0)</formula>
    </cfRule>
    <cfRule type="expression" dxfId="1512" priority="3753" stopIfTrue="1">
      <formula>IF(AND(J$16&gt;=$H19,J$15&lt;=$I19,VLOOKUP($F19,PROFA,2,0)=6),1,0)</formula>
    </cfRule>
    <cfRule type="expression" dxfId="1511" priority="3755" stopIfTrue="1">
      <formula>IF(AND(J$16&gt;=$H19,J$15&lt;=$I19,VLOOKUP($F19,PROFA,2,0)=7),1,0)</formula>
    </cfRule>
    <cfRule type="expression" dxfId="1510" priority="3756" stopIfTrue="1">
      <formula>IF(AND(J$16&gt;=$H19,J$15&lt;=$I19,VLOOKUP($F19,PROFA,2,0)=8),1,0)</formula>
    </cfRule>
  </conditionalFormatting>
  <conditionalFormatting sqref="J20:U21">
    <cfRule type="expression" dxfId="1509" priority="3615" stopIfTrue="1">
      <formula>IF(AND(J$16&gt;=$H20,J$15&lt;=$I20,VLOOKUP($F20,PROFA,2,0)=1),1,0)</formula>
    </cfRule>
    <cfRule type="expression" dxfId="1508" priority="3616" stopIfTrue="1">
      <formula>IF(AND(J$16&gt;=$H20,J$15&lt;=$I20,VLOOKUP($F20,PROFA,2,0)=2),1,0)</formula>
    </cfRule>
    <cfRule type="expression" dxfId="1507" priority="3617" stopIfTrue="1">
      <formula>IF(AND(J$16&gt;=$H20,J$15&lt;=$I20,VLOOKUP($F20,PROFA,2,0)=3),1,0)</formula>
    </cfRule>
    <cfRule type="expression" dxfId="1506" priority="3618" stopIfTrue="1">
      <formula>IF(AND(J$16&gt;=$H20,J$15&lt;=$I20,VLOOKUP($F20,PROFA,2,0)=4),1,0)</formula>
    </cfRule>
    <cfRule type="expression" dxfId="1505" priority="3619" stopIfTrue="1">
      <formula>IF(AND(J$16&gt;=$H20,J$15&lt;=$I20,VLOOKUP($F20,PROFA,2,0)=5),1,0)</formula>
    </cfRule>
    <cfRule type="expression" dxfId="1504" priority="3620" stopIfTrue="1">
      <formula>IF(AND(J$16&gt;=$H20,J$15&lt;=$I20,VLOOKUP($F20,PROFA,2,0)=6),1,0)</formula>
    </cfRule>
    <cfRule type="expression" dxfId="1503" priority="3621" stopIfTrue="1">
      <formula>IF(AND(J$16&gt;=$H20,J$15&lt;=$I20,VLOOKUP($F20,PROFA,2,0)=7),1,0)</formula>
    </cfRule>
    <cfRule type="expression" dxfId="1502" priority="3622" stopIfTrue="1">
      <formula>IF(AND(J$16&gt;=$H20,J$15&lt;=$I20,VLOOKUP($F20,PROFA,2,0)=8),1,0)</formula>
    </cfRule>
  </conditionalFormatting>
  <conditionalFormatting sqref="J22:N22 R22:U22">
    <cfRule type="expression" dxfId="1501" priority="2374" stopIfTrue="1">
      <formula>IF(AND(J$16&gt;=$H22,J$15&lt;=$I22,VLOOKUP($F22,PROFA,2,0)=1),1,0)</formula>
    </cfRule>
    <cfRule type="expression" dxfId="1500" priority="2375" stopIfTrue="1">
      <formula>IF(AND(J$16&gt;=$H22,J$15&lt;=$I22,VLOOKUP($F22,PROFA,2,0)=2),1,0)</formula>
    </cfRule>
    <cfRule type="expression" dxfId="1499" priority="2376" stopIfTrue="1">
      <formula>IF(AND(J$16&gt;=$H22,J$15&lt;=$I22,VLOOKUP($F22,PROFA,2,0)=3),1,0)</formula>
    </cfRule>
    <cfRule type="expression" dxfId="1498" priority="2377" stopIfTrue="1">
      <formula>IF(AND(J$16&gt;=$H22,J$15&lt;=$I22,VLOOKUP($F22,PROFA,2,0)=4),1,0)</formula>
    </cfRule>
    <cfRule type="expression" dxfId="1497" priority="2378" stopIfTrue="1">
      <formula>IF(AND(J$16&gt;=$H22,J$15&lt;=$I22,VLOOKUP($F22,PROFA,2,0)=5),1,0)</formula>
    </cfRule>
    <cfRule type="expression" dxfId="1496" priority="2379" stopIfTrue="1">
      <formula>IF(AND(J$16&gt;=$H22,J$15&lt;=$I22,VLOOKUP($F22,PROFA,2,0)=6),1,0)</formula>
    </cfRule>
    <cfRule type="expression" dxfId="1495" priority="2380" stopIfTrue="1">
      <formula>IF(AND(J$16&gt;=$H22,J$15&lt;=$I22,VLOOKUP($F22,PROFA,2,0)=7),1,0)</formula>
    </cfRule>
    <cfRule type="expression" dxfId="1494" priority="2381" stopIfTrue="1">
      <formula>IF(AND(J$16&gt;=$H22,J$15&lt;=$I22,VLOOKUP($F22,PROFA,2,0)=8),1,0)</formula>
    </cfRule>
  </conditionalFormatting>
  <conditionalFormatting sqref="O22:Q22">
    <cfRule type="expression" dxfId="1493" priority="2358" stopIfTrue="1">
      <formula>IF(AND(O$16&gt;=$H22,O$15&lt;=$I22,VLOOKUP($F22,PROFA,2,0)=1),1,0)</formula>
    </cfRule>
    <cfRule type="expression" dxfId="1492" priority="2359" stopIfTrue="1">
      <formula>IF(AND(O$16&gt;=$H22,O$15&lt;=$I22,VLOOKUP($F22,PROFA,2,0)=2),1,0)</formula>
    </cfRule>
    <cfRule type="expression" dxfId="1491" priority="2360" stopIfTrue="1">
      <formula>IF(AND(O$16&gt;=$H22,O$15&lt;=$I22,VLOOKUP($F22,PROFA,2,0)=3),1,0)</formula>
    </cfRule>
    <cfRule type="expression" dxfId="1490" priority="2361" stopIfTrue="1">
      <formula>IF(AND(O$16&gt;=$H22,O$15&lt;=$I22,VLOOKUP($F22,PROFA,2,0)=4),1,0)</formula>
    </cfRule>
    <cfRule type="expression" dxfId="1489" priority="2362" stopIfTrue="1">
      <formula>IF(AND(O$16&gt;=$H22,O$15&lt;=$I22,VLOOKUP($F22,PROFA,2,0)=5),1,0)</formula>
    </cfRule>
    <cfRule type="expression" dxfId="1488" priority="2363" stopIfTrue="1">
      <formula>IF(AND(O$16&gt;=$H22,O$15&lt;=$I22,VLOOKUP($F22,PROFA,2,0)=6),1,0)</formula>
    </cfRule>
    <cfRule type="expression" dxfId="1487" priority="2364" stopIfTrue="1">
      <formula>IF(AND(O$16&gt;=$H22,O$15&lt;=$I22,VLOOKUP($F22,PROFA,2,0)=7),1,0)</formula>
    </cfRule>
    <cfRule type="expression" dxfId="1486" priority="2365" stopIfTrue="1">
      <formula>IF(AND(O$16&gt;=$H22,O$15&lt;=$I22,VLOOKUP($F22,PROFA,2,0)=8),1,0)</formula>
    </cfRule>
  </conditionalFormatting>
  <conditionalFormatting sqref="F90">
    <cfRule type="expression" dxfId="1485" priority="2198">
      <formula>IF(VLOOKUP($F90,PROFA,2,0)=1,1,0)</formula>
    </cfRule>
    <cfRule type="expression" dxfId="1484" priority="2199">
      <formula>IF(VLOOKUP($F90,PROFA,2,0)=2,1,0)</formula>
    </cfRule>
    <cfRule type="expression" dxfId="1483" priority="2200">
      <formula>IF(VLOOKUP($F90,PROFA,2,0)=3,1,0)</formula>
    </cfRule>
    <cfRule type="expression" dxfId="1482" priority="2201">
      <formula>IF(VLOOKUP($F90,PROFA,2,0)=4,1,0)</formula>
    </cfRule>
    <cfRule type="expression" dxfId="1481" priority="2202">
      <formula>IF(VLOOKUP($F90,PROFA,2,0)=5,1,0)</formula>
    </cfRule>
    <cfRule type="expression" dxfId="1480" priority="2203">
      <formula>IF(VLOOKUP($F90,PROFA,2,0)=6,1,0)</formula>
    </cfRule>
    <cfRule type="expression" dxfId="1479" priority="2204">
      <formula>IF(VLOOKUP($F90,PROFA,2,0)=7,1,0)</formula>
    </cfRule>
    <cfRule type="expression" dxfId="1478" priority="2205">
      <formula>IF(VLOOKUP($F90,PROFA,2,0)=8,1,0)</formula>
    </cfRule>
  </conditionalFormatting>
  <conditionalFormatting sqref="F19 F200:F206 F208:F219 F222 F183:F198">
    <cfRule type="expression" dxfId="1477" priority="1940">
      <formula>IF(VLOOKUP($F19,PROFA,2,0)=1,1,0)</formula>
    </cfRule>
    <cfRule type="expression" dxfId="1476" priority="2422">
      <formula>IF(VLOOKUP($F19,PROFA,2,0)=2,1,0)</formula>
    </cfRule>
    <cfRule type="expression" dxfId="1475" priority="2423">
      <formula>IF(VLOOKUP($F19,PROFA,2,0)=3,1,0)</formula>
    </cfRule>
    <cfRule type="expression" dxfId="1474" priority="2424">
      <formula>IF(VLOOKUP($F19,PROFA,2,0)=4,1,0)</formula>
    </cfRule>
    <cfRule type="expression" dxfId="1473" priority="2425">
      <formula>IF(VLOOKUP($F19,PROFA,2,0)=5,1,0)</formula>
    </cfRule>
    <cfRule type="expression" dxfId="1472" priority="2426">
      <formula>IF(VLOOKUP($F19,PROFA,2,0)=6,1,0)</formula>
    </cfRule>
    <cfRule type="expression" dxfId="1471" priority="2427">
      <formula>IF(VLOOKUP($F19,PROFA,2,0)=7,1,0)</formula>
    </cfRule>
    <cfRule type="expression" dxfId="1470" priority="2428">
      <formula>IF(VLOOKUP($F19,PROFA,2,0)=8,1,0)</formula>
    </cfRule>
    <cfRule type="expression" dxfId="1469" priority="2429">
      <formula>IF(VLOOKUP($F19,PROFA,2,0)=9,1,0)</formula>
    </cfRule>
  </conditionalFormatting>
  <conditionalFormatting sqref="F29">
    <cfRule type="expression" dxfId="1468" priority="1931">
      <formula>IF(VLOOKUP($F29,PROFA,2,0)=1,1,0)</formula>
    </cfRule>
    <cfRule type="expression" dxfId="1467" priority="1932">
      <formula>IF(VLOOKUP($F29,PROFA,2,0)=2,1,0)</formula>
    </cfRule>
    <cfRule type="expression" dxfId="1466" priority="1933">
      <formula>IF(VLOOKUP($F29,PROFA,2,0)=3,1,0)</formula>
    </cfRule>
    <cfRule type="expression" dxfId="1465" priority="1934">
      <formula>IF(VLOOKUP($F29,PROFA,2,0)=4,1,0)</formula>
    </cfRule>
    <cfRule type="expression" dxfId="1464" priority="1935">
      <formula>IF(VLOOKUP($F29,PROFA,2,0)=5,1,0)</formula>
    </cfRule>
    <cfRule type="expression" dxfId="1463" priority="1936">
      <formula>IF(VLOOKUP($F29,PROFA,2,0)=6,1,0)</formula>
    </cfRule>
    <cfRule type="expression" dxfId="1462" priority="1937">
      <formula>IF(VLOOKUP($F29,PROFA,2,0)=7,1,0)</formula>
    </cfRule>
    <cfRule type="expression" dxfId="1461" priority="1938">
      <formula>IF(VLOOKUP($F29,PROFA,2,0)=8,1,0)</formula>
    </cfRule>
    <cfRule type="expression" dxfId="1460" priority="1939">
      <formula>IF(VLOOKUP($F29,PROFA,2,0)=9,1,0)</formula>
    </cfRule>
  </conditionalFormatting>
  <conditionalFormatting sqref="F35">
    <cfRule type="expression" dxfId="1459" priority="1922">
      <formula>IF(VLOOKUP($F35,PROFA,2,0)=1,1,0)</formula>
    </cfRule>
    <cfRule type="expression" dxfId="1458" priority="1923">
      <formula>IF(VLOOKUP($F35,PROFA,2,0)=2,1,0)</formula>
    </cfRule>
    <cfRule type="expression" dxfId="1457" priority="1924">
      <formula>IF(VLOOKUP($F35,PROFA,2,0)=3,1,0)</formula>
    </cfRule>
    <cfRule type="expression" dxfId="1456" priority="1925">
      <formula>IF(VLOOKUP($F35,PROFA,2,0)=4,1,0)</formula>
    </cfRule>
    <cfRule type="expression" dxfId="1455" priority="1926">
      <formula>IF(VLOOKUP($F35,PROFA,2,0)=5,1,0)</formula>
    </cfRule>
    <cfRule type="expression" dxfId="1454" priority="1927">
      <formula>IF(VLOOKUP($F35,PROFA,2,0)=6,1,0)</formula>
    </cfRule>
    <cfRule type="expression" dxfId="1453" priority="1928">
      <formula>IF(VLOOKUP($F35,PROFA,2,0)=7,1,0)</formula>
    </cfRule>
    <cfRule type="expression" dxfId="1452" priority="1929">
      <formula>IF(VLOOKUP($F35,PROFA,2,0)=8,1,0)</formula>
    </cfRule>
    <cfRule type="expression" dxfId="1451" priority="1930">
      <formula>IF(VLOOKUP($F35,PROFA,2,0)=9,1,0)</formula>
    </cfRule>
  </conditionalFormatting>
  <conditionalFormatting sqref="F36">
    <cfRule type="expression" dxfId="1450" priority="1913">
      <formula>IF(VLOOKUP($F36,PROFA,2,0)=1,1,0)</formula>
    </cfRule>
    <cfRule type="expression" dxfId="1449" priority="1914">
      <formula>IF(VLOOKUP($F36,PROFA,2,0)=2,1,0)</formula>
    </cfRule>
    <cfRule type="expression" dxfId="1448" priority="1915">
      <formula>IF(VLOOKUP($F36,PROFA,2,0)=3,1,0)</formula>
    </cfRule>
    <cfRule type="expression" dxfId="1447" priority="1916">
      <formula>IF(VLOOKUP($F36,PROFA,2,0)=4,1,0)</formula>
    </cfRule>
    <cfRule type="expression" dxfId="1446" priority="1917">
      <formula>IF(VLOOKUP($F36,PROFA,2,0)=5,1,0)</formula>
    </cfRule>
    <cfRule type="expression" dxfId="1445" priority="1918">
      <formula>IF(VLOOKUP($F36,PROFA,2,0)=6,1,0)</formula>
    </cfRule>
    <cfRule type="expression" dxfId="1444" priority="1919">
      <formula>IF(VLOOKUP($F36,PROFA,2,0)=7,1,0)</formula>
    </cfRule>
    <cfRule type="expression" dxfId="1443" priority="1920">
      <formula>IF(VLOOKUP($F36,PROFA,2,0)=8,1,0)</formula>
    </cfRule>
    <cfRule type="expression" dxfId="1442" priority="1921">
      <formula>IF(VLOOKUP($F36,PROFA,2,0)=9,1,0)</formula>
    </cfRule>
  </conditionalFormatting>
  <conditionalFormatting sqref="F49">
    <cfRule type="expression" dxfId="1441" priority="1904">
      <formula>IF(VLOOKUP($F49,PROFA,2,0)=1,1,0)</formula>
    </cfRule>
    <cfRule type="expression" dxfId="1440" priority="1905">
      <formula>IF(VLOOKUP($F49,PROFA,2,0)=2,1,0)</formula>
    </cfRule>
    <cfRule type="expression" dxfId="1439" priority="1906">
      <formula>IF(VLOOKUP($F49,PROFA,2,0)=3,1,0)</formula>
    </cfRule>
    <cfRule type="expression" dxfId="1438" priority="1907">
      <formula>IF(VLOOKUP($F49,PROFA,2,0)=4,1,0)</formula>
    </cfRule>
    <cfRule type="expression" dxfId="1437" priority="1908">
      <formula>IF(VLOOKUP($F49,PROFA,2,0)=5,1,0)</formula>
    </cfRule>
    <cfRule type="expression" dxfId="1436" priority="1909">
      <formula>IF(VLOOKUP($F49,PROFA,2,0)=6,1,0)</formula>
    </cfRule>
    <cfRule type="expression" dxfId="1435" priority="1910">
      <formula>IF(VLOOKUP($F49,PROFA,2,0)=7,1,0)</formula>
    </cfRule>
    <cfRule type="expression" dxfId="1434" priority="1911">
      <formula>IF(VLOOKUP($F49,PROFA,2,0)=8,1,0)</formula>
    </cfRule>
    <cfRule type="expression" dxfId="1433" priority="1912">
      <formula>IF(VLOOKUP($F49,PROFA,2,0)=9,1,0)</formula>
    </cfRule>
  </conditionalFormatting>
  <conditionalFormatting sqref="F69">
    <cfRule type="expression" dxfId="1432" priority="1895">
      <formula>IF(VLOOKUP($F69,PROFA,2,0)=1,1,0)</formula>
    </cfRule>
    <cfRule type="expression" dxfId="1431" priority="1896">
      <formula>IF(VLOOKUP($F69,PROFA,2,0)=2,1,0)</formula>
    </cfRule>
    <cfRule type="expression" dxfId="1430" priority="1897">
      <formula>IF(VLOOKUP($F69,PROFA,2,0)=3,1,0)</formula>
    </cfRule>
    <cfRule type="expression" dxfId="1429" priority="1898">
      <formula>IF(VLOOKUP($F69,PROFA,2,0)=4,1,0)</formula>
    </cfRule>
    <cfRule type="expression" dxfId="1428" priority="1899">
      <formula>IF(VLOOKUP($F69,PROFA,2,0)=5,1,0)</formula>
    </cfRule>
    <cfRule type="expression" dxfId="1427" priority="1900">
      <formula>IF(VLOOKUP($F69,PROFA,2,0)=6,1,0)</formula>
    </cfRule>
    <cfRule type="expression" dxfId="1426" priority="1901">
      <formula>IF(VLOOKUP($F69,PROFA,2,0)=7,1,0)</formula>
    </cfRule>
    <cfRule type="expression" dxfId="1425" priority="1902">
      <formula>IF(VLOOKUP($F69,PROFA,2,0)=8,1,0)</formula>
    </cfRule>
    <cfRule type="expression" dxfId="1424" priority="1903">
      <formula>IF(VLOOKUP($F69,PROFA,2,0)=9,1,0)</formula>
    </cfRule>
  </conditionalFormatting>
  <conditionalFormatting sqref="F75">
    <cfRule type="expression" dxfId="1423" priority="1886">
      <formula>IF(VLOOKUP($F75,PROFA,2,0)=1,1,0)</formula>
    </cfRule>
    <cfRule type="expression" dxfId="1422" priority="1887">
      <formula>IF(VLOOKUP($F75,PROFA,2,0)=2,1,0)</formula>
    </cfRule>
    <cfRule type="expression" dxfId="1421" priority="1888">
      <formula>IF(VLOOKUP($F75,PROFA,2,0)=3,1,0)</formula>
    </cfRule>
    <cfRule type="expression" dxfId="1420" priority="1889">
      <formula>IF(VLOOKUP($F75,PROFA,2,0)=4,1,0)</formula>
    </cfRule>
    <cfRule type="expression" dxfId="1419" priority="1890">
      <formula>IF(VLOOKUP($F75,PROFA,2,0)=5,1,0)</formula>
    </cfRule>
    <cfRule type="expression" dxfId="1418" priority="1891">
      <formula>IF(VLOOKUP($F75,PROFA,2,0)=6,1,0)</formula>
    </cfRule>
    <cfRule type="expression" dxfId="1417" priority="1892">
      <formula>IF(VLOOKUP($F75,PROFA,2,0)=7,1,0)</formula>
    </cfRule>
    <cfRule type="expression" dxfId="1416" priority="1893">
      <formula>IF(VLOOKUP($F75,PROFA,2,0)=8,1,0)</formula>
    </cfRule>
    <cfRule type="expression" dxfId="1415" priority="1894">
      <formula>IF(VLOOKUP($F75,PROFA,2,0)=9,1,0)</formula>
    </cfRule>
  </conditionalFormatting>
  <conditionalFormatting sqref="F93">
    <cfRule type="expression" dxfId="1414" priority="1850">
      <formula>IF(VLOOKUP($F93,PROFA,2,0)=1,1,0)</formula>
    </cfRule>
    <cfRule type="expression" dxfId="1413" priority="1851">
      <formula>IF(VLOOKUP($F93,PROFA,2,0)=2,1,0)</formula>
    </cfRule>
    <cfRule type="expression" dxfId="1412" priority="1852">
      <formula>IF(VLOOKUP($F93,PROFA,2,0)=3,1,0)</formula>
    </cfRule>
    <cfRule type="expression" dxfId="1411" priority="1853">
      <formula>IF(VLOOKUP($F93,PROFA,2,0)=4,1,0)</formula>
    </cfRule>
    <cfRule type="expression" dxfId="1410" priority="1854">
      <formula>IF(VLOOKUP($F93,PROFA,2,0)=5,1,0)</formula>
    </cfRule>
    <cfRule type="expression" dxfId="1409" priority="1855">
      <formula>IF(VLOOKUP($F93,PROFA,2,0)=6,1,0)</formula>
    </cfRule>
    <cfRule type="expression" dxfId="1408" priority="1856">
      <formula>IF(VLOOKUP($F93,PROFA,2,0)=7,1,0)</formula>
    </cfRule>
    <cfRule type="expression" dxfId="1407" priority="1857">
      <formula>IF(VLOOKUP($F93,PROFA,2,0)=8,1,0)</formula>
    </cfRule>
    <cfRule type="expression" dxfId="1406" priority="1858">
      <formula>IF(VLOOKUP($F93,PROFA,2,0)=9,1,0)</formula>
    </cfRule>
  </conditionalFormatting>
  <conditionalFormatting sqref="F134">
    <cfRule type="expression" dxfId="1405" priority="1796">
      <formula>IF(VLOOKUP($F134,PROFA,2,0)=1,1,0)</formula>
    </cfRule>
    <cfRule type="expression" dxfId="1404" priority="1797">
      <formula>IF(VLOOKUP($F134,PROFA,2,0)=2,1,0)</formula>
    </cfRule>
    <cfRule type="expression" dxfId="1403" priority="1798">
      <formula>IF(VLOOKUP($F134,PROFA,2,0)=3,1,0)</formula>
    </cfRule>
    <cfRule type="expression" dxfId="1402" priority="1799">
      <formula>IF(VLOOKUP($F134,PROFA,2,0)=4,1,0)</formula>
    </cfRule>
    <cfRule type="expression" dxfId="1401" priority="1800">
      <formula>IF(VLOOKUP($F134,PROFA,2,0)=5,1,0)</formula>
    </cfRule>
    <cfRule type="expression" dxfId="1400" priority="1801">
      <formula>IF(VLOOKUP($F134,PROFA,2,0)=6,1,0)</formula>
    </cfRule>
    <cfRule type="expression" dxfId="1399" priority="1802">
      <formula>IF(VLOOKUP($F134,PROFA,2,0)=7,1,0)</formula>
    </cfRule>
    <cfRule type="expression" dxfId="1398" priority="1803">
      <formula>IF(VLOOKUP($F134,PROFA,2,0)=8,1,0)</formula>
    </cfRule>
    <cfRule type="expression" dxfId="1397" priority="1804">
      <formula>IF(VLOOKUP($F134,PROFA,2,0)=9,1,0)</formula>
    </cfRule>
  </conditionalFormatting>
  <conditionalFormatting sqref="F28">
    <cfRule type="expression" dxfId="1396" priority="1741">
      <formula>IF(VLOOKUP($F28,PROFA,2,0)=1,1,0)</formula>
    </cfRule>
    <cfRule type="expression" dxfId="1395" priority="1742">
      <formula>IF(VLOOKUP($F28,PROFA,2,0)=2,1,0)</formula>
    </cfRule>
    <cfRule type="expression" dxfId="1394" priority="1743">
      <formula>IF(VLOOKUP($F28,PROFA,2,0)=3,1,0)</formula>
    </cfRule>
    <cfRule type="expression" dxfId="1393" priority="1744">
      <formula>IF(VLOOKUP($F28,PROFA,2,0)=4,1,0)</formula>
    </cfRule>
    <cfRule type="expression" dxfId="1392" priority="1745">
      <formula>IF(VLOOKUP($F28,PROFA,2,0)=5,1,0)</formula>
    </cfRule>
    <cfRule type="expression" dxfId="1391" priority="1746">
      <formula>IF(VLOOKUP($F28,PROFA,2,0)=6,1,0)</formula>
    </cfRule>
    <cfRule type="expression" dxfId="1390" priority="1747">
      <formula>IF(VLOOKUP($F28,PROFA,2,0)=7,1,0)</formula>
    </cfRule>
    <cfRule type="expression" dxfId="1389" priority="1748">
      <formula>IF(VLOOKUP($F28,PROFA,2,0)=8,1,0)</formula>
    </cfRule>
    <cfRule type="expression" dxfId="1388" priority="1749">
      <formula>IF(VLOOKUP($F28,PROFA,2,0)=9,1,0)</formula>
    </cfRule>
  </conditionalFormatting>
  <conditionalFormatting sqref="F32">
    <cfRule type="expression" dxfId="1387" priority="1732">
      <formula>IF(VLOOKUP($F32,PROFA,2,0)=1,1,0)</formula>
    </cfRule>
    <cfRule type="expression" dxfId="1386" priority="1733">
      <formula>IF(VLOOKUP($F32,PROFA,2,0)=2,1,0)</formula>
    </cfRule>
    <cfRule type="expression" dxfId="1385" priority="1734">
      <formula>IF(VLOOKUP($F32,PROFA,2,0)=3,1,0)</formula>
    </cfRule>
    <cfRule type="expression" dxfId="1384" priority="1735">
      <formula>IF(VLOOKUP($F32,PROFA,2,0)=4,1,0)</formula>
    </cfRule>
    <cfRule type="expression" dxfId="1383" priority="1736">
      <formula>IF(VLOOKUP($F32,PROFA,2,0)=5,1,0)</formula>
    </cfRule>
    <cfRule type="expression" dxfId="1382" priority="1737">
      <formula>IF(VLOOKUP($F32,PROFA,2,0)=6,1,0)</formula>
    </cfRule>
    <cfRule type="expression" dxfId="1381" priority="1738">
      <formula>IF(VLOOKUP($F32,PROFA,2,0)=7,1,0)</formula>
    </cfRule>
    <cfRule type="expression" dxfId="1380" priority="1739">
      <formula>IF(VLOOKUP($F32,PROFA,2,0)=8,1,0)</formula>
    </cfRule>
    <cfRule type="expression" dxfId="1379" priority="1740">
      <formula>IF(VLOOKUP($F32,PROFA,2,0)=9,1,0)</formula>
    </cfRule>
  </conditionalFormatting>
  <conditionalFormatting sqref="F38">
    <cfRule type="expression" dxfId="1378" priority="1723">
      <formula>IF(VLOOKUP($F38,PROFA,2,0)=1,1,0)</formula>
    </cfRule>
    <cfRule type="expression" dxfId="1377" priority="1724">
      <formula>IF(VLOOKUP($F38,PROFA,2,0)=2,1,0)</formula>
    </cfRule>
    <cfRule type="expression" dxfId="1376" priority="1725">
      <formula>IF(VLOOKUP($F38,PROFA,2,0)=3,1,0)</formula>
    </cfRule>
    <cfRule type="expression" dxfId="1375" priority="1726">
      <formula>IF(VLOOKUP($F38,PROFA,2,0)=4,1,0)</formula>
    </cfRule>
    <cfRule type="expression" dxfId="1374" priority="1727">
      <formula>IF(VLOOKUP($F38,PROFA,2,0)=5,1,0)</formula>
    </cfRule>
    <cfRule type="expression" dxfId="1373" priority="1728">
      <formula>IF(VLOOKUP($F38,PROFA,2,0)=6,1,0)</formula>
    </cfRule>
    <cfRule type="expression" dxfId="1372" priority="1729">
      <formula>IF(VLOOKUP($F38,PROFA,2,0)=7,1,0)</formula>
    </cfRule>
    <cfRule type="expression" dxfId="1371" priority="1730">
      <formula>IF(VLOOKUP($F38,PROFA,2,0)=8,1,0)</formula>
    </cfRule>
    <cfRule type="expression" dxfId="1370" priority="1731">
      <formula>IF(VLOOKUP($F38,PROFA,2,0)=9,1,0)</formula>
    </cfRule>
  </conditionalFormatting>
  <conditionalFormatting sqref="F46">
    <cfRule type="expression" dxfId="1369" priority="1714">
      <formula>IF(VLOOKUP($F46,PROFA,2,0)=1,1,0)</formula>
    </cfRule>
    <cfRule type="expression" dxfId="1368" priority="1715">
      <formula>IF(VLOOKUP($F46,PROFA,2,0)=2,1,0)</formula>
    </cfRule>
    <cfRule type="expression" dxfId="1367" priority="1716">
      <formula>IF(VLOOKUP($F46,PROFA,2,0)=3,1,0)</formula>
    </cfRule>
    <cfRule type="expression" dxfId="1366" priority="1717">
      <formula>IF(VLOOKUP($F46,PROFA,2,0)=4,1,0)</formula>
    </cfRule>
    <cfRule type="expression" dxfId="1365" priority="1718">
      <formula>IF(VLOOKUP($F46,PROFA,2,0)=5,1,0)</formula>
    </cfRule>
    <cfRule type="expression" dxfId="1364" priority="1719">
      <formula>IF(VLOOKUP($F46,PROFA,2,0)=6,1,0)</formula>
    </cfRule>
    <cfRule type="expression" dxfId="1363" priority="1720">
      <formula>IF(VLOOKUP($F46,PROFA,2,0)=7,1,0)</formula>
    </cfRule>
    <cfRule type="expression" dxfId="1362" priority="1721">
      <formula>IF(VLOOKUP($F46,PROFA,2,0)=8,1,0)</formula>
    </cfRule>
    <cfRule type="expression" dxfId="1361" priority="1722">
      <formula>IF(VLOOKUP($F46,PROFA,2,0)=9,1,0)</formula>
    </cfRule>
  </conditionalFormatting>
  <conditionalFormatting sqref="F53">
    <cfRule type="expression" dxfId="1360" priority="1705">
      <formula>IF(VLOOKUP($F53,PROFA,2,0)=1,1,0)</formula>
    </cfRule>
    <cfRule type="expression" dxfId="1359" priority="1706">
      <formula>IF(VLOOKUP($F53,PROFA,2,0)=2,1,0)</formula>
    </cfRule>
    <cfRule type="expression" dxfId="1358" priority="1707">
      <formula>IF(VLOOKUP($F53,PROFA,2,0)=3,1,0)</formula>
    </cfRule>
    <cfRule type="expression" dxfId="1357" priority="1708">
      <formula>IF(VLOOKUP($F53,PROFA,2,0)=4,1,0)</formula>
    </cfRule>
    <cfRule type="expression" dxfId="1356" priority="1709">
      <formula>IF(VLOOKUP($F53,PROFA,2,0)=5,1,0)</formula>
    </cfRule>
    <cfRule type="expression" dxfId="1355" priority="1710">
      <formula>IF(VLOOKUP($F53,PROFA,2,0)=6,1,0)</formula>
    </cfRule>
    <cfRule type="expression" dxfId="1354" priority="1711">
      <formula>IF(VLOOKUP($F53,PROFA,2,0)=7,1,0)</formula>
    </cfRule>
    <cfRule type="expression" dxfId="1353" priority="1712">
      <formula>IF(VLOOKUP($F53,PROFA,2,0)=8,1,0)</formula>
    </cfRule>
    <cfRule type="expression" dxfId="1352" priority="1713">
      <formula>IF(VLOOKUP($F53,PROFA,2,0)=9,1,0)</formula>
    </cfRule>
  </conditionalFormatting>
  <conditionalFormatting sqref="F73">
    <cfRule type="expression" dxfId="1351" priority="1696">
      <formula>IF(VLOOKUP($F73,PROFA,2,0)=1,1,0)</formula>
    </cfRule>
    <cfRule type="expression" dxfId="1350" priority="1697">
      <formula>IF(VLOOKUP($F73,PROFA,2,0)=2,1,0)</formula>
    </cfRule>
    <cfRule type="expression" dxfId="1349" priority="1698">
      <formula>IF(VLOOKUP($F73,PROFA,2,0)=3,1,0)</formula>
    </cfRule>
    <cfRule type="expression" dxfId="1348" priority="1699">
      <formula>IF(VLOOKUP($F73,PROFA,2,0)=4,1,0)</formula>
    </cfRule>
    <cfRule type="expression" dxfId="1347" priority="1700">
      <formula>IF(VLOOKUP($F73,PROFA,2,0)=5,1,0)</formula>
    </cfRule>
    <cfRule type="expression" dxfId="1346" priority="1701">
      <formula>IF(VLOOKUP($F73,PROFA,2,0)=6,1,0)</formula>
    </cfRule>
    <cfRule type="expression" dxfId="1345" priority="1702">
      <formula>IF(VLOOKUP($F73,PROFA,2,0)=7,1,0)</formula>
    </cfRule>
    <cfRule type="expression" dxfId="1344" priority="1703">
      <formula>IF(VLOOKUP($F73,PROFA,2,0)=8,1,0)</formula>
    </cfRule>
    <cfRule type="expression" dxfId="1343" priority="1704">
      <formula>IF(VLOOKUP($F73,PROFA,2,0)=9,1,0)</formula>
    </cfRule>
  </conditionalFormatting>
  <conditionalFormatting sqref="F74">
    <cfRule type="expression" dxfId="1342" priority="1687">
      <formula>IF(VLOOKUP($F74,PROFA,2,0)=1,1,0)</formula>
    </cfRule>
    <cfRule type="expression" dxfId="1341" priority="1688">
      <formula>IF(VLOOKUP($F74,PROFA,2,0)=2,1,0)</formula>
    </cfRule>
    <cfRule type="expression" dxfId="1340" priority="1689">
      <formula>IF(VLOOKUP($F74,PROFA,2,0)=3,1,0)</formula>
    </cfRule>
    <cfRule type="expression" dxfId="1339" priority="1690">
      <formula>IF(VLOOKUP($F74,PROFA,2,0)=4,1,0)</formula>
    </cfRule>
    <cfRule type="expression" dxfId="1338" priority="1691">
      <formula>IF(VLOOKUP($F74,PROFA,2,0)=5,1,0)</formula>
    </cfRule>
    <cfRule type="expression" dxfId="1337" priority="1692">
      <formula>IF(VLOOKUP($F74,PROFA,2,0)=6,1,0)</formula>
    </cfRule>
    <cfRule type="expression" dxfId="1336" priority="1693">
      <formula>IF(VLOOKUP($F74,PROFA,2,0)=7,1,0)</formula>
    </cfRule>
    <cfRule type="expression" dxfId="1335" priority="1694">
      <formula>IF(VLOOKUP($F74,PROFA,2,0)=8,1,0)</formula>
    </cfRule>
    <cfRule type="expression" dxfId="1334" priority="1695">
      <formula>IF(VLOOKUP($F74,PROFA,2,0)=9,1,0)</formula>
    </cfRule>
  </conditionalFormatting>
  <conditionalFormatting sqref="F92">
    <cfRule type="expression" dxfId="1333" priority="1678">
      <formula>IF(VLOOKUP($F92,PROFA,2,0)=1,1,0)</formula>
    </cfRule>
    <cfRule type="expression" dxfId="1332" priority="1679">
      <formula>IF(VLOOKUP($F92,PROFA,2,0)=2,1,0)</formula>
    </cfRule>
    <cfRule type="expression" dxfId="1331" priority="1680">
      <formula>IF(VLOOKUP($F92,PROFA,2,0)=3,1,0)</formula>
    </cfRule>
    <cfRule type="expression" dxfId="1330" priority="1681">
      <formula>IF(VLOOKUP($F92,PROFA,2,0)=4,1,0)</formula>
    </cfRule>
    <cfRule type="expression" dxfId="1329" priority="1682">
      <formula>IF(VLOOKUP($F92,PROFA,2,0)=5,1,0)</formula>
    </cfRule>
    <cfRule type="expression" dxfId="1328" priority="1683">
      <formula>IF(VLOOKUP($F92,PROFA,2,0)=6,1,0)</formula>
    </cfRule>
    <cfRule type="expression" dxfId="1327" priority="1684">
      <formula>IF(VLOOKUP($F92,PROFA,2,0)=7,1,0)</formula>
    </cfRule>
    <cfRule type="expression" dxfId="1326" priority="1685">
      <formula>IF(VLOOKUP($F92,PROFA,2,0)=8,1,0)</formula>
    </cfRule>
    <cfRule type="expression" dxfId="1325" priority="1686">
      <formula>IF(VLOOKUP($F92,PROFA,2,0)=9,1,0)</formula>
    </cfRule>
  </conditionalFormatting>
  <conditionalFormatting sqref="F97">
    <cfRule type="expression" dxfId="1324" priority="1669">
      <formula>IF(VLOOKUP($F97,PROFA,2,0)=1,1,0)</formula>
    </cfRule>
    <cfRule type="expression" dxfId="1323" priority="1670">
      <formula>IF(VLOOKUP($F97,PROFA,2,0)=2,1,0)</formula>
    </cfRule>
    <cfRule type="expression" dxfId="1322" priority="1671">
      <formula>IF(VLOOKUP($F97,PROFA,2,0)=3,1,0)</formula>
    </cfRule>
    <cfRule type="expression" dxfId="1321" priority="1672">
      <formula>IF(VLOOKUP($F97,PROFA,2,0)=4,1,0)</formula>
    </cfRule>
    <cfRule type="expression" dxfId="1320" priority="1673">
      <formula>IF(VLOOKUP($F97,PROFA,2,0)=5,1,0)</formula>
    </cfRule>
    <cfRule type="expression" dxfId="1319" priority="1674">
      <formula>IF(VLOOKUP($F97,PROFA,2,0)=6,1,0)</formula>
    </cfRule>
    <cfRule type="expression" dxfId="1318" priority="1675">
      <formula>IF(VLOOKUP($F97,PROFA,2,0)=7,1,0)</formula>
    </cfRule>
    <cfRule type="expression" dxfId="1317" priority="1676">
      <formula>IF(VLOOKUP($F97,PROFA,2,0)=8,1,0)</formula>
    </cfRule>
    <cfRule type="expression" dxfId="1316" priority="1677">
      <formula>IF(VLOOKUP($F97,PROFA,2,0)=9,1,0)</formula>
    </cfRule>
  </conditionalFormatting>
  <conditionalFormatting sqref="F129">
    <cfRule type="expression" dxfId="1315" priority="1642">
      <formula>IF(VLOOKUP($F129,PROFA,2,0)=1,1,0)</formula>
    </cfRule>
    <cfRule type="expression" dxfId="1314" priority="1643">
      <formula>IF(VLOOKUP($F129,PROFA,2,0)=2,1,0)</formula>
    </cfRule>
    <cfRule type="expression" dxfId="1313" priority="1644">
      <formula>IF(VLOOKUP($F129,PROFA,2,0)=3,1,0)</formula>
    </cfRule>
    <cfRule type="expression" dxfId="1312" priority="1645">
      <formula>IF(VLOOKUP($F129,PROFA,2,0)=4,1,0)</formula>
    </cfRule>
    <cfRule type="expression" dxfId="1311" priority="1646">
      <formula>IF(VLOOKUP($F129,PROFA,2,0)=5,1,0)</formula>
    </cfRule>
    <cfRule type="expression" dxfId="1310" priority="1647">
      <formula>IF(VLOOKUP($F129,PROFA,2,0)=6,1,0)</formula>
    </cfRule>
    <cfRule type="expression" dxfId="1309" priority="1648">
      <formula>IF(VLOOKUP($F129,PROFA,2,0)=7,1,0)</formula>
    </cfRule>
    <cfRule type="expression" dxfId="1308" priority="1649">
      <formula>IF(VLOOKUP($F129,PROFA,2,0)=8,1,0)</formula>
    </cfRule>
    <cfRule type="expression" dxfId="1307" priority="1650">
      <formula>IF(VLOOKUP($F129,PROFA,2,0)=9,1,0)</formula>
    </cfRule>
  </conditionalFormatting>
  <conditionalFormatting sqref="F136">
    <cfRule type="expression" dxfId="1306" priority="1633">
      <formula>IF(VLOOKUP($F136,PROFA,2,0)=1,1,0)</formula>
    </cfRule>
    <cfRule type="expression" dxfId="1305" priority="1634">
      <formula>IF(VLOOKUP($F136,PROFA,2,0)=2,1,0)</formula>
    </cfRule>
    <cfRule type="expression" dxfId="1304" priority="1635">
      <formula>IF(VLOOKUP($F136,PROFA,2,0)=3,1,0)</formula>
    </cfRule>
    <cfRule type="expression" dxfId="1303" priority="1636">
      <formula>IF(VLOOKUP($F136,PROFA,2,0)=4,1,0)</formula>
    </cfRule>
    <cfRule type="expression" dxfId="1302" priority="1637">
      <formula>IF(VLOOKUP($F136,PROFA,2,0)=5,1,0)</formula>
    </cfRule>
    <cfRule type="expression" dxfId="1301" priority="1638">
      <formula>IF(VLOOKUP($F136,PROFA,2,0)=6,1,0)</formula>
    </cfRule>
    <cfRule type="expression" dxfId="1300" priority="1639">
      <formula>IF(VLOOKUP($F136,PROFA,2,0)=7,1,0)</formula>
    </cfRule>
    <cfRule type="expression" dxfId="1299" priority="1640">
      <formula>IF(VLOOKUP($F136,PROFA,2,0)=8,1,0)</formula>
    </cfRule>
    <cfRule type="expression" dxfId="1298" priority="1641">
      <formula>IF(VLOOKUP($F136,PROFA,2,0)=9,1,0)</formula>
    </cfRule>
  </conditionalFormatting>
  <conditionalFormatting sqref="F155">
    <cfRule type="expression" dxfId="1297" priority="1588">
      <formula>IF(VLOOKUP($F155,PROFA,2,0)=1,1,0)</formula>
    </cfRule>
    <cfRule type="expression" dxfId="1296" priority="1589">
      <formula>IF(VLOOKUP($F155,PROFA,2,0)=2,1,0)</formula>
    </cfRule>
    <cfRule type="expression" dxfId="1295" priority="1590">
      <formula>IF(VLOOKUP($F155,PROFA,2,0)=3,1,0)</formula>
    </cfRule>
    <cfRule type="expression" dxfId="1294" priority="1591">
      <formula>IF(VLOOKUP($F155,PROFA,2,0)=4,1,0)</formula>
    </cfRule>
    <cfRule type="expression" dxfId="1293" priority="1592">
      <formula>IF(VLOOKUP($F155,PROFA,2,0)=5,1,0)</formula>
    </cfRule>
    <cfRule type="expression" dxfId="1292" priority="1593">
      <formula>IF(VLOOKUP($F155,PROFA,2,0)=6,1,0)</formula>
    </cfRule>
    <cfRule type="expression" dxfId="1291" priority="1594">
      <formula>IF(VLOOKUP($F155,PROFA,2,0)=7,1,0)</formula>
    </cfRule>
    <cfRule type="expression" dxfId="1290" priority="1595">
      <formula>IF(VLOOKUP($F155,PROFA,2,0)=8,1,0)</formula>
    </cfRule>
    <cfRule type="expression" dxfId="1289" priority="1596">
      <formula>IF(VLOOKUP($F155,PROFA,2,0)=9,1,0)</formula>
    </cfRule>
  </conditionalFormatting>
  <conditionalFormatting sqref="F21">
    <cfRule type="expression" dxfId="1288" priority="1570">
      <formula>IF(VLOOKUP($F21,PROFA,2,0)=1,1,0)</formula>
    </cfRule>
    <cfRule type="expression" dxfId="1287" priority="1571">
      <formula>IF(VLOOKUP($F21,PROFA,2,0)=2,1,0)</formula>
    </cfRule>
    <cfRule type="expression" dxfId="1286" priority="1572">
      <formula>IF(VLOOKUP($F21,PROFA,2,0)=3,1,0)</formula>
    </cfRule>
    <cfRule type="expression" dxfId="1285" priority="1573">
      <formula>IF(VLOOKUP($F21,PROFA,2,0)=4,1,0)</formula>
    </cfRule>
    <cfRule type="expression" dxfId="1284" priority="1574">
      <formula>IF(VLOOKUP($F21,PROFA,2,0)=5,1,0)</formula>
    </cfRule>
    <cfRule type="expression" dxfId="1283" priority="1575">
      <formula>IF(VLOOKUP($F21,PROFA,2,0)=6,1,0)</formula>
    </cfRule>
    <cfRule type="expression" dxfId="1282" priority="1576">
      <formula>IF(VLOOKUP($F21,PROFA,2,0)=7,1,0)</formula>
    </cfRule>
    <cfRule type="expression" dxfId="1281" priority="1577">
      <formula>IF(VLOOKUP($F21,PROFA,2,0)=8,1,0)</formula>
    </cfRule>
    <cfRule type="expression" dxfId="1280" priority="1578">
      <formula>IF(VLOOKUP($F21,PROFA,2,0)=9,1,0)</formula>
    </cfRule>
  </conditionalFormatting>
  <conditionalFormatting sqref="F23">
    <cfRule type="expression" dxfId="1279" priority="1561">
      <formula>IF(VLOOKUP($F23,PROFA,2,0)=1,1,0)</formula>
    </cfRule>
    <cfRule type="expression" dxfId="1278" priority="1562">
      <formula>IF(VLOOKUP($F23,PROFA,2,0)=2,1,0)</formula>
    </cfRule>
    <cfRule type="expression" dxfId="1277" priority="1563">
      <formula>IF(VLOOKUP($F23,PROFA,2,0)=3,1,0)</formula>
    </cfRule>
    <cfRule type="expression" dxfId="1276" priority="1564">
      <formula>IF(VLOOKUP($F23,PROFA,2,0)=4,1,0)</formula>
    </cfRule>
    <cfRule type="expression" dxfId="1275" priority="1565">
      <formula>IF(VLOOKUP($F23,PROFA,2,0)=5,1,0)</formula>
    </cfRule>
    <cfRule type="expression" dxfId="1274" priority="1566">
      <formula>IF(VLOOKUP($F23,PROFA,2,0)=6,1,0)</formula>
    </cfRule>
    <cfRule type="expression" dxfId="1273" priority="1567">
      <formula>IF(VLOOKUP($F23,PROFA,2,0)=7,1,0)</formula>
    </cfRule>
    <cfRule type="expression" dxfId="1272" priority="1568">
      <formula>IF(VLOOKUP($F23,PROFA,2,0)=8,1,0)</formula>
    </cfRule>
    <cfRule type="expression" dxfId="1271" priority="1569">
      <formula>IF(VLOOKUP($F23,PROFA,2,0)=9,1,0)</formula>
    </cfRule>
  </conditionalFormatting>
  <conditionalFormatting sqref="F25">
    <cfRule type="expression" dxfId="1270" priority="1552">
      <formula>IF(VLOOKUP($F25,PROFA,2,0)=1,1,0)</formula>
    </cfRule>
    <cfRule type="expression" dxfId="1269" priority="1553">
      <formula>IF(VLOOKUP($F25,PROFA,2,0)=2,1,0)</formula>
    </cfRule>
    <cfRule type="expression" dxfId="1268" priority="1554">
      <formula>IF(VLOOKUP($F25,PROFA,2,0)=3,1,0)</formula>
    </cfRule>
    <cfRule type="expression" dxfId="1267" priority="1555">
      <formula>IF(VLOOKUP($F25,PROFA,2,0)=4,1,0)</formula>
    </cfRule>
    <cfRule type="expression" dxfId="1266" priority="1556">
      <formula>IF(VLOOKUP($F25,PROFA,2,0)=5,1,0)</formula>
    </cfRule>
    <cfRule type="expression" dxfId="1265" priority="1557">
      <formula>IF(VLOOKUP($F25,PROFA,2,0)=6,1,0)</formula>
    </cfRule>
    <cfRule type="expression" dxfId="1264" priority="1558">
      <formula>IF(VLOOKUP($F25,PROFA,2,0)=7,1,0)</formula>
    </cfRule>
    <cfRule type="expression" dxfId="1263" priority="1559">
      <formula>IF(VLOOKUP($F25,PROFA,2,0)=8,1,0)</formula>
    </cfRule>
    <cfRule type="expression" dxfId="1262" priority="1560">
      <formula>IF(VLOOKUP($F25,PROFA,2,0)=9,1,0)</formula>
    </cfRule>
  </conditionalFormatting>
  <conditionalFormatting sqref="F26">
    <cfRule type="expression" dxfId="1261" priority="1543">
      <formula>IF(VLOOKUP($F26,PROFA,2,0)=1,1,0)</formula>
    </cfRule>
    <cfRule type="expression" dxfId="1260" priority="1544">
      <formula>IF(VLOOKUP($F26,PROFA,2,0)=2,1,0)</formula>
    </cfRule>
    <cfRule type="expression" dxfId="1259" priority="1545">
      <formula>IF(VLOOKUP($F26,PROFA,2,0)=3,1,0)</formula>
    </cfRule>
    <cfRule type="expression" dxfId="1258" priority="1546">
      <formula>IF(VLOOKUP($F26,PROFA,2,0)=4,1,0)</formula>
    </cfRule>
    <cfRule type="expression" dxfId="1257" priority="1547">
      <formula>IF(VLOOKUP($F26,PROFA,2,0)=5,1,0)</formula>
    </cfRule>
    <cfRule type="expression" dxfId="1256" priority="1548">
      <formula>IF(VLOOKUP($F26,PROFA,2,0)=6,1,0)</formula>
    </cfRule>
    <cfRule type="expression" dxfId="1255" priority="1549">
      <formula>IF(VLOOKUP($F26,PROFA,2,0)=7,1,0)</formula>
    </cfRule>
    <cfRule type="expression" dxfId="1254" priority="1550">
      <formula>IF(VLOOKUP($F26,PROFA,2,0)=8,1,0)</formula>
    </cfRule>
    <cfRule type="expression" dxfId="1253" priority="1551">
      <formula>IF(VLOOKUP($F26,PROFA,2,0)=9,1,0)</formula>
    </cfRule>
  </conditionalFormatting>
  <conditionalFormatting sqref="F65">
    <cfRule type="expression" dxfId="1252" priority="1534">
      <formula>IF(VLOOKUP($F65,PROFA,2,0)=1,1,0)</formula>
    </cfRule>
    <cfRule type="expression" dxfId="1251" priority="1535">
      <formula>IF(VLOOKUP($F65,PROFA,2,0)=2,1,0)</formula>
    </cfRule>
    <cfRule type="expression" dxfId="1250" priority="1536">
      <formula>IF(VLOOKUP($F65,PROFA,2,0)=3,1,0)</formula>
    </cfRule>
    <cfRule type="expression" dxfId="1249" priority="1537">
      <formula>IF(VLOOKUP($F65,PROFA,2,0)=4,1,0)</formula>
    </cfRule>
    <cfRule type="expression" dxfId="1248" priority="1538">
      <formula>IF(VLOOKUP($F65,PROFA,2,0)=5,1,0)</formula>
    </cfRule>
    <cfRule type="expression" dxfId="1247" priority="1539">
      <formula>IF(VLOOKUP($F65,PROFA,2,0)=6,1,0)</formula>
    </cfRule>
    <cfRule type="expression" dxfId="1246" priority="1540">
      <formula>IF(VLOOKUP($F65,PROFA,2,0)=7,1,0)</formula>
    </cfRule>
    <cfRule type="expression" dxfId="1245" priority="1541">
      <formula>IF(VLOOKUP($F65,PROFA,2,0)=8,1,0)</formula>
    </cfRule>
    <cfRule type="expression" dxfId="1244" priority="1542">
      <formula>IF(VLOOKUP($F65,PROFA,2,0)=9,1,0)</formula>
    </cfRule>
  </conditionalFormatting>
  <conditionalFormatting sqref="F117">
    <cfRule type="expression" dxfId="1243" priority="1507">
      <formula>IF(VLOOKUP($F117,PROFA,2,0)=1,1,0)</formula>
    </cfRule>
    <cfRule type="expression" dxfId="1242" priority="1508">
      <formula>IF(VLOOKUP($F117,PROFA,2,0)=2,1,0)</formula>
    </cfRule>
    <cfRule type="expression" dxfId="1241" priority="1509">
      <formula>IF(VLOOKUP($F117,PROFA,2,0)=3,1,0)</formula>
    </cfRule>
    <cfRule type="expression" dxfId="1240" priority="1510">
      <formula>IF(VLOOKUP($F117,PROFA,2,0)=4,1,0)</formula>
    </cfRule>
    <cfRule type="expression" dxfId="1239" priority="1511">
      <formula>IF(VLOOKUP($F117,PROFA,2,0)=5,1,0)</formula>
    </cfRule>
    <cfRule type="expression" dxfId="1238" priority="1512">
      <formula>IF(VLOOKUP($F117,PROFA,2,0)=6,1,0)</formula>
    </cfRule>
    <cfRule type="expression" dxfId="1237" priority="1513">
      <formula>IF(VLOOKUP($F117,PROFA,2,0)=7,1,0)</formula>
    </cfRule>
    <cfRule type="expression" dxfId="1236" priority="1514">
      <formula>IF(VLOOKUP($F117,PROFA,2,0)=8,1,0)</formula>
    </cfRule>
    <cfRule type="expression" dxfId="1235" priority="1515">
      <formula>IF(VLOOKUP($F117,PROFA,2,0)=9,1,0)</formula>
    </cfRule>
  </conditionalFormatting>
  <conditionalFormatting sqref="F37">
    <cfRule type="expression" dxfId="1234" priority="1498">
      <formula>IF(VLOOKUP($F37,PROFA,2,0)=1,1,0)</formula>
    </cfRule>
    <cfRule type="expression" dxfId="1233" priority="1499">
      <formula>IF(VLOOKUP($F37,PROFA,2,0)=2,1,0)</formula>
    </cfRule>
    <cfRule type="expression" dxfId="1232" priority="1500">
      <formula>IF(VLOOKUP($F37,PROFA,2,0)=3,1,0)</formula>
    </cfRule>
    <cfRule type="expression" dxfId="1231" priority="1501">
      <formula>IF(VLOOKUP($F37,PROFA,2,0)=4,1,0)</formula>
    </cfRule>
    <cfRule type="expression" dxfId="1230" priority="1502">
      <formula>IF(VLOOKUP($F37,PROFA,2,0)=5,1,0)</formula>
    </cfRule>
    <cfRule type="expression" dxfId="1229" priority="1503">
      <formula>IF(VLOOKUP($F37,PROFA,2,0)=6,1,0)</formula>
    </cfRule>
    <cfRule type="expression" dxfId="1228" priority="1504">
      <formula>IF(VLOOKUP($F37,PROFA,2,0)=7,1,0)</formula>
    </cfRule>
    <cfRule type="expression" dxfId="1227" priority="1505">
      <formula>IF(VLOOKUP($F37,PROFA,2,0)=8,1,0)</formula>
    </cfRule>
    <cfRule type="expression" dxfId="1226" priority="1506">
      <formula>IF(VLOOKUP($F37,PROFA,2,0)=9,1,0)</formula>
    </cfRule>
  </conditionalFormatting>
  <conditionalFormatting sqref="F31">
    <cfRule type="expression" dxfId="1225" priority="1489">
      <formula>IF(VLOOKUP($F31,PROFA,2,0)=1,1,0)</formula>
    </cfRule>
    <cfRule type="expression" dxfId="1224" priority="1490">
      <formula>IF(VLOOKUP($F31,PROFA,2,0)=2,1,0)</formula>
    </cfRule>
    <cfRule type="expression" dxfId="1223" priority="1491">
      <formula>IF(VLOOKUP($F31,PROFA,2,0)=3,1,0)</formula>
    </cfRule>
    <cfRule type="expression" dxfId="1222" priority="1492">
      <formula>IF(VLOOKUP($F31,PROFA,2,0)=4,1,0)</formula>
    </cfRule>
    <cfRule type="expression" dxfId="1221" priority="1493">
      <formula>IF(VLOOKUP($F31,PROFA,2,0)=5,1,0)</formula>
    </cfRule>
    <cfRule type="expression" dxfId="1220" priority="1494">
      <formula>IF(VLOOKUP($F31,PROFA,2,0)=6,1,0)</formula>
    </cfRule>
    <cfRule type="expression" dxfId="1219" priority="1495">
      <formula>IF(VLOOKUP($F31,PROFA,2,0)=7,1,0)</formula>
    </cfRule>
    <cfRule type="expression" dxfId="1218" priority="1496">
      <formula>IF(VLOOKUP($F31,PROFA,2,0)=8,1,0)</formula>
    </cfRule>
    <cfRule type="expression" dxfId="1217" priority="1497">
      <formula>IF(VLOOKUP($F31,PROFA,2,0)=9,1,0)</formula>
    </cfRule>
  </conditionalFormatting>
  <conditionalFormatting sqref="F33">
    <cfRule type="expression" dxfId="1216" priority="1480">
      <formula>IF(VLOOKUP($F33,PROFA,2,0)=1,1,0)</formula>
    </cfRule>
    <cfRule type="expression" dxfId="1215" priority="1481">
      <formula>IF(VLOOKUP($F33,PROFA,2,0)=2,1,0)</formula>
    </cfRule>
    <cfRule type="expression" dxfId="1214" priority="1482">
      <formula>IF(VLOOKUP($F33,PROFA,2,0)=3,1,0)</formula>
    </cfRule>
    <cfRule type="expression" dxfId="1213" priority="1483">
      <formula>IF(VLOOKUP($F33,PROFA,2,0)=4,1,0)</formula>
    </cfRule>
    <cfRule type="expression" dxfId="1212" priority="1484">
      <formula>IF(VLOOKUP($F33,PROFA,2,0)=5,1,0)</formula>
    </cfRule>
    <cfRule type="expression" dxfId="1211" priority="1485">
      <formula>IF(VLOOKUP($F33,PROFA,2,0)=6,1,0)</formula>
    </cfRule>
    <cfRule type="expression" dxfId="1210" priority="1486">
      <formula>IF(VLOOKUP($F33,PROFA,2,0)=7,1,0)</formula>
    </cfRule>
    <cfRule type="expression" dxfId="1209" priority="1487">
      <formula>IF(VLOOKUP($F33,PROFA,2,0)=8,1,0)</formula>
    </cfRule>
    <cfRule type="expression" dxfId="1208" priority="1488">
      <formula>IF(VLOOKUP($F33,PROFA,2,0)=9,1,0)</formula>
    </cfRule>
  </conditionalFormatting>
  <conditionalFormatting sqref="F40">
    <cfRule type="expression" dxfId="1207" priority="1471">
      <formula>IF(VLOOKUP($F40,PROFA,2,0)=1,1,0)</formula>
    </cfRule>
    <cfRule type="expression" dxfId="1206" priority="1472">
      <formula>IF(VLOOKUP($F40,PROFA,2,0)=2,1,0)</formula>
    </cfRule>
    <cfRule type="expression" dxfId="1205" priority="1473">
      <formula>IF(VLOOKUP($F40,PROFA,2,0)=3,1,0)</formula>
    </cfRule>
    <cfRule type="expression" dxfId="1204" priority="1474">
      <formula>IF(VLOOKUP($F40,PROFA,2,0)=4,1,0)</formula>
    </cfRule>
    <cfRule type="expression" dxfId="1203" priority="1475">
      <formula>IF(VLOOKUP($F40,PROFA,2,0)=5,1,0)</formula>
    </cfRule>
    <cfRule type="expression" dxfId="1202" priority="1476">
      <formula>IF(VLOOKUP($F40,PROFA,2,0)=6,1,0)</formula>
    </cfRule>
    <cfRule type="expression" dxfId="1201" priority="1477">
      <formula>IF(VLOOKUP($F40,PROFA,2,0)=7,1,0)</formula>
    </cfRule>
    <cfRule type="expression" dxfId="1200" priority="1478">
      <formula>IF(VLOOKUP($F40,PROFA,2,0)=8,1,0)</formula>
    </cfRule>
    <cfRule type="expression" dxfId="1199" priority="1479">
      <formula>IF(VLOOKUP($F40,PROFA,2,0)=9,1,0)</formula>
    </cfRule>
  </conditionalFormatting>
  <conditionalFormatting sqref="F44">
    <cfRule type="expression" dxfId="1198" priority="1462">
      <formula>IF(VLOOKUP($F44,PROFA,2,0)=1,1,0)</formula>
    </cfRule>
    <cfRule type="expression" dxfId="1197" priority="1463">
      <formula>IF(VLOOKUP($F44,PROFA,2,0)=2,1,0)</formula>
    </cfRule>
    <cfRule type="expression" dxfId="1196" priority="1464">
      <formula>IF(VLOOKUP($F44,PROFA,2,0)=3,1,0)</formula>
    </cfRule>
    <cfRule type="expression" dxfId="1195" priority="1465">
      <formula>IF(VLOOKUP($F44,PROFA,2,0)=4,1,0)</formula>
    </cfRule>
    <cfRule type="expression" dxfId="1194" priority="1466">
      <formula>IF(VLOOKUP($F44,PROFA,2,0)=5,1,0)</formula>
    </cfRule>
    <cfRule type="expression" dxfId="1193" priority="1467">
      <formula>IF(VLOOKUP($F44,PROFA,2,0)=6,1,0)</formula>
    </cfRule>
    <cfRule type="expression" dxfId="1192" priority="1468">
      <formula>IF(VLOOKUP($F44,PROFA,2,0)=7,1,0)</formula>
    </cfRule>
    <cfRule type="expression" dxfId="1191" priority="1469">
      <formula>IF(VLOOKUP($F44,PROFA,2,0)=8,1,0)</formula>
    </cfRule>
    <cfRule type="expression" dxfId="1190" priority="1470">
      <formula>IF(VLOOKUP($F44,PROFA,2,0)=9,1,0)</formula>
    </cfRule>
  </conditionalFormatting>
  <conditionalFormatting sqref="F45">
    <cfRule type="expression" dxfId="1189" priority="1453">
      <formula>IF(VLOOKUP($F45,PROFA,2,0)=1,1,0)</formula>
    </cfRule>
    <cfRule type="expression" dxfId="1188" priority="1454">
      <formula>IF(VLOOKUP($F45,PROFA,2,0)=2,1,0)</formula>
    </cfRule>
    <cfRule type="expression" dxfId="1187" priority="1455">
      <formula>IF(VLOOKUP($F45,PROFA,2,0)=3,1,0)</formula>
    </cfRule>
    <cfRule type="expression" dxfId="1186" priority="1456">
      <formula>IF(VLOOKUP($F45,PROFA,2,0)=4,1,0)</formula>
    </cfRule>
    <cfRule type="expression" dxfId="1185" priority="1457">
      <formula>IF(VLOOKUP($F45,PROFA,2,0)=5,1,0)</formula>
    </cfRule>
    <cfRule type="expression" dxfId="1184" priority="1458">
      <formula>IF(VLOOKUP($F45,PROFA,2,0)=6,1,0)</formula>
    </cfRule>
    <cfRule type="expression" dxfId="1183" priority="1459">
      <formula>IF(VLOOKUP($F45,PROFA,2,0)=7,1,0)</formula>
    </cfRule>
    <cfRule type="expression" dxfId="1182" priority="1460">
      <formula>IF(VLOOKUP($F45,PROFA,2,0)=8,1,0)</formula>
    </cfRule>
    <cfRule type="expression" dxfId="1181" priority="1461">
      <formula>IF(VLOOKUP($F45,PROFA,2,0)=9,1,0)</formula>
    </cfRule>
  </conditionalFormatting>
  <conditionalFormatting sqref="F54">
    <cfRule type="expression" dxfId="1180" priority="1444">
      <formula>IF(VLOOKUP($F54,PROFA,2,0)=1,1,0)</formula>
    </cfRule>
    <cfRule type="expression" dxfId="1179" priority="1445">
      <formula>IF(VLOOKUP($F54,PROFA,2,0)=2,1,0)</formula>
    </cfRule>
    <cfRule type="expression" dxfId="1178" priority="1446">
      <formula>IF(VLOOKUP($F54,PROFA,2,0)=3,1,0)</formula>
    </cfRule>
    <cfRule type="expression" dxfId="1177" priority="1447">
      <formula>IF(VLOOKUP($F54,PROFA,2,0)=4,1,0)</formula>
    </cfRule>
    <cfRule type="expression" dxfId="1176" priority="1448">
      <formula>IF(VLOOKUP($F54,PROFA,2,0)=5,1,0)</formula>
    </cfRule>
    <cfRule type="expression" dxfId="1175" priority="1449">
      <formula>IF(VLOOKUP($F54,PROFA,2,0)=6,1,0)</formula>
    </cfRule>
    <cfRule type="expression" dxfId="1174" priority="1450">
      <formula>IF(VLOOKUP($F54,PROFA,2,0)=7,1,0)</formula>
    </cfRule>
    <cfRule type="expression" dxfId="1173" priority="1451">
      <formula>IF(VLOOKUP($F54,PROFA,2,0)=8,1,0)</formula>
    </cfRule>
    <cfRule type="expression" dxfId="1172" priority="1452">
      <formula>IF(VLOOKUP($F54,PROFA,2,0)=9,1,0)</formula>
    </cfRule>
  </conditionalFormatting>
  <conditionalFormatting sqref="F56">
    <cfRule type="expression" dxfId="1171" priority="1435">
      <formula>IF(VLOOKUP($F56,PROFA,2,0)=1,1,0)</formula>
    </cfRule>
    <cfRule type="expression" dxfId="1170" priority="1436">
      <formula>IF(VLOOKUP($F56,PROFA,2,0)=2,1,0)</formula>
    </cfRule>
    <cfRule type="expression" dxfId="1169" priority="1437">
      <formula>IF(VLOOKUP($F56,PROFA,2,0)=3,1,0)</formula>
    </cfRule>
    <cfRule type="expression" dxfId="1168" priority="1438">
      <formula>IF(VLOOKUP($F56,PROFA,2,0)=4,1,0)</formula>
    </cfRule>
    <cfRule type="expression" dxfId="1167" priority="1439">
      <formula>IF(VLOOKUP($F56,PROFA,2,0)=5,1,0)</formula>
    </cfRule>
    <cfRule type="expression" dxfId="1166" priority="1440">
      <formula>IF(VLOOKUP($F56,PROFA,2,0)=6,1,0)</formula>
    </cfRule>
    <cfRule type="expression" dxfId="1165" priority="1441">
      <formula>IF(VLOOKUP($F56,PROFA,2,0)=7,1,0)</formula>
    </cfRule>
    <cfRule type="expression" dxfId="1164" priority="1442">
      <formula>IF(VLOOKUP($F56,PROFA,2,0)=8,1,0)</formula>
    </cfRule>
    <cfRule type="expression" dxfId="1163" priority="1443">
      <formula>IF(VLOOKUP($F56,PROFA,2,0)=9,1,0)</formula>
    </cfRule>
  </conditionalFormatting>
  <conditionalFormatting sqref="F57">
    <cfRule type="expression" dxfId="1162" priority="1426">
      <formula>IF(VLOOKUP($F57,PROFA,2,0)=1,1,0)</formula>
    </cfRule>
    <cfRule type="expression" dxfId="1161" priority="1427">
      <formula>IF(VLOOKUP($F57,PROFA,2,0)=2,1,0)</formula>
    </cfRule>
    <cfRule type="expression" dxfId="1160" priority="1428">
      <formula>IF(VLOOKUP($F57,PROFA,2,0)=3,1,0)</formula>
    </cfRule>
    <cfRule type="expression" dxfId="1159" priority="1429">
      <formula>IF(VLOOKUP($F57,PROFA,2,0)=4,1,0)</formula>
    </cfRule>
    <cfRule type="expression" dxfId="1158" priority="1430">
      <formula>IF(VLOOKUP($F57,PROFA,2,0)=5,1,0)</formula>
    </cfRule>
    <cfRule type="expression" dxfId="1157" priority="1431">
      <formula>IF(VLOOKUP($F57,PROFA,2,0)=6,1,0)</formula>
    </cfRule>
    <cfRule type="expression" dxfId="1156" priority="1432">
      <formula>IF(VLOOKUP($F57,PROFA,2,0)=7,1,0)</formula>
    </cfRule>
    <cfRule type="expression" dxfId="1155" priority="1433">
      <formula>IF(VLOOKUP($F57,PROFA,2,0)=8,1,0)</formula>
    </cfRule>
    <cfRule type="expression" dxfId="1154" priority="1434">
      <formula>IF(VLOOKUP($F57,PROFA,2,0)=9,1,0)</formula>
    </cfRule>
  </conditionalFormatting>
  <conditionalFormatting sqref="F59">
    <cfRule type="expression" dxfId="1153" priority="1417">
      <formula>IF(VLOOKUP($F59,PROFA,2,0)=1,1,0)</formula>
    </cfRule>
    <cfRule type="expression" dxfId="1152" priority="1418">
      <formula>IF(VLOOKUP($F59,PROFA,2,0)=2,1,0)</formula>
    </cfRule>
    <cfRule type="expression" dxfId="1151" priority="1419">
      <formula>IF(VLOOKUP($F59,PROFA,2,0)=3,1,0)</formula>
    </cfRule>
    <cfRule type="expression" dxfId="1150" priority="1420">
      <formula>IF(VLOOKUP($F59,PROFA,2,0)=4,1,0)</formula>
    </cfRule>
    <cfRule type="expression" dxfId="1149" priority="1421">
      <formula>IF(VLOOKUP($F59,PROFA,2,0)=5,1,0)</formula>
    </cfRule>
    <cfRule type="expression" dxfId="1148" priority="1422">
      <formula>IF(VLOOKUP($F59,PROFA,2,0)=6,1,0)</formula>
    </cfRule>
    <cfRule type="expression" dxfId="1147" priority="1423">
      <formula>IF(VLOOKUP($F59,PROFA,2,0)=7,1,0)</formula>
    </cfRule>
    <cfRule type="expression" dxfId="1146" priority="1424">
      <formula>IF(VLOOKUP($F59,PROFA,2,0)=8,1,0)</formula>
    </cfRule>
    <cfRule type="expression" dxfId="1145" priority="1425">
      <formula>IF(VLOOKUP($F59,PROFA,2,0)=9,1,0)</formula>
    </cfRule>
  </conditionalFormatting>
  <conditionalFormatting sqref="F60">
    <cfRule type="expression" dxfId="1144" priority="1408">
      <formula>IF(VLOOKUP($F60,PROFA,2,0)=1,1,0)</formula>
    </cfRule>
    <cfRule type="expression" dxfId="1143" priority="1409">
      <formula>IF(VLOOKUP($F60,PROFA,2,0)=2,1,0)</formula>
    </cfRule>
    <cfRule type="expression" dxfId="1142" priority="1410">
      <formula>IF(VLOOKUP($F60,PROFA,2,0)=3,1,0)</formula>
    </cfRule>
    <cfRule type="expression" dxfId="1141" priority="1411">
      <formula>IF(VLOOKUP($F60,PROFA,2,0)=4,1,0)</formula>
    </cfRule>
    <cfRule type="expression" dxfId="1140" priority="1412">
      <formula>IF(VLOOKUP($F60,PROFA,2,0)=5,1,0)</formula>
    </cfRule>
    <cfRule type="expression" dxfId="1139" priority="1413">
      <formula>IF(VLOOKUP($F60,PROFA,2,0)=6,1,0)</formula>
    </cfRule>
    <cfRule type="expression" dxfId="1138" priority="1414">
      <formula>IF(VLOOKUP($F60,PROFA,2,0)=7,1,0)</formula>
    </cfRule>
    <cfRule type="expression" dxfId="1137" priority="1415">
      <formula>IF(VLOOKUP($F60,PROFA,2,0)=8,1,0)</formula>
    </cfRule>
    <cfRule type="expression" dxfId="1136" priority="1416">
      <formula>IF(VLOOKUP($F60,PROFA,2,0)=9,1,0)</formula>
    </cfRule>
  </conditionalFormatting>
  <conditionalFormatting sqref="F61">
    <cfRule type="expression" dxfId="1135" priority="1399">
      <formula>IF(VLOOKUP($F61,PROFA,2,0)=1,1,0)</formula>
    </cfRule>
    <cfRule type="expression" dxfId="1134" priority="1400">
      <formula>IF(VLOOKUP($F61,PROFA,2,0)=2,1,0)</formula>
    </cfRule>
    <cfRule type="expression" dxfId="1133" priority="1401">
      <formula>IF(VLOOKUP($F61,PROFA,2,0)=3,1,0)</formula>
    </cfRule>
    <cfRule type="expression" dxfId="1132" priority="1402">
      <formula>IF(VLOOKUP($F61,PROFA,2,0)=4,1,0)</formula>
    </cfRule>
    <cfRule type="expression" dxfId="1131" priority="1403">
      <formula>IF(VLOOKUP($F61,PROFA,2,0)=5,1,0)</formula>
    </cfRule>
    <cfRule type="expression" dxfId="1130" priority="1404">
      <formula>IF(VLOOKUP($F61,PROFA,2,0)=6,1,0)</formula>
    </cfRule>
    <cfRule type="expression" dxfId="1129" priority="1405">
      <formula>IF(VLOOKUP($F61,PROFA,2,0)=7,1,0)</formula>
    </cfRule>
    <cfRule type="expression" dxfId="1128" priority="1406">
      <formula>IF(VLOOKUP($F61,PROFA,2,0)=8,1,0)</formula>
    </cfRule>
    <cfRule type="expression" dxfId="1127" priority="1407">
      <formula>IF(VLOOKUP($F61,PROFA,2,0)=9,1,0)</formula>
    </cfRule>
  </conditionalFormatting>
  <conditionalFormatting sqref="F67">
    <cfRule type="expression" dxfId="1126" priority="1390">
      <formula>IF(VLOOKUP($F67,PROFA,2,0)=1,1,0)</formula>
    </cfRule>
    <cfRule type="expression" dxfId="1125" priority="1391">
      <formula>IF(VLOOKUP($F67,PROFA,2,0)=2,1,0)</formula>
    </cfRule>
    <cfRule type="expression" dxfId="1124" priority="1392">
      <formula>IF(VLOOKUP($F67,PROFA,2,0)=3,1,0)</formula>
    </cfRule>
    <cfRule type="expression" dxfId="1123" priority="1393">
      <formula>IF(VLOOKUP($F67,PROFA,2,0)=4,1,0)</formula>
    </cfRule>
    <cfRule type="expression" dxfId="1122" priority="1394">
      <formula>IF(VLOOKUP($F67,PROFA,2,0)=5,1,0)</formula>
    </cfRule>
    <cfRule type="expression" dxfId="1121" priority="1395">
      <formula>IF(VLOOKUP($F67,PROFA,2,0)=6,1,0)</formula>
    </cfRule>
    <cfRule type="expression" dxfId="1120" priority="1396">
      <formula>IF(VLOOKUP($F67,PROFA,2,0)=7,1,0)</formula>
    </cfRule>
    <cfRule type="expression" dxfId="1119" priority="1397">
      <formula>IF(VLOOKUP($F67,PROFA,2,0)=8,1,0)</formula>
    </cfRule>
    <cfRule type="expression" dxfId="1118" priority="1398">
      <formula>IF(VLOOKUP($F67,PROFA,2,0)=9,1,0)</formula>
    </cfRule>
  </conditionalFormatting>
  <conditionalFormatting sqref="F68">
    <cfRule type="expression" dxfId="1117" priority="1381">
      <formula>IF(VLOOKUP($F68,PROFA,2,0)=1,1,0)</formula>
    </cfRule>
    <cfRule type="expression" dxfId="1116" priority="1382">
      <formula>IF(VLOOKUP($F68,PROFA,2,0)=2,1,0)</formula>
    </cfRule>
    <cfRule type="expression" dxfId="1115" priority="1383">
      <formula>IF(VLOOKUP($F68,PROFA,2,0)=3,1,0)</formula>
    </cfRule>
    <cfRule type="expression" dxfId="1114" priority="1384">
      <formula>IF(VLOOKUP($F68,PROFA,2,0)=4,1,0)</formula>
    </cfRule>
    <cfRule type="expression" dxfId="1113" priority="1385">
      <formula>IF(VLOOKUP($F68,PROFA,2,0)=5,1,0)</formula>
    </cfRule>
    <cfRule type="expression" dxfId="1112" priority="1386">
      <formula>IF(VLOOKUP($F68,PROFA,2,0)=6,1,0)</formula>
    </cfRule>
    <cfRule type="expression" dxfId="1111" priority="1387">
      <formula>IF(VLOOKUP($F68,PROFA,2,0)=7,1,0)</formula>
    </cfRule>
    <cfRule type="expression" dxfId="1110" priority="1388">
      <formula>IF(VLOOKUP($F68,PROFA,2,0)=8,1,0)</formula>
    </cfRule>
    <cfRule type="expression" dxfId="1109" priority="1389">
      <formula>IF(VLOOKUP($F68,PROFA,2,0)=9,1,0)</formula>
    </cfRule>
  </conditionalFormatting>
  <conditionalFormatting sqref="F77">
    <cfRule type="expression" dxfId="1108" priority="1372">
      <formula>IF(VLOOKUP($F77,PROFA,2,0)=1,1,0)</formula>
    </cfRule>
    <cfRule type="expression" dxfId="1107" priority="1373">
      <formula>IF(VLOOKUP($F77,PROFA,2,0)=2,1,0)</formula>
    </cfRule>
    <cfRule type="expression" dxfId="1106" priority="1374">
      <formula>IF(VLOOKUP($F77,PROFA,2,0)=3,1,0)</formula>
    </cfRule>
    <cfRule type="expression" dxfId="1105" priority="1375">
      <formula>IF(VLOOKUP($F77,PROFA,2,0)=4,1,0)</formula>
    </cfRule>
    <cfRule type="expression" dxfId="1104" priority="1376">
      <formula>IF(VLOOKUP($F77,PROFA,2,0)=5,1,0)</formula>
    </cfRule>
    <cfRule type="expression" dxfId="1103" priority="1377">
      <formula>IF(VLOOKUP($F77,PROFA,2,0)=6,1,0)</formula>
    </cfRule>
    <cfRule type="expression" dxfId="1102" priority="1378">
      <formula>IF(VLOOKUP($F77,PROFA,2,0)=7,1,0)</formula>
    </cfRule>
    <cfRule type="expression" dxfId="1101" priority="1379">
      <formula>IF(VLOOKUP($F77,PROFA,2,0)=8,1,0)</formula>
    </cfRule>
    <cfRule type="expression" dxfId="1100" priority="1380">
      <formula>IF(VLOOKUP($F77,PROFA,2,0)=9,1,0)</formula>
    </cfRule>
  </conditionalFormatting>
  <conditionalFormatting sqref="F80">
    <cfRule type="expression" dxfId="1099" priority="1363">
      <formula>IF(VLOOKUP($F80,PROFA,2,0)=1,1,0)</formula>
    </cfRule>
    <cfRule type="expression" dxfId="1098" priority="1364">
      <formula>IF(VLOOKUP($F80,PROFA,2,0)=2,1,0)</formula>
    </cfRule>
    <cfRule type="expression" dxfId="1097" priority="1365">
      <formula>IF(VLOOKUP($F80,PROFA,2,0)=3,1,0)</formula>
    </cfRule>
    <cfRule type="expression" dxfId="1096" priority="1366">
      <formula>IF(VLOOKUP($F80,PROFA,2,0)=4,1,0)</formula>
    </cfRule>
    <cfRule type="expression" dxfId="1095" priority="1367">
      <formula>IF(VLOOKUP($F80,PROFA,2,0)=5,1,0)</formula>
    </cfRule>
    <cfRule type="expression" dxfId="1094" priority="1368">
      <formula>IF(VLOOKUP($F80,PROFA,2,0)=6,1,0)</formula>
    </cfRule>
    <cfRule type="expression" dxfId="1093" priority="1369">
      <formula>IF(VLOOKUP($F80,PROFA,2,0)=7,1,0)</formula>
    </cfRule>
    <cfRule type="expression" dxfId="1092" priority="1370">
      <formula>IF(VLOOKUP($F80,PROFA,2,0)=8,1,0)</formula>
    </cfRule>
    <cfRule type="expression" dxfId="1091" priority="1371">
      <formula>IF(VLOOKUP($F80,PROFA,2,0)=9,1,0)</formula>
    </cfRule>
  </conditionalFormatting>
  <conditionalFormatting sqref="F81">
    <cfRule type="expression" dxfId="1090" priority="1354">
      <formula>IF(VLOOKUP($F81,PROFA,2,0)=1,1,0)</formula>
    </cfRule>
    <cfRule type="expression" dxfId="1089" priority="1355">
      <formula>IF(VLOOKUP($F81,PROFA,2,0)=2,1,0)</formula>
    </cfRule>
    <cfRule type="expression" dxfId="1088" priority="1356">
      <formula>IF(VLOOKUP($F81,PROFA,2,0)=3,1,0)</formula>
    </cfRule>
    <cfRule type="expression" dxfId="1087" priority="1357">
      <formula>IF(VLOOKUP($F81,PROFA,2,0)=4,1,0)</formula>
    </cfRule>
    <cfRule type="expression" dxfId="1086" priority="1358">
      <formula>IF(VLOOKUP($F81,PROFA,2,0)=5,1,0)</formula>
    </cfRule>
    <cfRule type="expression" dxfId="1085" priority="1359">
      <formula>IF(VLOOKUP($F81,PROFA,2,0)=6,1,0)</formula>
    </cfRule>
    <cfRule type="expression" dxfId="1084" priority="1360">
      <formula>IF(VLOOKUP($F81,PROFA,2,0)=7,1,0)</formula>
    </cfRule>
    <cfRule type="expression" dxfId="1083" priority="1361">
      <formula>IF(VLOOKUP($F81,PROFA,2,0)=8,1,0)</formula>
    </cfRule>
    <cfRule type="expression" dxfId="1082" priority="1362">
      <formula>IF(VLOOKUP($F81,PROFA,2,0)=9,1,0)</formula>
    </cfRule>
  </conditionalFormatting>
  <conditionalFormatting sqref="F85">
    <cfRule type="expression" dxfId="1081" priority="1345">
      <formula>IF(VLOOKUP($F85,PROFA,2,0)=1,1,0)</formula>
    </cfRule>
    <cfRule type="expression" dxfId="1080" priority="1346">
      <formula>IF(VLOOKUP($F85,PROFA,2,0)=2,1,0)</formula>
    </cfRule>
    <cfRule type="expression" dxfId="1079" priority="1347">
      <formula>IF(VLOOKUP($F85,PROFA,2,0)=3,1,0)</formula>
    </cfRule>
    <cfRule type="expression" dxfId="1078" priority="1348">
      <formula>IF(VLOOKUP($F85,PROFA,2,0)=4,1,0)</formula>
    </cfRule>
    <cfRule type="expression" dxfId="1077" priority="1349">
      <formula>IF(VLOOKUP($F85,PROFA,2,0)=5,1,0)</formula>
    </cfRule>
    <cfRule type="expression" dxfId="1076" priority="1350">
      <formula>IF(VLOOKUP($F85,PROFA,2,0)=6,1,0)</formula>
    </cfRule>
    <cfRule type="expression" dxfId="1075" priority="1351">
      <formula>IF(VLOOKUP($F85,PROFA,2,0)=7,1,0)</formula>
    </cfRule>
    <cfRule type="expression" dxfId="1074" priority="1352">
      <formula>IF(VLOOKUP($F85,PROFA,2,0)=8,1,0)</formula>
    </cfRule>
    <cfRule type="expression" dxfId="1073" priority="1353">
      <formula>IF(VLOOKUP($F85,PROFA,2,0)=9,1,0)</formula>
    </cfRule>
  </conditionalFormatting>
  <conditionalFormatting sqref="F88">
    <cfRule type="expression" dxfId="1072" priority="1336">
      <formula>IF(VLOOKUP($F88,PROFA,2,0)=1,1,0)</formula>
    </cfRule>
    <cfRule type="expression" dxfId="1071" priority="1337">
      <formula>IF(VLOOKUP($F88,PROFA,2,0)=2,1,0)</formula>
    </cfRule>
    <cfRule type="expression" dxfId="1070" priority="1338">
      <formula>IF(VLOOKUP($F88,PROFA,2,0)=3,1,0)</formula>
    </cfRule>
    <cfRule type="expression" dxfId="1069" priority="1339">
      <formula>IF(VLOOKUP($F88,PROFA,2,0)=4,1,0)</formula>
    </cfRule>
    <cfRule type="expression" dxfId="1068" priority="1340">
      <formula>IF(VLOOKUP($F88,PROFA,2,0)=5,1,0)</formula>
    </cfRule>
    <cfRule type="expression" dxfId="1067" priority="1341">
      <formula>IF(VLOOKUP($F88,PROFA,2,0)=6,1,0)</formula>
    </cfRule>
    <cfRule type="expression" dxfId="1066" priority="1342">
      <formula>IF(VLOOKUP($F88,PROFA,2,0)=7,1,0)</formula>
    </cfRule>
    <cfRule type="expression" dxfId="1065" priority="1343">
      <formula>IF(VLOOKUP($F88,PROFA,2,0)=8,1,0)</formula>
    </cfRule>
    <cfRule type="expression" dxfId="1064" priority="1344">
      <formula>IF(VLOOKUP($F88,PROFA,2,0)=9,1,0)</formula>
    </cfRule>
  </conditionalFormatting>
  <conditionalFormatting sqref="F89">
    <cfRule type="expression" dxfId="1063" priority="1327">
      <formula>IF(VLOOKUP($F89,PROFA,2,0)=1,1,0)</formula>
    </cfRule>
    <cfRule type="expression" dxfId="1062" priority="1328">
      <formula>IF(VLOOKUP($F89,PROFA,2,0)=2,1,0)</formula>
    </cfRule>
    <cfRule type="expression" dxfId="1061" priority="1329">
      <formula>IF(VLOOKUP($F89,PROFA,2,0)=3,1,0)</formula>
    </cfRule>
    <cfRule type="expression" dxfId="1060" priority="1330">
      <formula>IF(VLOOKUP($F89,PROFA,2,0)=4,1,0)</formula>
    </cfRule>
    <cfRule type="expression" dxfId="1059" priority="1331">
      <formula>IF(VLOOKUP($F89,PROFA,2,0)=5,1,0)</formula>
    </cfRule>
    <cfRule type="expression" dxfId="1058" priority="1332">
      <formula>IF(VLOOKUP($F89,PROFA,2,0)=6,1,0)</formula>
    </cfRule>
    <cfRule type="expression" dxfId="1057" priority="1333">
      <formula>IF(VLOOKUP($F89,PROFA,2,0)=7,1,0)</formula>
    </cfRule>
    <cfRule type="expression" dxfId="1056" priority="1334">
      <formula>IF(VLOOKUP($F89,PROFA,2,0)=8,1,0)</formula>
    </cfRule>
    <cfRule type="expression" dxfId="1055" priority="1335">
      <formula>IF(VLOOKUP($F89,PROFA,2,0)=9,1,0)</formula>
    </cfRule>
  </conditionalFormatting>
  <conditionalFormatting sqref="F95">
    <cfRule type="expression" dxfId="1054" priority="1318">
      <formula>IF(VLOOKUP($F95,PROFA,2,0)=1,1,0)</formula>
    </cfRule>
    <cfRule type="expression" dxfId="1053" priority="1319">
      <formula>IF(VLOOKUP($F95,PROFA,2,0)=2,1,0)</formula>
    </cfRule>
    <cfRule type="expression" dxfId="1052" priority="1320">
      <formula>IF(VLOOKUP($F95,PROFA,2,0)=3,1,0)</formula>
    </cfRule>
    <cfRule type="expression" dxfId="1051" priority="1321">
      <formula>IF(VLOOKUP($F95,PROFA,2,0)=4,1,0)</formula>
    </cfRule>
    <cfRule type="expression" dxfId="1050" priority="1322">
      <formula>IF(VLOOKUP($F95,PROFA,2,0)=5,1,0)</formula>
    </cfRule>
    <cfRule type="expression" dxfId="1049" priority="1323">
      <formula>IF(VLOOKUP($F95,PROFA,2,0)=6,1,0)</formula>
    </cfRule>
    <cfRule type="expression" dxfId="1048" priority="1324">
      <formula>IF(VLOOKUP($F95,PROFA,2,0)=7,1,0)</formula>
    </cfRule>
    <cfRule type="expression" dxfId="1047" priority="1325">
      <formula>IF(VLOOKUP($F95,PROFA,2,0)=8,1,0)</formula>
    </cfRule>
    <cfRule type="expression" dxfId="1046" priority="1326">
      <formula>IF(VLOOKUP($F95,PROFA,2,0)=9,1,0)</formula>
    </cfRule>
  </conditionalFormatting>
  <conditionalFormatting sqref="F100">
    <cfRule type="expression" dxfId="1045" priority="1309">
      <formula>IF(VLOOKUP($F100,PROFA,2,0)=1,1,0)</formula>
    </cfRule>
    <cfRule type="expression" dxfId="1044" priority="1310">
      <formula>IF(VLOOKUP($F100,PROFA,2,0)=2,1,0)</formula>
    </cfRule>
    <cfRule type="expression" dxfId="1043" priority="1311">
      <formula>IF(VLOOKUP($F100,PROFA,2,0)=3,1,0)</formula>
    </cfRule>
    <cfRule type="expression" dxfId="1042" priority="1312">
      <formula>IF(VLOOKUP($F100,PROFA,2,0)=4,1,0)</formula>
    </cfRule>
    <cfRule type="expression" dxfId="1041" priority="1313">
      <formula>IF(VLOOKUP($F100,PROFA,2,0)=5,1,0)</formula>
    </cfRule>
    <cfRule type="expression" dxfId="1040" priority="1314">
      <formula>IF(VLOOKUP($F100,PROFA,2,0)=6,1,0)</formula>
    </cfRule>
    <cfRule type="expression" dxfId="1039" priority="1315">
      <formula>IF(VLOOKUP($F100,PROFA,2,0)=7,1,0)</formula>
    </cfRule>
    <cfRule type="expression" dxfId="1038" priority="1316">
      <formula>IF(VLOOKUP($F100,PROFA,2,0)=8,1,0)</formula>
    </cfRule>
    <cfRule type="expression" dxfId="1037" priority="1317">
      <formula>IF(VLOOKUP($F100,PROFA,2,0)=9,1,0)</formula>
    </cfRule>
  </conditionalFormatting>
  <conditionalFormatting sqref="F101">
    <cfRule type="expression" dxfId="1036" priority="1300">
      <formula>IF(VLOOKUP($F101,PROFA,2,0)=1,1,0)</formula>
    </cfRule>
    <cfRule type="expression" dxfId="1035" priority="1301">
      <formula>IF(VLOOKUP($F101,PROFA,2,0)=2,1,0)</formula>
    </cfRule>
    <cfRule type="expression" dxfId="1034" priority="1302">
      <formula>IF(VLOOKUP($F101,PROFA,2,0)=3,1,0)</formula>
    </cfRule>
    <cfRule type="expression" dxfId="1033" priority="1303">
      <formula>IF(VLOOKUP($F101,PROFA,2,0)=4,1,0)</formula>
    </cfRule>
    <cfRule type="expression" dxfId="1032" priority="1304">
      <formula>IF(VLOOKUP($F101,PROFA,2,0)=5,1,0)</formula>
    </cfRule>
    <cfRule type="expression" dxfId="1031" priority="1305">
      <formula>IF(VLOOKUP($F101,PROFA,2,0)=6,1,0)</formula>
    </cfRule>
    <cfRule type="expression" dxfId="1030" priority="1306">
      <formula>IF(VLOOKUP($F101,PROFA,2,0)=7,1,0)</formula>
    </cfRule>
    <cfRule type="expression" dxfId="1029" priority="1307">
      <formula>IF(VLOOKUP($F101,PROFA,2,0)=8,1,0)</formula>
    </cfRule>
    <cfRule type="expression" dxfId="1028" priority="1308">
      <formula>IF(VLOOKUP($F101,PROFA,2,0)=9,1,0)</formula>
    </cfRule>
  </conditionalFormatting>
  <conditionalFormatting sqref="F108">
    <cfRule type="expression" dxfId="1027" priority="1291">
      <formula>IF(VLOOKUP($F108,PROFA,2,0)=1,1,0)</formula>
    </cfRule>
    <cfRule type="expression" dxfId="1026" priority="1292">
      <formula>IF(VLOOKUP($F108,PROFA,2,0)=2,1,0)</formula>
    </cfRule>
    <cfRule type="expression" dxfId="1025" priority="1293">
      <formula>IF(VLOOKUP($F108,PROFA,2,0)=3,1,0)</formula>
    </cfRule>
    <cfRule type="expression" dxfId="1024" priority="1294">
      <formula>IF(VLOOKUP($F108,PROFA,2,0)=4,1,0)</formula>
    </cfRule>
    <cfRule type="expression" dxfId="1023" priority="1295">
      <formula>IF(VLOOKUP($F108,PROFA,2,0)=5,1,0)</formula>
    </cfRule>
    <cfRule type="expression" dxfId="1022" priority="1296">
      <formula>IF(VLOOKUP($F108,PROFA,2,0)=6,1,0)</formula>
    </cfRule>
    <cfRule type="expression" dxfId="1021" priority="1297">
      <formula>IF(VLOOKUP($F108,PROFA,2,0)=7,1,0)</formula>
    </cfRule>
    <cfRule type="expression" dxfId="1020" priority="1298">
      <formula>IF(VLOOKUP($F108,PROFA,2,0)=8,1,0)</formula>
    </cfRule>
    <cfRule type="expression" dxfId="1019" priority="1299">
      <formula>IF(VLOOKUP($F108,PROFA,2,0)=9,1,0)</formula>
    </cfRule>
  </conditionalFormatting>
  <conditionalFormatting sqref="F116">
    <cfRule type="expression" dxfId="1018" priority="1282">
      <formula>IF(VLOOKUP($F116,PROFA,2,0)=1,1,0)</formula>
    </cfRule>
    <cfRule type="expression" dxfId="1017" priority="1283">
      <formula>IF(VLOOKUP($F116,PROFA,2,0)=2,1,0)</formula>
    </cfRule>
    <cfRule type="expression" dxfId="1016" priority="1284">
      <formula>IF(VLOOKUP($F116,PROFA,2,0)=3,1,0)</formula>
    </cfRule>
    <cfRule type="expression" dxfId="1015" priority="1285">
      <formula>IF(VLOOKUP($F116,PROFA,2,0)=4,1,0)</formula>
    </cfRule>
    <cfRule type="expression" dxfId="1014" priority="1286">
      <formula>IF(VLOOKUP($F116,PROFA,2,0)=5,1,0)</formula>
    </cfRule>
    <cfRule type="expression" dxfId="1013" priority="1287">
      <formula>IF(VLOOKUP($F116,PROFA,2,0)=6,1,0)</formula>
    </cfRule>
    <cfRule type="expression" dxfId="1012" priority="1288">
      <formula>IF(VLOOKUP($F116,PROFA,2,0)=7,1,0)</formula>
    </cfRule>
    <cfRule type="expression" dxfId="1011" priority="1289">
      <formula>IF(VLOOKUP($F116,PROFA,2,0)=8,1,0)</formula>
    </cfRule>
    <cfRule type="expression" dxfId="1010" priority="1290">
      <formula>IF(VLOOKUP($F116,PROFA,2,0)=9,1,0)</formula>
    </cfRule>
  </conditionalFormatting>
  <conditionalFormatting sqref="F132">
    <cfRule type="expression" dxfId="1009" priority="1273">
      <formula>IF(VLOOKUP($F132,PROFA,2,0)=1,1,0)</formula>
    </cfRule>
    <cfRule type="expression" dxfId="1008" priority="1274">
      <formula>IF(VLOOKUP($F132,PROFA,2,0)=2,1,0)</formula>
    </cfRule>
    <cfRule type="expression" dxfId="1007" priority="1275">
      <formula>IF(VLOOKUP($F132,PROFA,2,0)=3,1,0)</formula>
    </cfRule>
    <cfRule type="expression" dxfId="1006" priority="1276">
      <formula>IF(VLOOKUP($F132,PROFA,2,0)=4,1,0)</formula>
    </cfRule>
    <cfRule type="expression" dxfId="1005" priority="1277">
      <formula>IF(VLOOKUP($F132,PROFA,2,0)=5,1,0)</formula>
    </cfRule>
    <cfRule type="expression" dxfId="1004" priority="1278">
      <formula>IF(VLOOKUP($F132,PROFA,2,0)=6,1,0)</formula>
    </cfRule>
    <cfRule type="expression" dxfId="1003" priority="1279">
      <formula>IF(VLOOKUP($F132,PROFA,2,0)=7,1,0)</formula>
    </cfRule>
    <cfRule type="expression" dxfId="1002" priority="1280">
      <formula>IF(VLOOKUP($F132,PROFA,2,0)=8,1,0)</formula>
    </cfRule>
    <cfRule type="expression" dxfId="1001" priority="1281">
      <formula>IF(VLOOKUP($F132,PROFA,2,0)=9,1,0)</formula>
    </cfRule>
  </conditionalFormatting>
  <conditionalFormatting sqref="F133">
    <cfRule type="expression" dxfId="1000" priority="1264">
      <formula>IF(VLOOKUP($F133,PROFA,2,0)=1,1,0)</formula>
    </cfRule>
    <cfRule type="expression" dxfId="999" priority="1265">
      <formula>IF(VLOOKUP($F133,PROFA,2,0)=2,1,0)</formula>
    </cfRule>
    <cfRule type="expression" dxfId="998" priority="1266">
      <formula>IF(VLOOKUP($F133,PROFA,2,0)=3,1,0)</formula>
    </cfRule>
    <cfRule type="expression" dxfId="997" priority="1267">
      <formula>IF(VLOOKUP($F133,PROFA,2,0)=4,1,0)</formula>
    </cfRule>
    <cfRule type="expression" dxfId="996" priority="1268">
      <formula>IF(VLOOKUP($F133,PROFA,2,0)=5,1,0)</formula>
    </cfRule>
    <cfRule type="expression" dxfId="995" priority="1269">
      <formula>IF(VLOOKUP($F133,PROFA,2,0)=6,1,0)</formula>
    </cfRule>
    <cfRule type="expression" dxfId="994" priority="1270">
      <formula>IF(VLOOKUP($F133,PROFA,2,0)=7,1,0)</formula>
    </cfRule>
    <cfRule type="expression" dxfId="993" priority="1271">
      <formula>IF(VLOOKUP($F133,PROFA,2,0)=8,1,0)</formula>
    </cfRule>
    <cfRule type="expression" dxfId="992" priority="1272">
      <formula>IF(VLOOKUP($F133,PROFA,2,0)=9,1,0)</formula>
    </cfRule>
  </conditionalFormatting>
  <conditionalFormatting sqref="F135">
    <cfRule type="expression" dxfId="991" priority="1255">
      <formula>IF(VLOOKUP($F135,PROFA,2,0)=1,1,0)</formula>
    </cfRule>
    <cfRule type="expression" dxfId="990" priority="1256">
      <formula>IF(VLOOKUP($F135,PROFA,2,0)=2,1,0)</formula>
    </cfRule>
    <cfRule type="expression" dxfId="989" priority="1257">
      <formula>IF(VLOOKUP($F135,PROFA,2,0)=3,1,0)</formula>
    </cfRule>
    <cfRule type="expression" dxfId="988" priority="1258">
      <formula>IF(VLOOKUP($F135,PROFA,2,0)=4,1,0)</formula>
    </cfRule>
    <cfRule type="expression" dxfId="987" priority="1259">
      <formula>IF(VLOOKUP($F135,PROFA,2,0)=5,1,0)</formula>
    </cfRule>
    <cfRule type="expression" dxfId="986" priority="1260">
      <formula>IF(VLOOKUP($F135,PROFA,2,0)=6,1,0)</formula>
    </cfRule>
    <cfRule type="expression" dxfId="985" priority="1261">
      <formula>IF(VLOOKUP($F135,PROFA,2,0)=7,1,0)</formula>
    </cfRule>
    <cfRule type="expression" dxfId="984" priority="1262">
      <formula>IF(VLOOKUP($F135,PROFA,2,0)=8,1,0)</formula>
    </cfRule>
    <cfRule type="expression" dxfId="983" priority="1263">
      <formula>IF(VLOOKUP($F135,PROFA,2,0)=9,1,0)</formula>
    </cfRule>
  </conditionalFormatting>
  <conditionalFormatting sqref="F139">
    <cfRule type="expression" dxfId="982" priority="1246">
      <formula>IF(VLOOKUP($F139,PROFA,2,0)=1,1,0)</formula>
    </cfRule>
    <cfRule type="expression" dxfId="981" priority="1247">
      <formula>IF(VLOOKUP($F139,PROFA,2,0)=2,1,0)</formula>
    </cfRule>
    <cfRule type="expression" dxfId="980" priority="1248">
      <formula>IF(VLOOKUP($F139,PROFA,2,0)=3,1,0)</formula>
    </cfRule>
    <cfRule type="expression" dxfId="979" priority="1249">
      <formula>IF(VLOOKUP($F139,PROFA,2,0)=4,1,0)</formula>
    </cfRule>
    <cfRule type="expression" dxfId="978" priority="1250">
      <formula>IF(VLOOKUP($F139,PROFA,2,0)=5,1,0)</formula>
    </cfRule>
    <cfRule type="expression" dxfId="977" priority="1251">
      <formula>IF(VLOOKUP($F139,PROFA,2,0)=6,1,0)</formula>
    </cfRule>
    <cfRule type="expression" dxfId="976" priority="1252">
      <formula>IF(VLOOKUP($F139,PROFA,2,0)=7,1,0)</formula>
    </cfRule>
    <cfRule type="expression" dxfId="975" priority="1253">
      <formula>IF(VLOOKUP($F139,PROFA,2,0)=8,1,0)</formula>
    </cfRule>
    <cfRule type="expression" dxfId="974" priority="1254">
      <formula>IF(VLOOKUP($F139,PROFA,2,0)=9,1,0)</formula>
    </cfRule>
  </conditionalFormatting>
  <conditionalFormatting sqref="F142">
    <cfRule type="expression" dxfId="973" priority="1237">
      <formula>IF(VLOOKUP($F142,PROFA,2,0)=1,1,0)</formula>
    </cfRule>
    <cfRule type="expression" dxfId="972" priority="1238">
      <formula>IF(VLOOKUP($F142,PROFA,2,0)=2,1,0)</formula>
    </cfRule>
    <cfRule type="expression" dxfId="971" priority="1239">
      <formula>IF(VLOOKUP($F142,PROFA,2,0)=3,1,0)</formula>
    </cfRule>
    <cfRule type="expression" dxfId="970" priority="1240">
      <formula>IF(VLOOKUP($F142,PROFA,2,0)=4,1,0)</formula>
    </cfRule>
    <cfRule type="expression" dxfId="969" priority="1241">
      <formula>IF(VLOOKUP($F142,PROFA,2,0)=5,1,0)</formula>
    </cfRule>
    <cfRule type="expression" dxfId="968" priority="1242">
      <formula>IF(VLOOKUP($F142,PROFA,2,0)=6,1,0)</formula>
    </cfRule>
    <cfRule type="expression" dxfId="967" priority="1243">
      <formula>IF(VLOOKUP($F142,PROFA,2,0)=7,1,0)</formula>
    </cfRule>
    <cfRule type="expression" dxfId="966" priority="1244">
      <formula>IF(VLOOKUP($F142,PROFA,2,0)=8,1,0)</formula>
    </cfRule>
    <cfRule type="expression" dxfId="965" priority="1245">
      <formula>IF(VLOOKUP($F142,PROFA,2,0)=9,1,0)</formula>
    </cfRule>
  </conditionalFormatting>
  <conditionalFormatting sqref="F150">
    <cfRule type="expression" dxfId="964" priority="1219">
      <formula>IF(VLOOKUP($F150,PROFA,2,0)=1,1,0)</formula>
    </cfRule>
    <cfRule type="expression" dxfId="963" priority="1220">
      <formula>IF(VLOOKUP($F150,PROFA,2,0)=2,1,0)</formula>
    </cfRule>
    <cfRule type="expression" dxfId="962" priority="1221">
      <formula>IF(VLOOKUP($F150,PROFA,2,0)=3,1,0)</formula>
    </cfRule>
    <cfRule type="expression" dxfId="961" priority="1222">
      <formula>IF(VLOOKUP($F150,PROFA,2,0)=4,1,0)</formula>
    </cfRule>
    <cfRule type="expression" dxfId="960" priority="1223">
      <formula>IF(VLOOKUP($F150,PROFA,2,0)=5,1,0)</formula>
    </cfRule>
    <cfRule type="expression" dxfId="959" priority="1224">
      <formula>IF(VLOOKUP($F150,PROFA,2,0)=6,1,0)</formula>
    </cfRule>
    <cfRule type="expression" dxfId="958" priority="1225">
      <formula>IF(VLOOKUP($F150,PROFA,2,0)=7,1,0)</formula>
    </cfRule>
    <cfRule type="expression" dxfId="957" priority="1226">
      <formula>IF(VLOOKUP($F150,PROFA,2,0)=8,1,0)</formula>
    </cfRule>
    <cfRule type="expression" dxfId="956" priority="1227">
      <formula>IF(VLOOKUP($F150,PROFA,2,0)=9,1,0)</formula>
    </cfRule>
  </conditionalFormatting>
  <conditionalFormatting sqref="F158">
    <cfRule type="expression" dxfId="955" priority="1210">
      <formula>IF(VLOOKUP($F158,PROFA,2,0)=1,1,0)</formula>
    </cfRule>
    <cfRule type="expression" dxfId="954" priority="1211">
      <formula>IF(VLOOKUP($F158,PROFA,2,0)=2,1,0)</formula>
    </cfRule>
    <cfRule type="expression" dxfId="953" priority="1212">
      <formula>IF(VLOOKUP($F158,PROFA,2,0)=3,1,0)</formula>
    </cfRule>
    <cfRule type="expression" dxfId="952" priority="1213">
      <formula>IF(VLOOKUP($F158,PROFA,2,0)=4,1,0)</formula>
    </cfRule>
    <cfRule type="expression" dxfId="951" priority="1214">
      <formula>IF(VLOOKUP($F158,PROFA,2,0)=5,1,0)</formula>
    </cfRule>
    <cfRule type="expression" dxfId="950" priority="1215">
      <formula>IF(VLOOKUP($F158,PROFA,2,0)=6,1,0)</formula>
    </cfRule>
    <cfRule type="expression" dxfId="949" priority="1216">
      <formula>IF(VLOOKUP($F158,PROFA,2,0)=7,1,0)</formula>
    </cfRule>
    <cfRule type="expression" dxfId="948" priority="1217">
      <formula>IF(VLOOKUP($F158,PROFA,2,0)=8,1,0)</formula>
    </cfRule>
    <cfRule type="expression" dxfId="947" priority="1218">
      <formula>IF(VLOOKUP($F158,PROFA,2,0)=9,1,0)</formula>
    </cfRule>
  </conditionalFormatting>
  <conditionalFormatting sqref="F159">
    <cfRule type="expression" dxfId="946" priority="1201">
      <formula>IF(VLOOKUP($F159,PROFA,2,0)=1,1,0)</formula>
    </cfRule>
    <cfRule type="expression" dxfId="945" priority="1202">
      <formula>IF(VLOOKUP($F159,PROFA,2,0)=2,1,0)</formula>
    </cfRule>
    <cfRule type="expression" dxfId="944" priority="1203">
      <formula>IF(VLOOKUP($F159,PROFA,2,0)=3,1,0)</formula>
    </cfRule>
    <cfRule type="expression" dxfId="943" priority="1204">
      <formula>IF(VLOOKUP($F159,PROFA,2,0)=4,1,0)</formula>
    </cfRule>
    <cfRule type="expression" dxfId="942" priority="1205">
      <formula>IF(VLOOKUP($F159,PROFA,2,0)=5,1,0)</formula>
    </cfRule>
    <cfRule type="expression" dxfId="941" priority="1206">
      <formula>IF(VLOOKUP($F159,PROFA,2,0)=6,1,0)</formula>
    </cfRule>
    <cfRule type="expression" dxfId="940" priority="1207">
      <formula>IF(VLOOKUP($F159,PROFA,2,0)=7,1,0)</formula>
    </cfRule>
    <cfRule type="expression" dxfId="939" priority="1208">
      <formula>IF(VLOOKUP($F159,PROFA,2,0)=8,1,0)</formula>
    </cfRule>
    <cfRule type="expression" dxfId="938" priority="1209">
      <formula>IF(VLOOKUP($F159,PROFA,2,0)=9,1,0)</formula>
    </cfRule>
  </conditionalFormatting>
  <conditionalFormatting sqref="F161">
    <cfRule type="expression" dxfId="937" priority="1192">
      <formula>IF(VLOOKUP($F161,PROFA,2,0)=1,1,0)</formula>
    </cfRule>
    <cfRule type="expression" dxfId="936" priority="1193">
      <formula>IF(VLOOKUP($F161,PROFA,2,0)=2,1,0)</formula>
    </cfRule>
    <cfRule type="expression" dxfId="935" priority="1194">
      <formula>IF(VLOOKUP($F161,PROFA,2,0)=3,1,0)</formula>
    </cfRule>
    <cfRule type="expression" dxfId="934" priority="1195">
      <formula>IF(VLOOKUP($F161,PROFA,2,0)=4,1,0)</formula>
    </cfRule>
    <cfRule type="expression" dxfId="933" priority="1196">
      <formula>IF(VLOOKUP($F161,PROFA,2,0)=5,1,0)</formula>
    </cfRule>
    <cfRule type="expression" dxfId="932" priority="1197">
      <formula>IF(VLOOKUP($F161,PROFA,2,0)=6,1,0)</formula>
    </cfRule>
    <cfRule type="expression" dxfId="931" priority="1198">
      <formula>IF(VLOOKUP($F161,PROFA,2,0)=7,1,0)</formula>
    </cfRule>
    <cfRule type="expression" dxfId="930" priority="1199">
      <formula>IF(VLOOKUP($F161,PROFA,2,0)=8,1,0)</formula>
    </cfRule>
    <cfRule type="expression" dxfId="929" priority="1200">
      <formula>IF(VLOOKUP($F161,PROFA,2,0)=9,1,0)</formula>
    </cfRule>
  </conditionalFormatting>
  <conditionalFormatting sqref="F163">
    <cfRule type="expression" dxfId="928" priority="1183">
      <formula>IF(VLOOKUP($F163,PROFA,2,0)=1,1,0)</formula>
    </cfRule>
    <cfRule type="expression" dxfId="927" priority="1184">
      <formula>IF(VLOOKUP($F163,PROFA,2,0)=2,1,0)</formula>
    </cfRule>
    <cfRule type="expression" dxfId="926" priority="1185">
      <formula>IF(VLOOKUP($F163,PROFA,2,0)=3,1,0)</formula>
    </cfRule>
    <cfRule type="expression" dxfId="925" priority="1186">
      <formula>IF(VLOOKUP($F163,PROFA,2,0)=4,1,0)</formula>
    </cfRule>
    <cfRule type="expression" dxfId="924" priority="1187">
      <formula>IF(VLOOKUP($F163,PROFA,2,0)=5,1,0)</formula>
    </cfRule>
    <cfRule type="expression" dxfId="923" priority="1188">
      <formula>IF(VLOOKUP($F163,PROFA,2,0)=6,1,0)</formula>
    </cfRule>
    <cfRule type="expression" dxfId="922" priority="1189">
      <formula>IF(VLOOKUP($F163,PROFA,2,0)=7,1,0)</formula>
    </cfRule>
    <cfRule type="expression" dxfId="921" priority="1190">
      <formula>IF(VLOOKUP($F163,PROFA,2,0)=8,1,0)</formula>
    </cfRule>
    <cfRule type="expression" dxfId="920" priority="1191">
      <formula>IF(VLOOKUP($F163,PROFA,2,0)=9,1,0)</formula>
    </cfRule>
  </conditionalFormatting>
  <conditionalFormatting sqref="F165">
    <cfRule type="expression" dxfId="919" priority="1174">
      <formula>IF(VLOOKUP($F165,PROFA,2,0)=1,1,0)</formula>
    </cfRule>
    <cfRule type="expression" dxfId="918" priority="1175">
      <formula>IF(VLOOKUP($F165,PROFA,2,0)=2,1,0)</formula>
    </cfRule>
    <cfRule type="expression" dxfId="917" priority="1176">
      <formula>IF(VLOOKUP($F165,PROFA,2,0)=3,1,0)</formula>
    </cfRule>
    <cfRule type="expression" dxfId="916" priority="1177">
      <formula>IF(VLOOKUP($F165,PROFA,2,0)=4,1,0)</formula>
    </cfRule>
    <cfRule type="expression" dxfId="915" priority="1178">
      <formula>IF(VLOOKUP($F165,PROFA,2,0)=5,1,0)</formula>
    </cfRule>
    <cfRule type="expression" dxfId="914" priority="1179">
      <formula>IF(VLOOKUP($F165,PROFA,2,0)=6,1,0)</formula>
    </cfRule>
    <cfRule type="expression" dxfId="913" priority="1180">
      <formula>IF(VLOOKUP($F165,PROFA,2,0)=7,1,0)</formula>
    </cfRule>
    <cfRule type="expression" dxfId="912" priority="1181">
      <formula>IF(VLOOKUP($F165,PROFA,2,0)=8,1,0)</formula>
    </cfRule>
    <cfRule type="expression" dxfId="911" priority="1182">
      <formula>IF(VLOOKUP($F165,PROFA,2,0)=9,1,0)</formula>
    </cfRule>
  </conditionalFormatting>
  <conditionalFormatting sqref="F169">
    <cfRule type="expression" dxfId="910" priority="1165">
      <formula>IF(VLOOKUP($F169,PROFA,2,0)=1,1,0)</formula>
    </cfRule>
    <cfRule type="expression" dxfId="909" priority="1166">
      <formula>IF(VLOOKUP($F169,PROFA,2,0)=2,1,0)</formula>
    </cfRule>
    <cfRule type="expression" dxfId="908" priority="1167">
      <formula>IF(VLOOKUP($F169,PROFA,2,0)=3,1,0)</formula>
    </cfRule>
    <cfRule type="expression" dxfId="907" priority="1168">
      <formula>IF(VLOOKUP($F169,PROFA,2,0)=4,1,0)</formula>
    </cfRule>
    <cfRule type="expression" dxfId="906" priority="1169">
      <formula>IF(VLOOKUP($F169,PROFA,2,0)=5,1,0)</formula>
    </cfRule>
    <cfRule type="expression" dxfId="905" priority="1170">
      <formula>IF(VLOOKUP($F169,PROFA,2,0)=6,1,0)</formula>
    </cfRule>
    <cfRule type="expression" dxfId="904" priority="1171">
      <formula>IF(VLOOKUP($F169,PROFA,2,0)=7,1,0)</formula>
    </cfRule>
    <cfRule type="expression" dxfId="903" priority="1172">
      <formula>IF(VLOOKUP($F169,PROFA,2,0)=8,1,0)</formula>
    </cfRule>
    <cfRule type="expression" dxfId="902" priority="1173">
      <formula>IF(VLOOKUP($F169,PROFA,2,0)=9,1,0)</formula>
    </cfRule>
  </conditionalFormatting>
  <conditionalFormatting sqref="F177">
    <cfRule type="expression" dxfId="901" priority="1156">
      <formula>IF(VLOOKUP($F177,PROFA,2,0)=1,1,0)</formula>
    </cfRule>
    <cfRule type="expression" dxfId="900" priority="1157">
      <formula>IF(VLOOKUP($F177,PROFA,2,0)=2,1,0)</formula>
    </cfRule>
    <cfRule type="expression" dxfId="899" priority="1158">
      <formula>IF(VLOOKUP($F177,PROFA,2,0)=3,1,0)</formula>
    </cfRule>
    <cfRule type="expression" dxfId="898" priority="1159">
      <formula>IF(VLOOKUP($F177,PROFA,2,0)=4,1,0)</formula>
    </cfRule>
    <cfRule type="expression" dxfId="897" priority="1160">
      <formula>IF(VLOOKUP($F177,PROFA,2,0)=5,1,0)</formula>
    </cfRule>
    <cfRule type="expression" dxfId="896" priority="1161">
      <formula>IF(VLOOKUP($F177,PROFA,2,0)=6,1,0)</formula>
    </cfRule>
    <cfRule type="expression" dxfId="895" priority="1162">
      <formula>IF(VLOOKUP($F177,PROFA,2,0)=7,1,0)</formula>
    </cfRule>
    <cfRule type="expression" dxfId="894" priority="1163">
      <formula>IF(VLOOKUP($F177,PROFA,2,0)=8,1,0)</formula>
    </cfRule>
    <cfRule type="expression" dxfId="893" priority="1164">
      <formula>IF(VLOOKUP($F177,PROFA,2,0)=9,1,0)</formula>
    </cfRule>
  </conditionalFormatting>
  <conditionalFormatting sqref="F180">
    <cfRule type="expression" dxfId="892" priority="1147">
      <formula>IF(VLOOKUP($F180,PROFA,2,0)=1,1,0)</formula>
    </cfRule>
    <cfRule type="expression" dxfId="891" priority="1148">
      <formula>IF(VLOOKUP($F180,PROFA,2,0)=2,1,0)</formula>
    </cfRule>
    <cfRule type="expression" dxfId="890" priority="1149">
      <formula>IF(VLOOKUP($F180,PROFA,2,0)=3,1,0)</formula>
    </cfRule>
    <cfRule type="expression" dxfId="889" priority="1150">
      <formula>IF(VLOOKUP($F180,PROFA,2,0)=4,1,0)</formula>
    </cfRule>
    <cfRule type="expression" dxfId="888" priority="1151">
      <formula>IF(VLOOKUP($F180,PROFA,2,0)=5,1,0)</formula>
    </cfRule>
    <cfRule type="expression" dxfId="887" priority="1152">
      <formula>IF(VLOOKUP($F180,PROFA,2,0)=6,1,0)</formula>
    </cfRule>
    <cfRule type="expression" dxfId="886" priority="1153">
      <formula>IF(VLOOKUP($F180,PROFA,2,0)=7,1,0)</formula>
    </cfRule>
    <cfRule type="expression" dxfId="885" priority="1154">
      <formula>IF(VLOOKUP($F180,PROFA,2,0)=8,1,0)</formula>
    </cfRule>
    <cfRule type="expression" dxfId="884" priority="1155">
      <formula>IF(VLOOKUP($F180,PROFA,2,0)=9,1,0)</formula>
    </cfRule>
  </conditionalFormatting>
  <conditionalFormatting sqref="F39">
    <cfRule type="expression" dxfId="883" priority="1138">
      <formula>IF(VLOOKUP($F39,PROFA,2,0)=1,1,0)</formula>
    </cfRule>
    <cfRule type="expression" dxfId="882" priority="1139">
      <formula>IF(VLOOKUP($F39,PROFA,2,0)=2,1,0)</formula>
    </cfRule>
    <cfRule type="expression" dxfId="881" priority="1140">
      <formula>IF(VLOOKUP($F39,PROFA,2,0)=3,1,0)</formula>
    </cfRule>
    <cfRule type="expression" dxfId="880" priority="1141">
      <formula>IF(VLOOKUP($F39,PROFA,2,0)=4,1,0)</formula>
    </cfRule>
    <cfRule type="expression" dxfId="879" priority="1142">
      <formula>IF(VLOOKUP($F39,PROFA,2,0)=5,1,0)</formula>
    </cfRule>
    <cfRule type="expression" dxfId="878" priority="1143">
      <formula>IF(VLOOKUP($F39,PROFA,2,0)=6,1,0)</formula>
    </cfRule>
    <cfRule type="expression" dxfId="877" priority="1144">
      <formula>IF(VLOOKUP($F39,PROFA,2,0)=7,1,0)</formula>
    </cfRule>
    <cfRule type="expression" dxfId="876" priority="1145">
      <formula>IF(VLOOKUP($F39,PROFA,2,0)=8,1,0)</formula>
    </cfRule>
    <cfRule type="expression" dxfId="875" priority="1146">
      <formula>IF(VLOOKUP($F39,PROFA,2,0)=9,1,0)</formula>
    </cfRule>
  </conditionalFormatting>
  <conditionalFormatting sqref="F66">
    <cfRule type="expression" dxfId="874" priority="1129">
      <formula>IF(VLOOKUP($F66,PROFA,2,0)=1,1,0)</formula>
    </cfRule>
    <cfRule type="expression" dxfId="873" priority="1130">
      <formula>IF(VLOOKUP($F66,PROFA,2,0)=2,1,0)</formula>
    </cfRule>
    <cfRule type="expression" dxfId="872" priority="1131">
      <formula>IF(VLOOKUP($F66,PROFA,2,0)=3,1,0)</formula>
    </cfRule>
    <cfRule type="expression" dxfId="871" priority="1132">
      <formula>IF(VLOOKUP($F66,PROFA,2,0)=4,1,0)</formula>
    </cfRule>
    <cfRule type="expression" dxfId="870" priority="1133">
      <formula>IF(VLOOKUP($F66,PROFA,2,0)=5,1,0)</formula>
    </cfRule>
    <cfRule type="expression" dxfId="869" priority="1134">
      <formula>IF(VLOOKUP($F66,PROFA,2,0)=6,1,0)</formula>
    </cfRule>
    <cfRule type="expression" dxfId="868" priority="1135">
      <formula>IF(VLOOKUP($F66,PROFA,2,0)=7,1,0)</formula>
    </cfRule>
    <cfRule type="expression" dxfId="867" priority="1136">
      <formula>IF(VLOOKUP($F66,PROFA,2,0)=8,1,0)</formula>
    </cfRule>
    <cfRule type="expression" dxfId="866" priority="1137">
      <formula>IF(VLOOKUP($F66,PROFA,2,0)=9,1,0)</formula>
    </cfRule>
  </conditionalFormatting>
  <conditionalFormatting sqref="F70">
    <cfRule type="expression" dxfId="865" priority="1120">
      <formula>IF(VLOOKUP($F70,PROFA,2,0)=1,1,0)</formula>
    </cfRule>
    <cfRule type="expression" dxfId="864" priority="1121">
      <formula>IF(VLOOKUP($F70,PROFA,2,0)=2,1,0)</formula>
    </cfRule>
    <cfRule type="expression" dxfId="863" priority="1122">
      <formula>IF(VLOOKUP($F70,PROFA,2,0)=3,1,0)</formula>
    </cfRule>
    <cfRule type="expression" dxfId="862" priority="1123">
      <formula>IF(VLOOKUP($F70,PROFA,2,0)=4,1,0)</formula>
    </cfRule>
    <cfRule type="expression" dxfId="861" priority="1124">
      <formula>IF(VLOOKUP($F70,PROFA,2,0)=5,1,0)</formula>
    </cfRule>
    <cfRule type="expression" dxfId="860" priority="1125">
      <formula>IF(VLOOKUP($F70,PROFA,2,0)=6,1,0)</formula>
    </cfRule>
    <cfRule type="expression" dxfId="859" priority="1126">
      <formula>IF(VLOOKUP($F70,PROFA,2,0)=7,1,0)</formula>
    </cfRule>
    <cfRule type="expression" dxfId="858" priority="1127">
      <formula>IF(VLOOKUP($F70,PROFA,2,0)=8,1,0)</formula>
    </cfRule>
    <cfRule type="expression" dxfId="857" priority="1128">
      <formula>IF(VLOOKUP($F70,PROFA,2,0)=9,1,0)</formula>
    </cfRule>
  </conditionalFormatting>
  <conditionalFormatting sqref="F87">
    <cfRule type="expression" dxfId="856" priority="1111">
      <formula>IF(VLOOKUP($F87,PROFA,2,0)=1,1,0)</formula>
    </cfRule>
    <cfRule type="expression" dxfId="855" priority="1112">
      <formula>IF(VLOOKUP($F87,PROFA,2,0)=2,1,0)</formula>
    </cfRule>
    <cfRule type="expression" dxfId="854" priority="1113">
      <formula>IF(VLOOKUP($F87,PROFA,2,0)=3,1,0)</formula>
    </cfRule>
    <cfRule type="expression" dxfId="853" priority="1114">
      <formula>IF(VLOOKUP($F87,PROFA,2,0)=4,1,0)</formula>
    </cfRule>
    <cfRule type="expression" dxfId="852" priority="1115">
      <formula>IF(VLOOKUP($F87,PROFA,2,0)=5,1,0)</formula>
    </cfRule>
    <cfRule type="expression" dxfId="851" priority="1116">
      <formula>IF(VLOOKUP($F87,PROFA,2,0)=6,1,0)</formula>
    </cfRule>
    <cfRule type="expression" dxfId="850" priority="1117">
      <formula>IF(VLOOKUP($F87,PROFA,2,0)=7,1,0)</formula>
    </cfRule>
    <cfRule type="expression" dxfId="849" priority="1118">
      <formula>IF(VLOOKUP($F87,PROFA,2,0)=8,1,0)</formula>
    </cfRule>
    <cfRule type="expression" dxfId="848" priority="1119">
      <formula>IF(VLOOKUP($F87,PROFA,2,0)=9,1,0)</formula>
    </cfRule>
  </conditionalFormatting>
  <conditionalFormatting sqref="F99">
    <cfRule type="expression" dxfId="847" priority="1102">
      <formula>IF(VLOOKUP($F99,PROFA,2,0)=1,1,0)</formula>
    </cfRule>
    <cfRule type="expression" dxfId="846" priority="1103">
      <formula>IF(VLOOKUP($F99,PROFA,2,0)=2,1,0)</formula>
    </cfRule>
    <cfRule type="expression" dxfId="845" priority="1104">
      <formula>IF(VLOOKUP($F99,PROFA,2,0)=3,1,0)</formula>
    </cfRule>
    <cfRule type="expression" dxfId="844" priority="1105">
      <formula>IF(VLOOKUP($F99,PROFA,2,0)=4,1,0)</formula>
    </cfRule>
    <cfRule type="expression" dxfId="843" priority="1106">
      <formula>IF(VLOOKUP($F99,PROFA,2,0)=5,1,0)</formula>
    </cfRule>
    <cfRule type="expression" dxfId="842" priority="1107">
      <formula>IF(VLOOKUP($F99,PROFA,2,0)=6,1,0)</formula>
    </cfRule>
    <cfRule type="expression" dxfId="841" priority="1108">
      <formula>IF(VLOOKUP($F99,PROFA,2,0)=7,1,0)</formula>
    </cfRule>
    <cfRule type="expression" dxfId="840" priority="1109">
      <formula>IF(VLOOKUP($F99,PROFA,2,0)=8,1,0)</formula>
    </cfRule>
    <cfRule type="expression" dxfId="839" priority="1110">
      <formula>IF(VLOOKUP($F99,PROFA,2,0)=9,1,0)</formula>
    </cfRule>
  </conditionalFormatting>
  <conditionalFormatting sqref="F107">
    <cfRule type="expression" dxfId="838" priority="1093">
      <formula>IF(VLOOKUP($F107,PROFA,2,0)=1,1,0)</formula>
    </cfRule>
    <cfRule type="expression" dxfId="837" priority="1094">
      <formula>IF(VLOOKUP($F107,PROFA,2,0)=2,1,0)</formula>
    </cfRule>
    <cfRule type="expression" dxfId="836" priority="1095">
      <formula>IF(VLOOKUP($F107,PROFA,2,0)=3,1,0)</formula>
    </cfRule>
    <cfRule type="expression" dxfId="835" priority="1096">
      <formula>IF(VLOOKUP($F107,PROFA,2,0)=4,1,0)</formula>
    </cfRule>
    <cfRule type="expression" dxfId="834" priority="1097">
      <formula>IF(VLOOKUP($F107,PROFA,2,0)=5,1,0)</formula>
    </cfRule>
    <cfRule type="expression" dxfId="833" priority="1098">
      <formula>IF(VLOOKUP($F107,PROFA,2,0)=6,1,0)</formula>
    </cfRule>
    <cfRule type="expression" dxfId="832" priority="1099">
      <formula>IF(VLOOKUP($F107,PROFA,2,0)=7,1,0)</formula>
    </cfRule>
    <cfRule type="expression" dxfId="831" priority="1100">
      <formula>IF(VLOOKUP($F107,PROFA,2,0)=8,1,0)</formula>
    </cfRule>
    <cfRule type="expression" dxfId="830" priority="1101">
      <formula>IF(VLOOKUP($F107,PROFA,2,0)=9,1,0)</formula>
    </cfRule>
  </conditionalFormatting>
  <conditionalFormatting sqref="F115">
    <cfRule type="expression" dxfId="829" priority="1084">
      <formula>IF(VLOOKUP($F115,PROFA,2,0)=1,1,0)</formula>
    </cfRule>
    <cfRule type="expression" dxfId="828" priority="1085">
      <formula>IF(VLOOKUP($F115,PROFA,2,0)=2,1,0)</formula>
    </cfRule>
    <cfRule type="expression" dxfId="827" priority="1086">
      <formula>IF(VLOOKUP($F115,PROFA,2,0)=3,1,0)</formula>
    </cfRule>
    <cfRule type="expression" dxfId="826" priority="1087">
      <formula>IF(VLOOKUP($F115,PROFA,2,0)=4,1,0)</formula>
    </cfRule>
    <cfRule type="expression" dxfId="825" priority="1088">
      <formula>IF(VLOOKUP($F115,PROFA,2,0)=5,1,0)</formula>
    </cfRule>
    <cfRule type="expression" dxfId="824" priority="1089">
      <formula>IF(VLOOKUP($F115,PROFA,2,0)=6,1,0)</formula>
    </cfRule>
    <cfRule type="expression" dxfId="823" priority="1090">
      <formula>IF(VLOOKUP($F115,PROFA,2,0)=7,1,0)</formula>
    </cfRule>
    <cfRule type="expression" dxfId="822" priority="1091">
      <formula>IF(VLOOKUP($F115,PROFA,2,0)=8,1,0)</formula>
    </cfRule>
    <cfRule type="expression" dxfId="821" priority="1092">
      <formula>IF(VLOOKUP($F115,PROFA,2,0)=9,1,0)</formula>
    </cfRule>
  </conditionalFormatting>
  <conditionalFormatting sqref="F131">
    <cfRule type="expression" dxfId="820" priority="1075">
      <formula>IF(VLOOKUP($F131,PROFA,2,0)=1,1,0)</formula>
    </cfRule>
    <cfRule type="expression" dxfId="819" priority="1076">
      <formula>IF(VLOOKUP($F131,PROFA,2,0)=2,1,0)</formula>
    </cfRule>
    <cfRule type="expression" dxfId="818" priority="1077">
      <formula>IF(VLOOKUP($F131,PROFA,2,0)=3,1,0)</formula>
    </cfRule>
    <cfRule type="expression" dxfId="817" priority="1078">
      <formula>IF(VLOOKUP($F131,PROFA,2,0)=4,1,0)</formula>
    </cfRule>
    <cfRule type="expression" dxfId="816" priority="1079">
      <formula>IF(VLOOKUP($F131,PROFA,2,0)=5,1,0)</formula>
    </cfRule>
    <cfRule type="expression" dxfId="815" priority="1080">
      <formula>IF(VLOOKUP($F131,PROFA,2,0)=6,1,0)</formula>
    </cfRule>
    <cfRule type="expression" dxfId="814" priority="1081">
      <formula>IF(VLOOKUP($F131,PROFA,2,0)=7,1,0)</formula>
    </cfRule>
    <cfRule type="expression" dxfId="813" priority="1082">
      <formula>IF(VLOOKUP($F131,PROFA,2,0)=8,1,0)</formula>
    </cfRule>
    <cfRule type="expression" dxfId="812" priority="1083">
      <formula>IF(VLOOKUP($F131,PROFA,2,0)=9,1,0)</formula>
    </cfRule>
  </conditionalFormatting>
  <conditionalFormatting sqref="F141">
    <cfRule type="expression" dxfId="811" priority="1066">
      <formula>IF(VLOOKUP($F141,PROFA,2,0)=1,1,0)</formula>
    </cfRule>
    <cfRule type="expression" dxfId="810" priority="1067">
      <formula>IF(VLOOKUP($F141,PROFA,2,0)=2,1,0)</formula>
    </cfRule>
    <cfRule type="expression" dxfId="809" priority="1068">
      <formula>IF(VLOOKUP($F141,PROFA,2,0)=3,1,0)</formula>
    </cfRule>
    <cfRule type="expression" dxfId="808" priority="1069">
      <formula>IF(VLOOKUP($F141,PROFA,2,0)=4,1,0)</formula>
    </cfRule>
    <cfRule type="expression" dxfId="807" priority="1070">
      <formula>IF(VLOOKUP($F141,PROFA,2,0)=5,1,0)</formula>
    </cfRule>
    <cfRule type="expression" dxfId="806" priority="1071">
      <formula>IF(VLOOKUP($F141,PROFA,2,0)=6,1,0)</formula>
    </cfRule>
    <cfRule type="expression" dxfId="805" priority="1072">
      <formula>IF(VLOOKUP($F141,PROFA,2,0)=7,1,0)</formula>
    </cfRule>
    <cfRule type="expression" dxfId="804" priority="1073">
      <formula>IF(VLOOKUP($F141,PROFA,2,0)=8,1,0)</formula>
    </cfRule>
    <cfRule type="expression" dxfId="803" priority="1074">
      <formula>IF(VLOOKUP($F141,PROFA,2,0)=9,1,0)</formula>
    </cfRule>
  </conditionalFormatting>
  <conditionalFormatting sqref="F149">
    <cfRule type="expression" dxfId="802" priority="1057">
      <formula>IF(VLOOKUP($F149,PROFA,2,0)=1,1,0)</formula>
    </cfRule>
    <cfRule type="expression" dxfId="801" priority="1058">
      <formula>IF(VLOOKUP($F149,PROFA,2,0)=2,1,0)</formula>
    </cfRule>
    <cfRule type="expression" dxfId="800" priority="1059">
      <formula>IF(VLOOKUP($F149,PROFA,2,0)=3,1,0)</formula>
    </cfRule>
    <cfRule type="expression" dxfId="799" priority="1060">
      <formula>IF(VLOOKUP($F149,PROFA,2,0)=4,1,0)</formula>
    </cfRule>
    <cfRule type="expression" dxfId="798" priority="1061">
      <formula>IF(VLOOKUP($F149,PROFA,2,0)=5,1,0)</formula>
    </cfRule>
    <cfRule type="expression" dxfId="797" priority="1062">
      <formula>IF(VLOOKUP($F149,PROFA,2,0)=6,1,0)</formula>
    </cfRule>
    <cfRule type="expression" dxfId="796" priority="1063">
      <formula>IF(VLOOKUP($F149,PROFA,2,0)=7,1,0)</formula>
    </cfRule>
    <cfRule type="expression" dxfId="795" priority="1064">
      <formula>IF(VLOOKUP($F149,PROFA,2,0)=8,1,0)</formula>
    </cfRule>
    <cfRule type="expression" dxfId="794" priority="1065">
      <formula>IF(VLOOKUP($F149,PROFA,2,0)=9,1,0)</formula>
    </cfRule>
  </conditionalFormatting>
  <conditionalFormatting sqref="F157">
    <cfRule type="expression" dxfId="793" priority="1048">
      <formula>IF(VLOOKUP($F157,PROFA,2,0)=1,1,0)</formula>
    </cfRule>
    <cfRule type="expression" dxfId="792" priority="1049">
      <formula>IF(VLOOKUP($F157,PROFA,2,0)=2,1,0)</formula>
    </cfRule>
    <cfRule type="expression" dxfId="791" priority="1050">
      <formula>IF(VLOOKUP($F157,PROFA,2,0)=3,1,0)</formula>
    </cfRule>
    <cfRule type="expression" dxfId="790" priority="1051">
      <formula>IF(VLOOKUP($F157,PROFA,2,0)=4,1,0)</formula>
    </cfRule>
    <cfRule type="expression" dxfId="789" priority="1052">
      <formula>IF(VLOOKUP($F157,PROFA,2,0)=5,1,0)</formula>
    </cfRule>
    <cfRule type="expression" dxfId="788" priority="1053">
      <formula>IF(VLOOKUP($F157,PROFA,2,0)=6,1,0)</formula>
    </cfRule>
    <cfRule type="expression" dxfId="787" priority="1054">
      <formula>IF(VLOOKUP($F157,PROFA,2,0)=7,1,0)</formula>
    </cfRule>
    <cfRule type="expression" dxfId="786" priority="1055">
      <formula>IF(VLOOKUP($F157,PROFA,2,0)=8,1,0)</formula>
    </cfRule>
    <cfRule type="expression" dxfId="785" priority="1056">
      <formula>IF(VLOOKUP($F157,PROFA,2,0)=9,1,0)</formula>
    </cfRule>
  </conditionalFormatting>
  <conditionalFormatting sqref="F168">
    <cfRule type="expression" dxfId="784" priority="1039">
      <formula>IF(VLOOKUP($F168,PROFA,2,0)=1,1,0)</formula>
    </cfRule>
    <cfRule type="expression" dxfId="783" priority="1040">
      <formula>IF(VLOOKUP($F168,PROFA,2,0)=2,1,0)</formula>
    </cfRule>
    <cfRule type="expression" dxfId="782" priority="1041">
      <formula>IF(VLOOKUP($F168,PROFA,2,0)=3,1,0)</formula>
    </cfRule>
    <cfRule type="expression" dxfId="781" priority="1042">
      <formula>IF(VLOOKUP($F168,PROFA,2,0)=4,1,0)</formula>
    </cfRule>
    <cfRule type="expression" dxfId="780" priority="1043">
      <formula>IF(VLOOKUP($F168,PROFA,2,0)=5,1,0)</formula>
    </cfRule>
    <cfRule type="expression" dxfId="779" priority="1044">
      <formula>IF(VLOOKUP($F168,PROFA,2,0)=6,1,0)</formula>
    </cfRule>
    <cfRule type="expression" dxfId="778" priority="1045">
      <formula>IF(VLOOKUP($F168,PROFA,2,0)=7,1,0)</formula>
    </cfRule>
    <cfRule type="expression" dxfId="777" priority="1046">
      <formula>IF(VLOOKUP($F168,PROFA,2,0)=8,1,0)</formula>
    </cfRule>
    <cfRule type="expression" dxfId="776" priority="1047">
      <formula>IF(VLOOKUP($F168,PROFA,2,0)=9,1,0)</formula>
    </cfRule>
  </conditionalFormatting>
  <conditionalFormatting sqref="F176">
    <cfRule type="expression" dxfId="775" priority="1030">
      <formula>IF(VLOOKUP($F176,PROFA,2,0)=1,1,0)</formula>
    </cfRule>
    <cfRule type="expression" dxfId="774" priority="1031">
      <formula>IF(VLOOKUP($F176,PROFA,2,0)=2,1,0)</formula>
    </cfRule>
    <cfRule type="expression" dxfId="773" priority="1032">
      <formula>IF(VLOOKUP($F176,PROFA,2,0)=3,1,0)</formula>
    </cfRule>
    <cfRule type="expression" dxfId="772" priority="1033">
      <formula>IF(VLOOKUP($F176,PROFA,2,0)=4,1,0)</formula>
    </cfRule>
    <cfRule type="expression" dxfId="771" priority="1034">
      <formula>IF(VLOOKUP($F176,PROFA,2,0)=5,1,0)</formula>
    </cfRule>
    <cfRule type="expression" dxfId="770" priority="1035">
      <formula>IF(VLOOKUP($F176,PROFA,2,0)=6,1,0)</formula>
    </cfRule>
    <cfRule type="expression" dxfId="769" priority="1036">
      <formula>IF(VLOOKUP($F176,PROFA,2,0)=7,1,0)</formula>
    </cfRule>
    <cfRule type="expression" dxfId="768" priority="1037">
      <formula>IF(VLOOKUP($F176,PROFA,2,0)=8,1,0)</formula>
    </cfRule>
    <cfRule type="expression" dxfId="767" priority="1038">
      <formula>IF(VLOOKUP($F176,PROFA,2,0)=9,1,0)</formula>
    </cfRule>
  </conditionalFormatting>
  <conditionalFormatting sqref="F113">
    <cfRule type="expression" dxfId="766" priority="1003">
      <formula>IF(VLOOKUP($F113,PROFA,2,0)=1,1,0)</formula>
    </cfRule>
    <cfRule type="expression" dxfId="765" priority="1004">
      <formula>IF(VLOOKUP($F113,PROFA,2,0)=2,1,0)</formula>
    </cfRule>
    <cfRule type="expression" dxfId="764" priority="1005">
      <formula>IF(VLOOKUP($F113,PROFA,2,0)=3,1,0)</formula>
    </cfRule>
    <cfRule type="expression" dxfId="763" priority="1006">
      <formula>IF(VLOOKUP($F113,PROFA,2,0)=4,1,0)</formula>
    </cfRule>
    <cfRule type="expression" dxfId="762" priority="1007">
      <formula>IF(VLOOKUP($F113,PROFA,2,0)=5,1,0)</formula>
    </cfRule>
    <cfRule type="expression" dxfId="761" priority="1008">
      <formula>IF(VLOOKUP($F113,PROFA,2,0)=6,1,0)</formula>
    </cfRule>
    <cfRule type="expression" dxfId="760" priority="1009">
      <formula>IF(VLOOKUP($F113,PROFA,2,0)=7,1,0)</formula>
    </cfRule>
    <cfRule type="expression" dxfId="759" priority="1010">
      <formula>IF(VLOOKUP($F113,PROFA,2,0)=8,1,0)</formula>
    </cfRule>
    <cfRule type="expression" dxfId="758" priority="1011">
      <formula>IF(VLOOKUP($F113,PROFA,2,0)=9,1,0)</formula>
    </cfRule>
  </conditionalFormatting>
  <conditionalFormatting sqref="F30">
    <cfRule type="expression" dxfId="757" priority="985">
      <formula>IF(VLOOKUP($F30,PROFA,2,0)=1,1,0)</formula>
    </cfRule>
    <cfRule type="expression" dxfId="756" priority="986">
      <formula>IF(VLOOKUP($F30,PROFA,2,0)=2,1,0)</formula>
    </cfRule>
    <cfRule type="expression" dxfId="755" priority="987">
      <formula>IF(VLOOKUP($F30,PROFA,2,0)=3,1,0)</formula>
    </cfRule>
    <cfRule type="expression" dxfId="754" priority="988">
      <formula>IF(VLOOKUP($F30,PROFA,2,0)=4,1,0)</formula>
    </cfRule>
    <cfRule type="expression" dxfId="753" priority="989">
      <formula>IF(VLOOKUP($F30,PROFA,2,0)=5,1,0)</formula>
    </cfRule>
    <cfRule type="expression" dxfId="752" priority="990">
      <formula>IF(VLOOKUP($F30,PROFA,2,0)=6,1,0)</formula>
    </cfRule>
    <cfRule type="expression" dxfId="751" priority="991">
      <formula>IF(VLOOKUP($F30,PROFA,2,0)=7,1,0)</formula>
    </cfRule>
    <cfRule type="expression" dxfId="750" priority="992">
      <formula>IF(VLOOKUP($F30,PROFA,2,0)=8,1,0)</formula>
    </cfRule>
    <cfRule type="expression" dxfId="749" priority="993">
      <formula>IF(VLOOKUP($F30,PROFA,2,0)=9,1,0)</formula>
    </cfRule>
  </conditionalFormatting>
  <conditionalFormatting sqref="F41">
    <cfRule type="expression" dxfId="748" priority="976">
      <formula>IF(VLOOKUP($F41,PROFA,2,0)=1,1,0)</formula>
    </cfRule>
    <cfRule type="expression" dxfId="747" priority="977">
      <formula>IF(VLOOKUP($F41,PROFA,2,0)=2,1,0)</formula>
    </cfRule>
    <cfRule type="expression" dxfId="746" priority="978">
      <formula>IF(VLOOKUP($F41,PROFA,2,0)=3,1,0)</formula>
    </cfRule>
    <cfRule type="expression" dxfId="745" priority="979">
      <formula>IF(VLOOKUP($F41,PROFA,2,0)=4,1,0)</formula>
    </cfRule>
    <cfRule type="expression" dxfId="744" priority="980">
      <formula>IF(VLOOKUP($F41,PROFA,2,0)=5,1,0)</formula>
    </cfRule>
    <cfRule type="expression" dxfId="743" priority="981">
      <formula>IF(VLOOKUP($F41,PROFA,2,0)=6,1,0)</formula>
    </cfRule>
    <cfRule type="expression" dxfId="742" priority="982">
      <formula>IF(VLOOKUP($F41,PROFA,2,0)=7,1,0)</formula>
    </cfRule>
    <cfRule type="expression" dxfId="741" priority="983">
      <formula>IF(VLOOKUP($F41,PROFA,2,0)=8,1,0)</formula>
    </cfRule>
    <cfRule type="expression" dxfId="740" priority="984">
      <formula>IF(VLOOKUP($F41,PROFA,2,0)=9,1,0)</formula>
    </cfRule>
  </conditionalFormatting>
  <conditionalFormatting sqref="F43">
    <cfRule type="expression" dxfId="739" priority="967">
      <formula>IF(VLOOKUP($F43,PROFA,2,0)=1,1,0)</formula>
    </cfRule>
    <cfRule type="expression" dxfId="738" priority="968">
      <formula>IF(VLOOKUP($F43,PROFA,2,0)=2,1,0)</formula>
    </cfRule>
    <cfRule type="expression" dxfId="737" priority="969">
      <formula>IF(VLOOKUP($F43,PROFA,2,0)=3,1,0)</formula>
    </cfRule>
    <cfRule type="expression" dxfId="736" priority="970">
      <formula>IF(VLOOKUP($F43,PROFA,2,0)=4,1,0)</formula>
    </cfRule>
    <cfRule type="expression" dxfId="735" priority="971">
      <formula>IF(VLOOKUP($F43,PROFA,2,0)=5,1,0)</formula>
    </cfRule>
    <cfRule type="expression" dxfId="734" priority="972">
      <formula>IF(VLOOKUP($F43,PROFA,2,0)=6,1,0)</formula>
    </cfRule>
    <cfRule type="expression" dxfId="733" priority="973">
      <formula>IF(VLOOKUP($F43,PROFA,2,0)=7,1,0)</formula>
    </cfRule>
    <cfRule type="expression" dxfId="732" priority="974">
      <formula>IF(VLOOKUP($F43,PROFA,2,0)=8,1,0)</formula>
    </cfRule>
    <cfRule type="expression" dxfId="731" priority="975">
      <formula>IF(VLOOKUP($F43,PROFA,2,0)=9,1,0)</formula>
    </cfRule>
  </conditionalFormatting>
  <conditionalFormatting sqref="F47">
    <cfRule type="expression" dxfId="730" priority="958">
      <formula>IF(VLOOKUP($F47,PROFA,2,0)=1,1,0)</formula>
    </cfRule>
    <cfRule type="expression" dxfId="729" priority="959">
      <formula>IF(VLOOKUP($F47,PROFA,2,0)=2,1,0)</formula>
    </cfRule>
    <cfRule type="expression" dxfId="728" priority="960">
      <formula>IF(VLOOKUP($F47,PROFA,2,0)=3,1,0)</formula>
    </cfRule>
    <cfRule type="expression" dxfId="727" priority="961">
      <formula>IF(VLOOKUP($F47,PROFA,2,0)=4,1,0)</formula>
    </cfRule>
    <cfRule type="expression" dxfId="726" priority="962">
      <formula>IF(VLOOKUP($F47,PROFA,2,0)=5,1,0)</formula>
    </cfRule>
    <cfRule type="expression" dxfId="725" priority="963">
      <formula>IF(VLOOKUP($F47,PROFA,2,0)=6,1,0)</formula>
    </cfRule>
    <cfRule type="expression" dxfId="724" priority="964">
      <formula>IF(VLOOKUP($F47,PROFA,2,0)=7,1,0)</formula>
    </cfRule>
    <cfRule type="expression" dxfId="723" priority="965">
      <formula>IF(VLOOKUP($F47,PROFA,2,0)=8,1,0)</formula>
    </cfRule>
    <cfRule type="expression" dxfId="722" priority="966">
      <formula>IF(VLOOKUP($F47,PROFA,2,0)=9,1,0)</formula>
    </cfRule>
  </conditionalFormatting>
  <conditionalFormatting sqref="F50">
    <cfRule type="expression" dxfId="721" priority="949">
      <formula>IF(VLOOKUP($F50,PROFA,2,0)=1,1,0)</formula>
    </cfRule>
    <cfRule type="expression" dxfId="720" priority="950">
      <formula>IF(VLOOKUP($F50,PROFA,2,0)=2,1,0)</formula>
    </cfRule>
    <cfRule type="expression" dxfId="719" priority="951">
      <formula>IF(VLOOKUP($F50,PROFA,2,0)=3,1,0)</formula>
    </cfRule>
    <cfRule type="expression" dxfId="718" priority="952">
      <formula>IF(VLOOKUP($F50,PROFA,2,0)=4,1,0)</formula>
    </cfRule>
    <cfRule type="expression" dxfId="717" priority="953">
      <formula>IF(VLOOKUP($F50,PROFA,2,0)=5,1,0)</formula>
    </cfRule>
    <cfRule type="expression" dxfId="716" priority="954">
      <formula>IF(VLOOKUP($F50,PROFA,2,0)=6,1,0)</formula>
    </cfRule>
    <cfRule type="expression" dxfId="715" priority="955">
      <formula>IF(VLOOKUP($F50,PROFA,2,0)=7,1,0)</formula>
    </cfRule>
    <cfRule type="expression" dxfId="714" priority="956">
      <formula>IF(VLOOKUP($F50,PROFA,2,0)=8,1,0)</formula>
    </cfRule>
    <cfRule type="expression" dxfId="713" priority="957">
      <formula>IF(VLOOKUP($F50,PROFA,2,0)=9,1,0)</formula>
    </cfRule>
  </conditionalFormatting>
  <conditionalFormatting sqref="F51">
    <cfRule type="expression" dxfId="712" priority="940">
      <formula>IF(VLOOKUP($F51,PROFA,2,0)=1,1,0)</formula>
    </cfRule>
    <cfRule type="expression" dxfId="711" priority="941">
      <formula>IF(VLOOKUP($F51,PROFA,2,0)=2,1,0)</formula>
    </cfRule>
    <cfRule type="expression" dxfId="710" priority="942">
      <formula>IF(VLOOKUP($F51,PROFA,2,0)=3,1,0)</formula>
    </cfRule>
    <cfRule type="expression" dxfId="709" priority="943">
      <formula>IF(VLOOKUP($F51,PROFA,2,0)=4,1,0)</formula>
    </cfRule>
    <cfRule type="expression" dxfId="708" priority="944">
      <formula>IF(VLOOKUP($F51,PROFA,2,0)=5,1,0)</formula>
    </cfRule>
    <cfRule type="expression" dxfId="707" priority="945">
      <formula>IF(VLOOKUP($F51,PROFA,2,0)=6,1,0)</formula>
    </cfRule>
    <cfRule type="expression" dxfId="706" priority="946">
      <formula>IF(VLOOKUP($F51,PROFA,2,0)=7,1,0)</formula>
    </cfRule>
    <cfRule type="expression" dxfId="705" priority="947">
      <formula>IF(VLOOKUP($F51,PROFA,2,0)=8,1,0)</formula>
    </cfRule>
    <cfRule type="expression" dxfId="704" priority="948">
      <formula>IF(VLOOKUP($F51,PROFA,2,0)=9,1,0)</formula>
    </cfRule>
  </conditionalFormatting>
  <conditionalFormatting sqref="F52">
    <cfRule type="expression" dxfId="703" priority="931">
      <formula>IF(VLOOKUP($F52,PROFA,2,0)=1,1,0)</formula>
    </cfRule>
    <cfRule type="expression" dxfId="702" priority="932">
      <formula>IF(VLOOKUP($F52,PROFA,2,0)=2,1,0)</formula>
    </cfRule>
    <cfRule type="expression" dxfId="701" priority="933">
      <formula>IF(VLOOKUP($F52,PROFA,2,0)=3,1,0)</formula>
    </cfRule>
    <cfRule type="expression" dxfId="700" priority="934">
      <formula>IF(VLOOKUP($F52,PROFA,2,0)=4,1,0)</formula>
    </cfRule>
    <cfRule type="expression" dxfId="699" priority="935">
      <formula>IF(VLOOKUP($F52,PROFA,2,0)=5,1,0)</formula>
    </cfRule>
    <cfRule type="expression" dxfId="698" priority="936">
      <formula>IF(VLOOKUP($F52,PROFA,2,0)=6,1,0)</formula>
    </cfRule>
    <cfRule type="expression" dxfId="697" priority="937">
      <formula>IF(VLOOKUP($F52,PROFA,2,0)=7,1,0)</formula>
    </cfRule>
    <cfRule type="expression" dxfId="696" priority="938">
      <formula>IF(VLOOKUP($F52,PROFA,2,0)=8,1,0)</formula>
    </cfRule>
    <cfRule type="expression" dxfId="695" priority="939">
      <formula>IF(VLOOKUP($F52,PROFA,2,0)=9,1,0)</formula>
    </cfRule>
  </conditionalFormatting>
  <conditionalFormatting sqref="F55">
    <cfRule type="expression" dxfId="694" priority="922">
      <formula>IF(VLOOKUP($F55,PROFA,2,0)=1,1,0)</formula>
    </cfRule>
    <cfRule type="expression" dxfId="693" priority="923">
      <formula>IF(VLOOKUP($F55,PROFA,2,0)=2,1,0)</formula>
    </cfRule>
    <cfRule type="expression" dxfId="692" priority="924">
      <formula>IF(VLOOKUP($F55,PROFA,2,0)=3,1,0)</formula>
    </cfRule>
    <cfRule type="expression" dxfId="691" priority="925">
      <formula>IF(VLOOKUP($F55,PROFA,2,0)=4,1,0)</formula>
    </cfRule>
    <cfRule type="expression" dxfId="690" priority="926">
      <formula>IF(VLOOKUP($F55,PROFA,2,0)=5,1,0)</formula>
    </cfRule>
    <cfRule type="expression" dxfId="689" priority="927">
      <formula>IF(VLOOKUP($F55,PROFA,2,0)=6,1,0)</formula>
    </cfRule>
    <cfRule type="expression" dxfId="688" priority="928">
      <formula>IF(VLOOKUP($F55,PROFA,2,0)=7,1,0)</formula>
    </cfRule>
    <cfRule type="expression" dxfId="687" priority="929">
      <formula>IF(VLOOKUP($F55,PROFA,2,0)=8,1,0)</formula>
    </cfRule>
    <cfRule type="expression" dxfId="686" priority="930">
      <formula>IF(VLOOKUP($F55,PROFA,2,0)=9,1,0)</formula>
    </cfRule>
  </conditionalFormatting>
  <conditionalFormatting sqref="F58">
    <cfRule type="expression" dxfId="685" priority="913">
      <formula>IF(VLOOKUP($F58,PROFA,2,0)=1,1,0)</formula>
    </cfRule>
    <cfRule type="expression" dxfId="684" priority="914">
      <formula>IF(VLOOKUP($F58,PROFA,2,0)=2,1,0)</formula>
    </cfRule>
    <cfRule type="expression" dxfId="683" priority="915">
      <formula>IF(VLOOKUP($F58,PROFA,2,0)=3,1,0)</formula>
    </cfRule>
    <cfRule type="expression" dxfId="682" priority="916">
      <formula>IF(VLOOKUP($F58,PROFA,2,0)=4,1,0)</formula>
    </cfRule>
    <cfRule type="expression" dxfId="681" priority="917">
      <formula>IF(VLOOKUP($F58,PROFA,2,0)=5,1,0)</formula>
    </cfRule>
    <cfRule type="expression" dxfId="680" priority="918">
      <formula>IF(VLOOKUP($F58,PROFA,2,0)=6,1,0)</formula>
    </cfRule>
    <cfRule type="expression" dxfId="679" priority="919">
      <formula>IF(VLOOKUP($F58,PROFA,2,0)=7,1,0)</formula>
    </cfRule>
    <cfRule type="expression" dxfId="678" priority="920">
      <formula>IF(VLOOKUP($F58,PROFA,2,0)=8,1,0)</formula>
    </cfRule>
    <cfRule type="expression" dxfId="677" priority="921">
      <formula>IF(VLOOKUP($F58,PROFA,2,0)=9,1,0)</formula>
    </cfRule>
  </conditionalFormatting>
  <conditionalFormatting sqref="F62">
    <cfRule type="expression" dxfId="676" priority="904">
      <formula>IF(VLOOKUP($F62,PROFA,2,0)=1,1,0)</formula>
    </cfRule>
    <cfRule type="expression" dxfId="675" priority="905">
      <formula>IF(VLOOKUP($F62,PROFA,2,0)=2,1,0)</formula>
    </cfRule>
    <cfRule type="expression" dxfId="674" priority="906">
      <formula>IF(VLOOKUP($F62,PROFA,2,0)=3,1,0)</formula>
    </cfRule>
    <cfRule type="expression" dxfId="673" priority="907">
      <formula>IF(VLOOKUP($F62,PROFA,2,0)=4,1,0)</formula>
    </cfRule>
    <cfRule type="expression" dxfId="672" priority="908">
      <formula>IF(VLOOKUP($F62,PROFA,2,0)=5,1,0)</formula>
    </cfRule>
    <cfRule type="expression" dxfId="671" priority="909">
      <formula>IF(VLOOKUP($F62,PROFA,2,0)=6,1,0)</formula>
    </cfRule>
    <cfRule type="expression" dxfId="670" priority="910">
      <formula>IF(VLOOKUP($F62,PROFA,2,0)=7,1,0)</formula>
    </cfRule>
    <cfRule type="expression" dxfId="669" priority="911">
      <formula>IF(VLOOKUP($F62,PROFA,2,0)=8,1,0)</formula>
    </cfRule>
    <cfRule type="expression" dxfId="668" priority="912">
      <formula>IF(VLOOKUP($F62,PROFA,2,0)=9,1,0)</formula>
    </cfRule>
  </conditionalFormatting>
  <conditionalFormatting sqref="F63">
    <cfRule type="expression" dxfId="667" priority="895">
      <formula>IF(VLOOKUP($F63,PROFA,2,0)=1,1,0)</formula>
    </cfRule>
    <cfRule type="expression" dxfId="666" priority="896">
      <formula>IF(VLOOKUP($F63,PROFA,2,0)=2,1,0)</formula>
    </cfRule>
    <cfRule type="expression" dxfId="665" priority="897">
      <formula>IF(VLOOKUP($F63,PROFA,2,0)=3,1,0)</formula>
    </cfRule>
    <cfRule type="expression" dxfId="664" priority="898">
      <formula>IF(VLOOKUP($F63,PROFA,2,0)=4,1,0)</formula>
    </cfRule>
    <cfRule type="expression" dxfId="663" priority="899">
      <formula>IF(VLOOKUP($F63,PROFA,2,0)=5,1,0)</formula>
    </cfRule>
    <cfRule type="expression" dxfId="662" priority="900">
      <formula>IF(VLOOKUP($F63,PROFA,2,0)=6,1,0)</formula>
    </cfRule>
    <cfRule type="expression" dxfId="661" priority="901">
      <formula>IF(VLOOKUP($F63,PROFA,2,0)=7,1,0)</formula>
    </cfRule>
    <cfRule type="expression" dxfId="660" priority="902">
      <formula>IF(VLOOKUP($F63,PROFA,2,0)=8,1,0)</formula>
    </cfRule>
    <cfRule type="expression" dxfId="659" priority="903">
      <formula>IF(VLOOKUP($F63,PROFA,2,0)=9,1,0)</formula>
    </cfRule>
  </conditionalFormatting>
  <conditionalFormatting sqref="F76">
    <cfRule type="expression" dxfId="658" priority="886">
      <formula>IF(VLOOKUP($F76,PROFA,2,0)=1,1,0)</formula>
    </cfRule>
    <cfRule type="expression" dxfId="657" priority="887">
      <formula>IF(VLOOKUP($F76,PROFA,2,0)=2,1,0)</formula>
    </cfRule>
    <cfRule type="expression" dxfId="656" priority="888">
      <formula>IF(VLOOKUP($F76,PROFA,2,0)=3,1,0)</formula>
    </cfRule>
    <cfRule type="expression" dxfId="655" priority="889">
      <formula>IF(VLOOKUP($F76,PROFA,2,0)=4,1,0)</formula>
    </cfRule>
    <cfRule type="expression" dxfId="654" priority="890">
      <formula>IF(VLOOKUP($F76,PROFA,2,0)=5,1,0)</formula>
    </cfRule>
    <cfRule type="expression" dxfId="653" priority="891">
      <formula>IF(VLOOKUP($F76,PROFA,2,0)=6,1,0)</formula>
    </cfRule>
    <cfRule type="expression" dxfId="652" priority="892">
      <formula>IF(VLOOKUP($F76,PROFA,2,0)=7,1,0)</formula>
    </cfRule>
    <cfRule type="expression" dxfId="651" priority="893">
      <formula>IF(VLOOKUP($F76,PROFA,2,0)=8,1,0)</formula>
    </cfRule>
    <cfRule type="expression" dxfId="650" priority="894">
      <formula>IF(VLOOKUP($F76,PROFA,2,0)=9,1,0)</formula>
    </cfRule>
  </conditionalFormatting>
  <conditionalFormatting sqref="F79">
    <cfRule type="expression" dxfId="649" priority="877">
      <formula>IF(VLOOKUP($F79,PROFA,2,0)=1,1,0)</formula>
    </cfRule>
    <cfRule type="expression" dxfId="648" priority="878">
      <formula>IF(VLOOKUP($F79,PROFA,2,0)=2,1,0)</formula>
    </cfRule>
    <cfRule type="expression" dxfId="647" priority="879">
      <formula>IF(VLOOKUP($F79,PROFA,2,0)=3,1,0)</formula>
    </cfRule>
    <cfRule type="expression" dxfId="646" priority="880">
      <formula>IF(VLOOKUP($F79,PROFA,2,0)=4,1,0)</formula>
    </cfRule>
    <cfRule type="expression" dxfId="645" priority="881">
      <formula>IF(VLOOKUP($F79,PROFA,2,0)=5,1,0)</formula>
    </cfRule>
    <cfRule type="expression" dxfId="644" priority="882">
      <formula>IF(VLOOKUP($F79,PROFA,2,0)=6,1,0)</formula>
    </cfRule>
    <cfRule type="expression" dxfId="643" priority="883">
      <formula>IF(VLOOKUP($F79,PROFA,2,0)=7,1,0)</formula>
    </cfRule>
    <cfRule type="expression" dxfId="642" priority="884">
      <formula>IF(VLOOKUP($F79,PROFA,2,0)=8,1,0)</formula>
    </cfRule>
    <cfRule type="expression" dxfId="641" priority="885">
      <formula>IF(VLOOKUP($F79,PROFA,2,0)=9,1,0)</formula>
    </cfRule>
  </conditionalFormatting>
  <conditionalFormatting sqref="F82">
    <cfRule type="expression" dxfId="640" priority="868">
      <formula>IF(VLOOKUP($F82,PROFA,2,0)=1,1,0)</formula>
    </cfRule>
    <cfRule type="expression" dxfId="639" priority="869">
      <formula>IF(VLOOKUP($F82,PROFA,2,0)=2,1,0)</formula>
    </cfRule>
    <cfRule type="expression" dxfId="638" priority="870">
      <formula>IF(VLOOKUP($F82,PROFA,2,0)=3,1,0)</formula>
    </cfRule>
    <cfRule type="expression" dxfId="637" priority="871">
      <formula>IF(VLOOKUP($F82,PROFA,2,0)=4,1,0)</formula>
    </cfRule>
    <cfRule type="expression" dxfId="636" priority="872">
      <formula>IF(VLOOKUP($F82,PROFA,2,0)=5,1,0)</formula>
    </cfRule>
    <cfRule type="expression" dxfId="635" priority="873">
      <formula>IF(VLOOKUP($F82,PROFA,2,0)=6,1,0)</formula>
    </cfRule>
    <cfRule type="expression" dxfId="634" priority="874">
      <formula>IF(VLOOKUP($F82,PROFA,2,0)=7,1,0)</formula>
    </cfRule>
    <cfRule type="expression" dxfId="633" priority="875">
      <formula>IF(VLOOKUP($F82,PROFA,2,0)=8,1,0)</formula>
    </cfRule>
    <cfRule type="expression" dxfId="632" priority="876">
      <formula>IF(VLOOKUP($F82,PROFA,2,0)=9,1,0)</formula>
    </cfRule>
  </conditionalFormatting>
  <conditionalFormatting sqref="F83">
    <cfRule type="expression" dxfId="631" priority="859">
      <formula>IF(VLOOKUP($F83,PROFA,2,0)=1,1,0)</formula>
    </cfRule>
    <cfRule type="expression" dxfId="630" priority="860">
      <formula>IF(VLOOKUP($F83,PROFA,2,0)=2,1,0)</formula>
    </cfRule>
    <cfRule type="expression" dxfId="629" priority="861">
      <formula>IF(VLOOKUP($F83,PROFA,2,0)=3,1,0)</formula>
    </cfRule>
    <cfRule type="expression" dxfId="628" priority="862">
      <formula>IF(VLOOKUP($F83,PROFA,2,0)=4,1,0)</formula>
    </cfRule>
    <cfRule type="expression" dxfId="627" priority="863">
      <formula>IF(VLOOKUP($F83,PROFA,2,0)=5,1,0)</formula>
    </cfRule>
    <cfRule type="expression" dxfId="626" priority="864">
      <formula>IF(VLOOKUP($F83,PROFA,2,0)=6,1,0)</formula>
    </cfRule>
    <cfRule type="expression" dxfId="625" priority="865">
      <formula>IF(VLOOKUP($F83,PROFA,2,0)=7,1,0)</formula>
    </cfRule>
    <cfRule type="expression" dxfId="624" priority="866">
      <formula>IF(VLOOKUP($F83,PROFA,2,0)=8,1,0)</formula>
    </cfRule>
    <cfRule type="expression" dxfId="623" priority="867">
      <formula>IF(VLOOKUP($F83,PROFA,2,0)=9,1,0)</formula>
    </cfRule>
  </conditionalFormatting>
  <conditionalFormatting sqref="F86">
    <cfRule type="expression" dxfId="622" priority="850">
      <formula>IF(VLOOKUP($F86,PROFA,2,0)=1,1,0)</formula>
    </cfRule>
    <cfRule type="expression" dxfId="621" priority="851">
      <formula>IF(VLOOKUP($F86,PROFA,2,0)=2,1,0)</formula>
    </cfRule>
    <cfRule type="expression" dxfId="620" priority="852">
      <formula>IF(VLOOKUP($F86,PROFA,2,0)=3,1,0)</formula>
    </cfRule>
    <cfRule type="expression" dxfId="619" priority="853">
      <formula>IF(VLOOKUP($F86,PROFA,2,0)=4,1,0)</formula>
    </cfRule>
    <cfRule type="expression" dxfId="618" priority="854">
      <formula>IF(VLOOKUP($F86,PROFA,2,0)=5,1,0)</formula>
    </cfRule>
    <cfRule type="expression" dxfId="617" priority="855">
      <formula>IF(VLOOKUP($F86,PROFA,2,0)=6,1,0)</formula>
    </cfRule>
    <cfRule type="expression" dxfId="616" priority="856">
      <formula>IF(VLOOKUP($F86,PROFA,2,0)=7,1,0)</formula>
    </cfRule>
    <cfRule type="expression" dxfId="615" priority="857">
      <formula>IF(VLOOKUP($F86,PROFA,2,0)=8,1,0)</formula>
    </cfRule>
    <cfRule type="expression" dxfId="614" priority="858">
      <formula>IF(VLOOKUP($F86,PROFA,2,0)=9,1,0)</formula>
    </cfRule>
  </conditionalFormatting>
  <conditionalFormatting sqref="F91">
    <cfRule type="expression" dxfId="613" priority="842">
      <formula>IF(VLOOKUP($F91,PROFA,2,0)=1,1,0)</formula>
    </cfRule>
    <cfRule type="expression" dxfId="612" priority="843">
      <formula>IF(VLOOKUP($F91,PROFA,2,0)=2,1,0)</formula>
    </cfRule>
    <cfRule type="expression" dxfId="611" priority="844">
      <formula>IF(VLOOKUP($F91,PROFA,2,0)=3,1,0)</formula>
    </cfRule>
    <cfRule type="expression" dxfId="610" priority="845">
      <formula>IF(VLOOKUP($F91,PROFA,2,0)=4,1,0)</formula>
    </cfRule>
    <cfRule type="expression" dxfId="609" priority="846">
      <formula>IF(VLOOKUP($F91,PROFA,2,0)=5,1,0)</formula>
    </cfRule>
    <cfRule type="expression" dxfId="608" priority="847">
      <formula>IF(VLOOKUP($F91,PROFA,2,0)=6,1,0)</formula>
    </cfRule>
    <cfRule type="expression" dxfId="607" priority="848">
      <formula>IF(VLOOKUP($F91,PROFA,2,0)=7,1,0)</formula>
    </cfRule>
    <cfRule type="expression" dxfId="606" priority="849">
      <formula>IF(VLOOKUP($F91,PROFA,2,0)=8,1,0)</formula>
    </cfRule>
  </conditionalFormatting>
  <conditionalFormatting sqref="F96">
    <cfRule type="expression" dxfId="605" priority="826">
      <formula>IF(VLOOKUP($F96,PROFA,2,0)=1,1,0)</formula>
    </cfRule>
    <cfRule type="expression" dxfId="604" priority="827">
      <formula>IF(VLOOKUP($F96,PROFA,2,0)=2,1,0)</formula>
    </cfRule>
    <cfRule type="expression" dxfId="603" priority="828">
      <formula>IF(VLOOKUP($F96,PROFA,2,0)=3,1,0)</formula>
    </cfRule>
    <cfRule type="expression" dxfId="602" priority="829">
      <formula>IF(VLOOKUP($F96,PROFA,2,0)=4,1,0)</formula>
    </cfRule>
    <cfRule type="expression" dxfId="601" priority="830">
      <formula>IF(VLOOKUP($F96,PROFA,2,0)=5,1,0)</formula>
    </cfRule>
    <cfRule type="expression" dxfId="600" priority="831">
      <formula>IF(VLOOKUP($F96,PROFA,2,0)=6,1,0)</formula>
    </cfRule>
    <cfRule type="expression" dxfId="599" priority="832">
      <formula>IF(VLOOKUP($F96,PROFA,2,0)=7,1,0)</formula>
    </cfRule>
    <cfRule type="expression" dxfId="598" priority="833">
      <formula>IF(VLOOKUP($F96,PROFA,2,0)=8,1,0)</formula>
    </cfRule>
  </conditionalFormatting>
  <conditionalFormatting sqref="F98">
    <cfRule type="expression" dxfId="597" priority="818">
      <formula>IF(VLOOKUP($F98,PROFA,2,0)=1,1,0)</formula>
    </cfRule>
    <cfRule type="expression" dxfId="596" priority="819">
      <formula>IF(VLOOKUP($F98,PROFA,2,0)=2,1,0)</formula>
    </cfRule>
    <cfRule type="expression" dxfId="595" priority="820">
      <formula>IF(VLOOKUP($F98,PROFA,2,0)=3,1,0)</formula>
    </cfRule>
    <cfRule type="expression" dxfId="594" priority="821">
      <formula>IF(VLOOKUP($F98,PROFA,2,0)=4,1,0)</formula>
    </cfRule>
    <cfRule type="expression" dxfId="593" priority="822">
      <formula>IF(VLOOKUP($F98,PROFA,2,0)=5,1,0)</formula>
    </cfRule>
    <cfRule type="expression" dxfId="592" priority="823">
      <formula>IF(VLOOKUP($F98,PROFA,2,0)=6,1,0)</formula>
    </cfRule>
    <cfRule type="expression" dxfId="591" priority="824">
      <formula>IF(VLOOKUP($F98,PROFA,2,0)=7,1,0)</formula>
    </cfRule>
    <cfRule type="expression" dxfId="590" priority="825">
      <formula>IF(VLOOKUP($F98,PROFA,2,0)=8,1,0)</formula>
    </cfRule>
  </conditionalFormatting>
  <conditionalFormatting sqref="F104">
    <cfRule type="expression" dxfId="589" priority="810">
      <formula>IF(VLOOKUP($F104,PROFA,2,0)=1,1,0)</formula>
    </cfRule>
    <cfRule type="expression" dxfId="588" priority="811">
      <formula>IF(VLOOKUP($F104,PROFA,2,0)=2,1,0)</formula>
    </cfRule>
    <cfRule type="expression" dxfId="587" priority="812">
      <formula>IF(VLOOKUP($F104,PROFA,2,0)=3,1,0)</formula>
    </cfRule>
    <cfRule type="expression" dxfId="586" priority="813">
      <formula>IF(VLOOKUP($F104,PROFA,2,0)=4,1,0)</formula>
    </cfRule>
    <cfRule type="expression" dxfId="585" priority="814">
      <formula>IF(VLOOKUP($F104,PROFA,2,0)=5,1,0)</formula>
    </cfRule>
    <cfRule type="expression" dxfId="584" priority="815">
      <formula>IF(VLOOKUP($F104,PROFA,2,0)=6,1,0)</formula>
    </cfRule>
    <cfRule type="expression" dxfId="583" priority="816">
      <formula>IF(VLOOKUP($F104,PROFA,2,0)=7,1,0)</formula>
    </cfRule>
    <cfRule type="expression" dxfId="582" priority="817">
      <formula>IF(VLOOKUP($F104,PROFA,2,0)=8,1,0)</formula>
    </cfRule>
  </conditionalFormatting>
  <conditionalFormatting sqref="F105">
    <cfRule type="expression" dxfId="581" priority="802">
      <formula>IF(VLOOKUP($F105,PROFA,2,0)=1,1,0)</formula>
    </cfRule>
    <cfRule type="expression" dxfId="580" priority="803">
      <formula>IF(VLOOKUP($F105,PROFA,2,0)=2,1,0)</formula>
    </cfRule>
    <cfRule type="expression" dxfId="579" priority="804">
      <formula>IF(VLOOKUP($F105,PROFA,2,0)=3,1,0)</formula>
    </cfRule>
    <cfRule type="expression" dxfId="578" priority="805">
      <formula>IF(VLOOKUP($F105,PROFA,2,0)=4,1,0)</formula>
    </cfRule>
    <cfRule type="expression" dxfId="577" priority="806">
      <formula>IF(VLOOKUP($F105,PROFA,2,0)=5,1,0)</formula>
    </cfRule>
    <cfRule type="expression" dxfId="576" priority="807">
      <formula>IF(VLOOKUP($F105,PROFA,2,0)=6,1,0)</formula>
    </cfRule>
    <cfRule type="expression" dxfId="575" priority="808">
      <formula>IF(VLOOKUP($F105,PROFA,2,0)=7,1,0)</formula>
    </cfRule>
    <cfRule type="expression" dxfId="574" priority="809">
      <formula>IF(VLOOKUP($F105,PROFA,2,0)=8,1,0)</formula>
    </cfRule>
  </conditionalFormatting>
  <conditionalFormatting sqref="F106">
    <cfRule type="expression" dxfId="573" priority="794">
      <formula>IF(VLOOKUP($F106,PROFA,2,0)=1,1,0)</formula>
    </cfRule>
    <cfRule type="expression" dxfId="572" priority="795">
      <formula>IF(VLOOKUP($F106,PROFA,2,0)=2,1,0)</formula>
    </cfRule>
    <cfRule type="expression" dxfId="571" priority="796">
      <formula>IF(VLOOKUP($F106,PROFA,2,0)=3,1,0)</formula>
    </cfRule>
    <cfRule type="expression" dxfId="570" priority="797">
      <formula>IF(VLOOKUP($F106,PROFA,2,0)=4,1,0)</formula>
    </cfRule>
    <cfRule type="expression" dxfId="569" priority="798">
      <formula>IF(VLOOKUP($F106,PROFA,2,0)=5,1,0)</formula>
    </cfRule>
    <cfRule type="expression" dxfId="568" priority="799">
      <formula>IF(VLOOKUP($F106,PROFA,2,0)=6,1,0)</formula>
    </cfRule>
    <cfRule type="expression" dxfId="567" priority="800">
      <formula>IF(VLOOKUP($F106,PROFA,2,0)=7,1,0)</formula>
    </cfRule>
    <cfRule type="expression" dxfId="566" priority="801">
      <formula>IF(VLOOKUP($F106,PROFA,2,0)=8,1,0)</formula>
    </cfRule>
  </conditionalFormatting>
  <conditionalFormatting sqref="F109">
    <cfRule type="expression" dxfId="565" priority="778">
      <formula>IF(VLOOKUP($F109,PROFA,2,0)=1,1,0)</formula>
    </cfRule>
    <cfRule type="expression" dxfId="564" priority="779">
      <formula>IF(VLOOKUP($F109,PROFA,2,0)=2,1,0)</formula>
    </cfRule>
    <cfRule type="expression" dxfId="563" priority="780">
      <formula>IF(VLOOKUP($F109,PROFA,2,0)=3,1,0)</formula>
    </cfRule>
    <cfRule type="expression" dxfId="562" priority="781">
      <formula>IF(VLOOKUP($F109,PROFA,2,0)=4,1,0)</formula>
    </cfRule>
    <cfRule type="expression" dxfId="561" priority="782">
      <formula>IF(VLOOKUP($F109,PROFA,2,0)=5,1,0)</formula>
    </cfRule>
    <cfRule type="expression" dxfId="560" priority="783">
      <formula>IF(VLOOKUP($F109,PROFA,2,0)=6,1,0)</formula>
    </cfRule>
    <cfRule type="expression" dxfId="559" priority="784">
      <formula>IF(VLOOKUP($F109,PROFA,2,0)=7,1,0)</formula>
    </cfRule>
    <cfRule type="expression" dxfId="558" priority="785">
      <formula>IF(VLOOKUP($F109,PROFA,2,0)=8,1,0)</formula>
    </cfRule>
  </conditionalFormatting>
  <conditionalFormatting sqref="F110">
    <cfRule type="expression" dxfId="557" priority="770">
      <formula>IF(VLOOKUP($F110,PROFA,2,0)=1,1,0)</formula>
    </cfRule>
    <cfRule type="expression" dxfId="556" priority="771">
      <formula>IF(VLOOKUP($F110,PROFA,2,0)=2,1,0)</formula>
    </cfRule>
    <cfRule type="expression" dxfId="555" priority="772">
      <formula>IF(VLOOKUP($F110,PROFA,2,0)=3,1,0)</formula>
    </cfRule>
    <cfRule type="expression" dxfId="554" priority="773">
      <formula>IF(VLOOKUP($F110,PROFA,2,0)=4,1,0)</formula>
    </cfRule>
    <cfRule type="expression" dxfId="553" priority="774">
      <formula>IF(VLOOKUP($F110,PROFA,2,0)=5,1,0)</formula>
    </cfRule>
    <cfRule type="expression" dxfId="552" priority="775">
      <formula>IF(VLOOKUP($F110,PROFA,2,0)=6,1,0)</formula>
    </cfRule>
    <cfRule type="expression" dxfId="551" priority="776">
      <formula>IF(VLOOKUP($F110,PROFA,2,0)=7,1,0)</formula>
    </cfRule>
    <cfRule type="expression" dxfId="550" priority="777">
      <formula>IF(VLOOKUP($F110,PROFA,2,0)=8,1,0)</formula>
    </cfRule>
  </conditionalFormatting>
  <conditionalFormatting sqref="F111">
    <cfRule type="expression" dxfId="549" priority="762">
      <formula>IF(VLOOKUP($F111,PROFA,2,0)=1,1,0)</formula>
    </cfRule>
    <cfRule type="expression" dxfId="548" priority="763">
      <formula>IF(VLOOKUP($F111,PROFA,2,0)=2,1,0)</formula>
    </cfRule>
    <cfRule type="expression" dxfId="547" priority="764">
      <formula>IF(VLOOKUP($F111,PROFA,2,0)=3,1,0)</formula>
    </cfRule>
    <cfRule type="expression" dxfId="546" priority="765">
      <formula>IF(VLOOKUP($F111,PROFA,2,0)=4,1,0)</formula>
    </cfRule>
    <cfRule type="expression" dxfId="545" priority="766">
      <formula>IF(VLOOKUP($F111,PROFA,2,0)=5,1,0)</formula>
    </cfRule>
    <cfRule type="expression" dxfId="544" priority="767">
      <formula>IF(VLOOKUP($F111,PROFA,2,0)=6,1,0)</formula>
    </cfRule>
    <cfRule type="expression" dxfId="543" priority="768">
      <formula>IF(VLOOKUP($F111,PROFA,2,0)=7,1,0)</formula>
    </cfRule>
    <cfRule type="expression" dxfId="542" priority="769">
      <formula>IF(VLOOKUP($F111,PROFA,2,0)=8,1,0)</formula>
    </cfRule>
  </conditionalFormatting>
  <conditionalFormatting sqref="F112">
    <cfRule type="expression" dxfId="541" priority="754">
      <formula>IF(VLOOKUP($F112,PROFA,2,0)=1,1,0)</formula>
    </cfRule>
    <cfRule type="expression" dxfId="540" priority="755">
      <formula>IF(VLOOKUP($F112,PROFA,2,0)=2,1,0)</formula>
    </cfRule>
    <cfRule type="expression" dxfId="539" priority="756">
      <formula>IF(VLOOKUP($F112,PROFA,2,0)=3,1,0)</formula>
    </cfRule>
    <cfRule type="expression" dxfId="538" priority="757">
      <formula>IF(VLOOKUP($F112,PROFA,2,0)=4,1,0)</formula>
    </cfRule>
    <cfRule type="expression" dxfId="537" priority="758">
      <formula>IF(VLOOKUP($F112,PROFA,2,0)=5,1,0)</formula>
    </cfRule>
    <cfRule type="expression" dxfId="536" priority="759">
      <formula>IF(VLOOKUP($F112,PROFA,2,0)=6,1,0)</formula>
    </cfRule>
    <cfRule type="expression" dxfId="535" priority="760">
      <formula>IF(VLOOKUP($F112,PROFA,2,0)=7,1,0)</formula>
    </cfRule>
    <cfRule type="expression" dxfId="534" priority="761">
      <formula>IF(VLOOKUP($F112,PROFA,2,0)=8,1,0)</formula>
    </cfRule>
  </conditionalFormatting>
  <conditionalFormatting sqref="F114">
    <cfRule type="expression" dxfId="533" priority="746">
      <formula>IF(VLOOKUP($F114,PROFA,2,0)=1,1,0)</formula>
    </cfRule>
    <cfRule type="expression" dxfId="532" priority="747">
      <formula>IF(VLOOKUP($F114,PROFA,2,0)=2,1,0)</formula>
    </cfRule>
    <cfRule type="expression" dxfId="531" priority="748">
      <formula>IF(VLOOKUP($F114,PROFA,2,0)=3,1,0)</formula>
    </cfRule>
    <cfRule type="expression" dxfId="530" priority="749">
      <formula>IF(VLOOKUP($F114,PROFA,2,0)=4,1,0)</formula>
    </cfRule>
    <cfRule type="expression" dxfId="529" priority="750">
      <formula>IF(VLOOKUP($F114,PROFA,2,0)=5,1,0)</formula>
    </cfRule>
    <cfRule type="expression" dxfId="528" priority="751">
      <formula>IF(VLOOKUP($F114,PROFA,2,0)=6,1,0)</formula>
    </cfRule>
    <cfRule type="expression" dxfId="527" priority="752">
      <formula>IF(VLOOKUP($F114,PROFA,2,0)=7,1,0)</formula>
    </cfRule>
    <cfRule type="expression" dxfId="526" priority="753">
      <formula>IF(VLOOKUP($F114,PROFA,2,0)=8,1,0)</formula>
    </cfRule>
  </conditionalFormatting>
  <conditionalFormatting sqref="F126">
    <cfRule type="expression" dxfId="525" priority="722">
      <formula>IF(VLOOKUP($F126,PROFA,2,0)=1,1,0)</formula>
    </cfRule>
    <cfRule type="expression" dxfId="524" priority="723">
      <formula>IF(VLOOKUP($F126,PROFA,2,0)=2,1,0)</formula>
    </cfRule>
    <cfRule type="expression" dxfId="523" priority="724">
      <formula>IF(VLOOKUP($F126,PROFA,2,0)=3,1,0)</formula>
    </cfRule>
    <cfRule type="expression" dxfId="522" priority="725">
      <formula>IF(VLOOKUP($F126,PROFA,2,0)=4,1,0)</formula>
    </cfRule>
    <cfRule type="expression" dxfId="521" priority="726">
      <formula>IF(VLOOKUP($F126,PROFA,2,0)=5,1,0)</formula>
    </cfRule>
    <cfRule type="expression" dxfId="520" priority="727">
      <formula>IF(VLOOKUP($F126,PROFA,2,0)=6,1,0)</formula>
    </cfRule>
    <cfRule type="expression" dxfId="519" priority="728">
      <formula>IF(VLOOKUP($F126,PROFA,2,0)=7,1,0)</formula>
    </cfRule>
    <cfRule type="expression" dxfId="518" priority="729">
      <formula>IF(VLOOKUP($F126,PROFA,2,0)=8,1,0)</formula>
    </cfRule>
  </conditionalFormatting>
  <conditionalFormatting sqref="F127">
    <cfRule type="expression" dxfId="517" priority="714">
      <formula>IF(VLOOKUP($F127,PROFA,2,0)=1,1,0)</formula>
    </cfRule>
    <cfRule type="expression" dxfId="516" priority="715">
      <formula>IF(VLOOKUP($F127,PROFA,2,0)=2,1,0)</formula>
    </cfRule>
    <cfRule type="expression" dxfId="515" priority="716">
      <formula>IF(VLOOKUP($F127,PROFA,2,0)=3,1,0)</formula>
    </cfRule>
    <cfRule type="expression" dxfId="514" priority="717">
      <formula>IF(VLOOKUP($F127,PROFA,2,0)=4,1,0)</formula>
    </cfRule>
    <cfRule type="expression" dxfId="513" priority="718">
      <formula>IF(VLOOKUP($F127,PROFA,2,0)=5,1,0)</formula>
    </cfRule>
    <cfRule type="expression" dxfId="512" priority="719">
      <formula>IF(VLOOKUP($F127,PROFA,2,0)=6,1,0)</formula>
    </cfRule>
    <cfRule type="expression" dxfId="511" priority="720">
      <formula>IF(VLOOKUP($F127,PROFA,2,0)=7,1,0)</formula>
    </cfRule>
    <cfRule type="expression" dxfId="510" priority="721">
      <formula>IF(VLOOKUP($F127,PROFA,2,0)=8,1,0)</formula>
    </cfRule>
  </conditionalFormatting>
  <conditionalFormatting sqref="F128">
    <cfRule type="expression" dxfId="509" priority="706">
      <formula>IF(VLOOKUP($F128,PROFA,2,0)=1,1,0)</formula>
    </cfRule>
    <cfRule type="expression" dxfId="508" priority="707">
      <formula>IF(VLOOKUP($F128,PROFA,2,0)=2,1,0)</formula>
    </cfRule>
    <cfRule type="expression" dxfId="507" priority="708">
      <formula>IF(VLOOKUP($F128,PROFA,2,0)=3,1,0)</formula>
    </cfRule>
    <cfRule type="expression" dxfId="506" priority="709">
      <formula>IF(VLOOKUP($F128,PROFA,2,0)=4,1,0)</formula>
    </cfRule>
    <cfRule type="expression" dxfId="505" priority="710">
      <formula>IF(VLOOKUP($F128,PROFA,2,0)=5,1,0)</formula>
    </cfRule>
    <cfRule type="expression" dxfId="504" priority="711">
      <formula>IF(VLOOKUP($F128,PROFA,2,0)=6,1,0)</formula>
    </cfRule>
    <cfRule type="expression" dxfId="503" priority="712">
      <formula>IF(VLOOKUP($F128,PROFA,2,0)=7,1,0)</formula>
    </cfRule>
    <cfRule type="expression" dxfId="502" priority="713">
      <formula>IF(VLOOKUP($F128,PROFA,2,0)=8,1,0)</formula>
    </cfRule>
  </conditionalFormatting>
  <conditionalFormatting sqref="F130">
    <cfRule type="expression" dxfId="501" priority="698">
      <formula>IF(VLOOKUP($F130,PROFA,2,0)=1,1,0)</formula>
    </cfRule>
    <cfRule type="expression" dxfId="500" priority="699">
      <formula>IF(VLOOKUP($F130,PROFA,2,0)=2,1,0)</formula>
    </cfRule>
    <cfRule type="expression" dxfId="499" priority="700">
      <formula>IF(VLOOKUP($F130,PROFA,2,0)=3,1,0)</formula>
    </cfRule>
    <cfRule type="expression" dxfId="498" priority="701">
      <formula>IF(VLOOKUP($F130,PROFA,2,0)=4,1,0)</formula>
    </cfRule>
    <cfRule type="expression" dxfId="497" priority="702">
      <formula>IF(VLOOKUP($F130,PROFA,2,0)=5,1,0)</formula>
    </cfRule>
    <cfRule type="expression" dxfId="496" priority="703">
      <formula>IF(VLOOKUP($F130,PROFA,2,0)=6,1,0)</formula>
    </cfRule>
    <cfRule type="expression" dxfId="495" priority="704">
      <formula>IF(VLOOKUP($F130,PROFA,2,0)=7,1,0)</formula>
    </cfRule>
    <cfRule type="expression" dxfId="494" priority="705">
      <formula>IF(VLOOKUP($F130,PROFA,2,0)=8,1,0)</formula>
    </cfRule>
  </conditionalFormatting>
  <conditionalFormatting sqref="F137">
    <cfRule type="expression" dxfId="493" priority="690">
      <formula>IF(VLOOKUP($F137,PROFA,2,0)=1,1,0)</formula>
    </cfRule>
    <cfRule type="expression" dxfId="492" priority="691">
      <formula>IF(VLOOKUP($F137,PROFA,2,0)=2,1,0)</formula>
    </cfRule>
    <cfRule type="expression" dxfId="491" priority="692">
      <formula>IF(VLOOKUP($F137,PROFA,2,0)=3,1,0)</formula>
    </cfRule>
    <cfRule type="expression" dxfId="490" priority="693">
      <formula>IF(VLOOKUP($F137,PROFA,2,0)=4,1,0)</formula>
    </cfRule>
    <cfRule type="expression" dxfId="489" priority="694">
      <formula>IF(VLOOKUP($F137,PROFA,2,0)=5,1,0)</formula>
    </cfRule>
    <cfRule type="expression" dxfId="488" priority="695">
      <formula>IF(VLOOKUP($F137,PROFA,2,0)=6,1,0)</formula>
    </cfRule>
    <cfRule type="expression" dxfId="487" priority="696">
      <formula>IF(VLOOKUP($F137,PROFA,2,0)=7,1,0)</formula>
    </cfRule>
    <cfRule type="expression" dxfId="486" priority="697">
      <formula>IF(VLOOKUP($F137,PROFA,2,0)=8,1,0)</formula>
    </cfRule>
  </conditionalFormatting>
  <conditionalFormatting sqref="F138">
    <cfRule type="expression" dxfId="485" priority="682">
      <formula>IF(VLOOKUP($F138,PROFA,2,0)=1,1,0)</formula>
    </cfRule>
    <cfRule type="expression" dxfId="484" priority="683">
      <formula>IF(VLOOKUP($F138,PROFA,2,0)=2,1,0)</formula>
    </cfRule>
    <cfRule type="expression" dxfId="483" priority="684">
      <formula>IF(VLOOKUP($F138,PROFA,2,0)=3,1,0)</formula>
    </cfRule>
    <cfRule type="expression" dxfId="482" priority="685">
      <formula>IF(VLOOKUP($F138,PROFA,2,0)=4,1,0)</formula>
    </cfRule>
    <cfRule type="expression" dxfId="481" priority="686">
      <formula>IF(VLOOKUP($F138,PROFA,2,0)=5,1,0)</formula>
    </cfRule>
    <cfRule type="expression" dxfId="480" priority="687">
      <formula>IF(VLOOKUP($F138,PROFA,2,0)=6,1,0)</formula>
    </cfRule>
    <cfRule type="expression" dxfId="479" priority="688">
      <formula>IF(VLOOKUP($F138,PROFA,2,0)=7,1,0)</formula>
    </cfRule>
    <cfRule type="expression" dxfId="478" priority="689">
      <formula>IF(VLOOKUP($F138,PROFA,2,0)=8,1,0)</formula>
    </cfRule>
  </conditionalFormatting>
  <conditionalFormatting sqref="F140">
    <cfRule type="expression" dxfId="477" priority="674">
      <formula>IF(VLOOKUP($F140,PROFA,2,0)=1,1,0)</formula>
    </cfRule>
    <cfRule type="expression" dxfId="476" priority="675">
      <formula>IF(VLOOKUP($F140,PROFA,2,0)=2,1,0)</formula>
    </cfRule>
    <cfRule type="expression" dxfId="475" priority="676">
      <formula>IF(VLOOKUP($F140,PROFA,2,0)=3,1,0)</formula>
    </cfRule>
    <cfRule type="expression" dxfId="474" priority="677">
      <formula>IF(VLOOKUP($F140,PROFA,2,0)=4,1,0)</formula>
    </cfRule>
    <cfRule type="expression" dxfId="473" priority="678">
      <formula>IF(VLOOKUP($F140,PROFA,2,0)=5,1,0)</formula>
    </cfRule>
    <cfRule type="expression" dxfId="472" priority="679">
      <formula>IF(VLOOKUP($F140,PROFA,2,0)=6,1,0)</formula>
    </cfRule>
    <cfRule type="expression" dxfId="471" priority="680">
      <formula>IF(VLOOKUP($F140,PROFA,2,0)=7,1,0)</formula>
    </cfRule>
    <cfRule type="expression" dxfId="470" priority="681">
      <formula>IF(VLOOKUP($F140,PROFA,2,0)=8,1,0)</formula>
    </cfRule>
  </conditionalFormatting>
  <conditionalFormatting sqref="F143">
    <cfRule type="expression" dxfId="469" priority="658">
      <formula>IF(VLOOKUP($F143,PROFA,2,0)=1,1,0)</formula>
    </cfRule>
    <cfRule type="expression" dxfId="468" priority="659">
      <formula>IF(VLOOKUP($F143,PROFA,2,0)=2,1,0)</formula>
    </cfRule>
    <cfRule type="expression" dxfId="467" priority="660">
      <formula>IF(VLOOKUP($F143,PROFA,2,0)=3,1,0)</formula>
    </cfRule>
    <cfRule type="expression" dxfId="466" priority="661">
      <formula>IF(VLOOKUP($F143,PROFA,2,0)=4,1,0)</formula>
    </cfRule>
    <cfRule type="expression" dxfId="465" priority="662">
      <formula>IF(VLOOKUP($F143,PROFA,2,0)=5,1,0)</formula>
    </cfRule>
    <cfRule type="expression" dxfId="464" priority="663">
      <formula>IF(VLOOKUP($F143,PROFA,2,0)=6,1,0)</formula>
    </cfRule>
    <cfRule type="expression" dxfId="463" priority="664">
      <formula>IF(VLOOKUP($F143,PROFA,2,0)=7,1,0)</formula>
    </cfRule>
    <cfRule type="expression" dxfId="462" priority="665">
      <formula>IF(VLOOKUP($F143,PROFA,2,0)=8,1,0)</formula>
    </cfRule>
  </conditionalFormatting>
  <conditionalFormatting sqref="F146">
    <cfRule type="expression" dxfId="461" priority="650">
      <formula>IF(VLOOKUP($F146,PROFA,2,0)=1,1,0)</formula>
    </cfRule>
    <cfRule type="expression" dxfId="460" priority="651">
      <formula>IF(VLOOKUP($F146,PROFA,2,0)=2,1,0)</formula>
    </cfRule>
    <cfRule type="expression" dxfId="459" priority="652">
      <formula>IF(VLOOKUP($F146,PROFA,2,0)=3,1,0)</formula>
    </cfRule>
    <cfRule type="expression" dxfId="458" priority="653">
      <formula>IF(VLOOKUP($F146,PROFA,2,0)=4,1,0)</formula>
    </cfRule>
    <cfRule type="expression" dxfId="457" priority="654">
      <formula>IF(VLOOKUP($F146,PROFA,2,0)=5,1,0)</formula>
    </cfRule>
    <cfRule type="expression" dxfId="456" priority="655">
      <formula>IF(VLOOKUP($F146,PROFA,2,0)=6,1,0)</formula>
    </cfRule>
    <cfRule type="expression" dxfId="455" priority="656">
      <formula>IF(VLOOKUP($F146,PROFA,2,0)=7,1,0)</formula>
    </cfRule>
    <cfRule type="expression" dxfId="454" priority="657">
      <formula>IF(VLOOKUP($F146,PROFA,2,0)=8,1,0)</formula>
    </cfRule>
  </conditionalFormatting>
  <conditionalFormatting sqref="F147">
    <cfRule type="expression" dxfId="453" priority="642">
      <formula>IF(VLOOKUP($F147,PROFA,2,0)=1,1,0)</formula>
    </cfRule>
    <cfRule type="expression" dxfId="452" priority="643">
      <formula>IF(VLOOKUP($F147,PROFA,2,0)=2,1,0)</formula>
    </cfRule>
    <cfRule type="expression" dxfId="451" priority="644">
      <formula>IF(VLOOKUP($F147,PROFA,2,0)=3,1,0)</formula>
    </cfRule>
    <cfRule type="expression" dxfId="450" priority="645">
      <formula>IF(VLOOKUP($F147,PROFA,2,0)=4,1,0)</formula>
    </cfRule>
    <cfRule type="expression" dxfId="449" priority="646">
      <formula>IF(VLOOKUP($F147,PROFA,2,0)=5,1,0)</formula>
    </cfRule>
    <cfRule type="expression" dxfId="448" priority="647">
      <formula>IF(VLOOKUP($F147,PROFA,2,0)=6,1,0)</formula>
    </cfRule>
    <cfRule type="expression" dxfId="447" priority="648">
      <formula>IF(VLOOKUP($F147,PROFA,2,0)=7,1,0)</formula>
    </cfRule>
    <cfRule type="expression" dxfId="446" priority="649">
      <formula>IF(VLOOKUP($F147,PROFA,2,0)=8,1,0)</formula>
    </cfRule>
  </conditionalFormatting>
  <conditionalFormatting sqref="F148">
    <cfRule type="expression" dxfId="445" priority="634">
      <formula>IF(VLOOKUP($F148,PROFA,2,0)=1,1,0)</formula>
    </cfRule>
    <cfRule type="expression" dxfId="444" priority="635">
      <formula>IF(VLOOKUP($F148,PROFA,2,0)=2,1,0)</formula>
    </cfRule>
    <cfRule type="expression" dxfId="443" priority="636">
      <formula>IF(VLOOKUP($F148,PROFA,2,0)=3,1,0)</formula>
    </cfRule>
    <cfRule type="expression" dxfId="442" priority="637">
      <formula>IF(VLOOKUP($F148,PROFA,2,0)=4,1,0)</formula>
    </cfRule>
    <cfRule type="expression" dxfId="441" priority="638">
      <formula>IF(VLOOKUP($F148,PROFA,2,0)=5,1,0)</formula>
    </cfRule>
    <cfRule type="expression" dxfId="440" priority="639">
      <formula>IF(VLOOKUP($F148,PROFA,2,0)=6,1,0)</formula>
    </cfRule>
    <cfRule type="expression" dxfId="439" priority="640">
      <formula>IF(VLOOKUP($F148,PROFA,2,0)=7,1,0)</formula>
    </cfRule>
    <cfRule type="expression" dxfId="438" priority="641">
      <formula>IF(VLOOKUP($F148,PROFA,2,0)=8,1,0)</formula>
    </cfRule>
  </conditionalFormatting>
  <conditionalFormatting sqref="F151">
    <cfRule type="expression" dxfId="437" priority="626">
      <formula>IF(VLOOKUP($F151,PROFA,2,0)=1,1,0)</formula>
    </cfRule>
    <cfRule type="expression" dxfId="436" priority="627">
      <formula>IF(VLOOKUP($F151,PROFA,2,0)=2,1,0)</formula>
    </cfRule>
    <cfRule type="expression" dxfId="435" priority="628">
      <formula>IF(VLOOKUP($F151,PROFA,2,0)=3,1,0)</formula>
    </cfRule>
    <cfRule type="expression" dxfId="434" priority="629">
      <formula>IF(VLOOKUP($F151,PROFA,2,0)=4,1,0)</formula>
    </cfRule>
    <cfRule type="expression" dxfId="433" priority="630">
      <formula>IF(VLOOKUP($F151,PROFA,2,0)=5,1,0)</formula>
    </cfRule>
    <cfRule type="expression" dxfId="432" priority="631">
      <formula>IF(VLOOKUP($F151,PROFA,2,0)=6,1,0)</formula>
    </cfRule>
    <cfRule type="expression" dxfId="431" priority="632">
      <formula>IF(VLOOKUP($F151,PROFA,2,0)=7,1,0)</formula>
    </cfRule>
    <cfRule type="expression" dxfId="430" priority="633">
      <formula>IF(VLOOKUP($F151,PROFA,2,0)=8,1,0)</formula>
    </cfRule>
  </conditionalFormatting>
  <conditionalFormatting sqref="F153">
    <cfRule type="expression" dxfId="429" priority="618">
      <formula>IF(VLOOKUP($F153,PROFA,2,0)=1,1,0)</formula>
    </cfRule>
    <cfRule type="expression" dxfId="428" priority="619">
      <formula>IF(VLOOKUP($F153,PROFA,2,0)=2,1,0)</formula>
    </cfRule>
    <cfRule type="expression" dxfId="427" priority="620">
      <formula>IF(VLOOKUP($F153,PROFA,2,0)=3,1,0)</formula>
    </cfRule>
    <cfRule type="expression" dxfId="426" priority="621">
      <formula>IF(VLOOKUP($F153,PROFA,2,0)=4,1,0)</formula>
    </cfRule>
    <cfRule type="expression" dxfId="425" priority="622">
      <formula>IF(VLOOKUP($F153,PROFA,2,0)=5,1,0)</formula>
    </cfRule>
    <cfRule type="expression" dxfId="424" priority="623">
      <formula>IF(VLOOKUP($F153,PROFA,2,0)=6,1,0)</formula>
    </cfRule>
    <cfRule type="expression" dxfId="423" priority="624">
      <formula>IF(VLOOKUP($F153,PROFA,2,0)=7,1,0)</formula>
    </cfRule>
    <cfRule type="expression" dxfId="422" priority="625">
      <formula>IF(VLOOKUP($F153,PROFA,2,0)=8,1,0)</formula>
    </cfRule>
  </conditionalFormatting>
  <conditionalFormatting sqref="F154">
    <cfRule type="expression" dxfId="421" priority="610">
      <formula>IF(VLOOKUP($F154,PROFA,2,0)=1,1,0)</formula>
    </cfRule>
    <cfRule type="expression" dxfId="420" priority="611">
      <formula>IF(VLOOKUP($F154,PROFA,2,0)=2,1,0)</formula>
    </cfRule>
    <cfRule type="expression" dxfId="419" priority="612">
      <formula>IF(VLOOKUP($F154,PROFA,2,0)=3,1,0)</formula>
    </cfRule>
    <cfRule type="expression" dxfId="418" priority="613">
      <formula>IF(VLOOKUP($F154,PROFA,2,0)=4,1,0)</formula>
    </cfRule>
    <cfRule type="expression" dxfId="417" priority="614">
      <formula>IF(VLOOKUP($F154,PROFA,2,0)=5,1,0)</formula>
    </cfRule>
    <cfRule type="expression" dxfId="416" priority="615">
      <formula>IF(VLOOKUP($F154,PROFA,2,0)=6,1,0)</formula>
    </cfRule>
    <cfRule type="expression" dxfId="415" priority="616">
      <formula>IF(VLOOKUP($F154,PROFA,2,0)=7,1,0)</formula>
    </cfRule>
    <cfRule type="expression" dxfId="414" priority="617">
      <formula>IF(VLOOKUP($F154,PROFA,2,0)=8,1,0)</formula>
    </cfRule>
  </conditionalFormatting>
  <conditionalFormatting sqref="F156">
    <cfRule type="expression" dxfId="413" priority="602">
      <formula>IF(VLOOKUP($F156,PROFA,2,0)=1,1,0)</formula>
    </cfRule>
    <cfRule type="expression" dxfId="412" priority="603">
      <formula>IF(VLOOKUP($F156,PROFA,2,0)=2,1,0)</formula>
    </cfRule>
    <cfRule type="expression" dxfId="411" priority="604">
      <formula>IF(VLOOKUP($F156,PROFA,2,0)=3,1,0)</formula>
    </cfRule>
    <cfRule type="expression" dxfId="410" priority="605">
      <formula>IF(VLOOKUP($F156,PROFA,2,0)=4,1,0)</formula>
    </cfRule>
    <cfRule type="expression" dxfId="409" priority="606">
      <formula>IF(VLOOKUP($F156,PROFA,2,0)=5,1,0)</formula>
    </cfRule>
    <cfRule type="expression" dxfId="408" priority="607">
      <formula>IF(VLOOKUP($F156,PROFA,2,0)=6,1,0)</formula>
    </cfRule>
    <cfRule type="expression" dxfId="407" priority="608">
      <formula>IF(VLOOKUP($F156,PROFA,2,0)=7,1,0)</formula>
    </cfRule>
    <cfRule type="expression" dxfId="406" priority="609">
      <formula>IF(VLOOKUP($F156,PROFA,2,0)=8,1,0)</formula>
    </cfRule>
  </conditionalFormatting>
  <conditionalFormatting sqref="F162">
    <cfRule type="expression" dxfId="405" priority="578">
      <formula>IF(VLOOKUP($F162,PROFA,2,0)=1,1,0)</formula>
    </cfRule>
    <cfRule type="expression" dxfId="404" priority="579">
      <formula>IF(VLOOKUP($F162,PROFA,2,0)=2,1,0)</formula>
    </cfRule>
    <cfRule type="expression" dxfId="403" priority="580">
      <formula>IF(VLOOKUP($F162,PROFA,2,0)=3,1,0)</formula>
    </cfRule>
    <cfRule type="expression" dxfId="402" priority="581">
      <formula>IF(VLOOKUP($F162,PROFA,2,0)=4,1,0)</formula>
    </cfRule>
    <cfRule type="expression" dxfId="401" priority="582">
      <formula>IF(VLOOKUP($F162,PROFA,2,0)=5,1,0)</formula>
    </cfRule>
    <cfRule type="expression" dxfId="400" priority="583">
      <formula>IF(VLOOKUP($F162,PROFA,2,0)=6,1,0)</formula>
    </cfRule>
    <cfRule type="expression" dxfId="399" priority="584">
      <formula>IF(VLOOKUP($F162,PROFA,2,0)=7,1,0)</formula>
    </cfRule>
    <cfRule type="expression" dxfId="398" priority="585">
      <formula>IF(VLOOKUP($F162,PROFA,2,0)=8,1,0)</formula>
    </cfRule>
  </conditionalFormatting>
  <conditionalFormatting sqref="F164">
    <cfRule type="expression" dxfId="397" priority="570">
      <formula>IF(VLOOKUP($F164,PROFA,2,0)=1,1,0)</formula>
    </cfRule>
    <cfRule type="expression" dxfId="396" priority="571">
      <formula>IF(VLOOKUP($F164,PROFA,2,0)=2,1,0)</formula>
    </cfRule>
    <cfRule type="expression" dxfId="395" priority="572">
      <formula>IF(VLOOKUP($F164,PROFA,2,0)=3,1,0)</formula>
    </cfRule>
    <cfRule type="expression" dxfId="394" priority="573">
      <formula>IF(VLOOKUP($F164,PROFA,2,0)=4,1,0)</formula>
    </cfRule>
    <cfRule type="expression" dxfId="393" priority="574">
      <formula>IF(VLOOKUP($F164,PROFA,2,0)=5,1,0)</formula>
    </cfRule>
    <cfRule type="expression" dxfId="392" priority="575">
      <formula>IF(VLOOKUP($F164,PROFA,2,0)=6,1,0)</formula>
    </cfRule>
    <cfRule type="expression" dxfId="391" priority="576">
      <formula>IF(VLOOKUP($F164,PROFA,2,0)=7,1,0)</formula>
    </cfRule>
    <cfRule type="expression" dxfId="390" priority="577">
      <formula>IF(VLOOKUP($F164,PROFA,2,0)=8,1,0)</formula>
    </cfRule>
  </conditionalFormatting>
  <conditionalFormatting sqref="F166">
    <cfRule type="expression" dxfId="389" priority="562">
      <formula>IF(VLOOKUP($F166,PROFA,2,0)=1,1,0)</formula>
    </cfRule>
    <cfRule type="expression" dxfId="388" priority="563">
      <formula>IF(VLOOKUP($F166,PROFA,2,0)=2,1,0)</formula>
    </cfRule>
    <cfRule type="expression" dxfId="387" priority="564">
      <formula>IF(VLOOKUP($F166,PROFA,2,0)=3,1,0)</formula>
    </cfRule>
    <cfRule type="expression" dxfId="386" priority="565">
      <formula>IF(VLOOKUP($F166,PROFA,2,0)=4,1,0)</formula>
    </cfRule>
    <cfRule type="expression" dxfId="385" priority="566">
      <formula>IF(VLOOKUP($F166,PROFA,2,0)=5,1,0)</formula>
    </cfRule>
    <cfRule type="expression" dxfId="384" priority="567">
      <formula>IF(VLOOKUP($F166,PROFA,2,0)=6,1,0)</formula>
    </cfRule>
    <cfRule type="expression" dxfId="383" priority="568">
      <formula>IF(VLOOKUP($F166,PROFA,2,0)=7,1,0)</formula>
    </cfRule>
    <cfRule type="expression" dxfId="382" priority="569">
      <formula>IF(VLOOKUP($F166,PROFA,2,0)=8,1,0)</formula>
    </cfRule>
  </conditionalFormatting>
  <conditionalFormatting sqref="F167">
    <cfRule type="expression" dxfId="381" priority="554">
      <formula>IF(VLOOKUP($F167,PROFA,2,0)=1,1,0)</formula>
    </cfRule>
    <cfRule type="expression" dxfId="380" priority="555">
      <formula>IF(VLOOKUP($F167,PROFA,2,0)=2,1,0)</formula>
    </cfRule>
    <cfRule type="expression" dxfId="379" priority="556">
      <formula>IF(VLOOKUP($F167,PROFA,2,0)=3,1,0)</formula>
    </cfRule>
    <cfRule type="expression" dxfId="378" priority="557">
      <formula>IF(VLOOKUP($F167,PROFA,2,0)=4,1,0)</formula>
    </cfRule>
    <cfRule type="expression" dxfId="377" priority="558">
      <formula>IF(VLOOKUP($F167,PROFA,2,0)=5,1,0)</formula>
    </cfRule>
    <cfRule type="expression" dxfId="376" priority="559">
      <formula>IF(VLOOKUP($F167,PROFA,2,0)=6,1,0)</formula>
    </cfRule>
    <cfRule type="expression" dxfId="375" priority="560">
      <formula>IF(VLOOKUP($F167,PROFA,2,0)=7,1,0)</formula>
    </cfRule>
    <cfRule type="expression" dxfId="374" priority="561">
      <formula>IF(VLOOKUP($F167,PROFA,2,0)=8,1,0)</formula>
    </cfRule>
  </conditionalFormatting>
  <conditionalFormatting sqref="F170">
    <cfRule type="expression" dxfId="373" priority="546">
      <formula>IF(VLOOKUP($F170,PROFA,2,0)=1,1,0)</formula>
    </cfRule>
    <cfRule type="expression" dxfId="372" priority="547">
      <formula>IF(VLOOKUP($F170,PROFA,2,0)=2,1,0)</formula>
    </cfRule>
    <cfRule type="expression" dxfId="371" priority="548">
      <formula>IF(VLOOKUP($F170,PROFA,2,0)=3,1,0)</formula>
    </cfRule>
    <cfRule type="expression" dxfId="370" priority="549">
      <formula>IF(VLOOKUP($F170,PROFA,2,0)=4,1,0)</formula>
    </cfRule>
    <cfRule type="expression" dxfId="369" priority="550">
      <formula>IF(VLOOKUP($F170,PROFA,2,0)=5,1,0)</formula>
    </cfRule>
    <cfRule type="expression" dxfId="368" priority="551">
      <formula>IF(VLOOKUP($F170,PROFA,2,0)=6,1,0)</formula>
    </cfRule>
    <cfRule type="expression" dxfId="367" priority="552">
      <formula>IF(VLOOKUP($F170,PROFA,2,0)=7,1,0)</formula>
    </cfRule>
    <cfRule type="expression" dxfId="366" priority="553">
      <formula>IF(VLOOKUP($F170,PROFA,2,0)=8,1,0)</formula>
    </cfRule>
  </conditionalFormatting>
  <conditionalFormatting sqref="F173">
    <cfRule type="expression" dxfId="365" priority="538">
      <formula>IF(VLOOKUP($F173,PROFA,2,0)=1,1,0)</formula>
    </cfRule>
    <cfRule type="expression" dxfId="364" priority="539">
      <formula>IF(VLOOKUP($F173,PROFA,2,0)=2,1,0)</formula>
    </cfRule>
    <cfRule type="expression" dxfId="363" priority="540">
      <formula>IF(VLOOKUP($F173,PROFA,2,0)=3,1,0)</formula>
    </cfRule>
    <cfRule type="expression" dxfId="362" priority="541">
      <formula>IF(VLOOKUP($F173,PROFA,2,0)=4,1,0)</formula>
    </cfRule>
    <cfRule type="expression" dxfId="361" priority="542">
      <formula>IF(VLOOKUP($F173,PROFA,2,0)=5,1,0)</formula>
    </cfRule>
    <cfRule type="expression" dxfId="360" priority="543">
      <formula>IF(VLOOKUP($F173,PROFA,2,0)=6,1,0)</formula>
    </cfRule>
    <cfRule type="expression" dxfId="359" priority="544">
      <formula>IF(VLOOKUP($F173,PROFA,2,0)=7,1,0)</formula>
    </cfRule>
    <cfRule type="expression" dxfId="358" priority="545">
      <formula>IF(VLOOKUP($F173,PROFA,2,0)=8,1,0)</formula>
    </cfRule>
  </conditionalFormatting>
  <conditionalFormatting sqref="F174">
    <cfRule type="expression" dxfId="357" priority="522">
      <formula>IF(VLOOKUP($F174,PROFA,2,0)=1,1,0)</formula>
    </cfRule>
    <cfRule type="expression" dxfId="356" priority="523">
      <formula>IF(VLOOKUP($F174,PROFA,2,0)=2,1,0)</formula>
    </cfRule>
    <cfRule type="expression" dxfId="355" priority="524">
      <formula>IF(VLOOKUP($F174,PROFA,2,0)=3,1,0)</formula>
    </cfRule>
    <cfRule type="expression" dxfId="354" priority="525">
      <formula>IF(VLOOKUP($F174,PROFA,2,0)=4,1,0)</formula>
    </cfRule>
    <cfRule type="expression" dxfId="353" priority="526">
      <formula>IF(VLOOKUP($F174,PROFA,2,0)=5,1,0)</formula>
    </cfRule>
    <cfRule type="expression" dxfId="352" priority="527">
      <formula>IF(VLOOKUP($F174,PROFA,2,0)=6,1,0)</formula>
    </cfRule>
    <cfRule type="expression" dxfId="351" priority="528">
      <formula>IF(VLOOKUP($F174,PROFA,2,0)=7,1,0)</formula>
    </cfRule>
    <cfRule type="expression" dxfId="350" priority="529">
      <formula>IF(VLOOKUP($F174,PROFA,2,0)=8,1,0)</formula>
    </cfRule>
  </conditionalFormatting>
  <conditionalFormatting sqref="F175">
    <cfRule type="expression" dxfId="349" priority="514">
      <formula>IF(VLOOKUP($F175,PROFA,2,0)=1,1,0)</formula>
    </cfRule>
    <cfRule type="expression" dxfId="348" priority="515">
      <formula>IF(VLOOKUP($F175,PROFA,2,0)=2,1,0)</formula>
    </cfRule>
    <cfRule type="expression" dxfId="347" priority="516">
      <formula>IF(VLOOKUP($F175,PROFA,2,0)=3,1,0)</formula>
    </cfRule>
    <cfRule type="expression" dxfId="346" priority="517">
      <formula>IF(VLOOKUP($F175,PROFA,2,0)=4,1,0)</formula>
    </cfRule>
    <cfRule type="expression" dxfId="345" priority="518">
      <formula>IF(VLOOKUP($F175,PROFA,2,0)=5,1,0)</formula>
    </cfRule>
    <cfRule type="expression" dxfId="344" priority="519">
      <formula>IF(VLOOKUP($F175,PROFA,2,0)=6,1,0)</formula>
    </cfRule>
    <cfRule type="expression" dxfId="343" priority="520">
      <formula>IF(VLOOKUP($F175,PROFA,2,0)=7,1,0)</formula>
    </cfRule>
    <cfRule type="expression" dxfId="342" priority="521">
      <formula>IF(VLOOKUP($F175,PROFA,2,0)=8,1,0)</formula>
    </cfRule>
  </conditionalFormatting>
  <conditionalFormatting sqref="F178">
    <cfRule type="expression" dxfId="341" priority="506">
      <formula>IF(VLOOKUP($F178,PROFA,2,0)=1,1,0)</formula>
    </cfRule>
    <cfRule type="expression" dxfId="340" priority="507">
      <formula>IF(VLOOKUP($F178,PROFA,2,0)=2,1,0)</formula>
    </cfRule>
    <cfRule type="expression" dxfId="339" priority="508">
      <formula>IF(VLOOKUP($F178,PROFA,2,0)=3,1,0)</formula>
    </cfRule>
    <cfRule type="expression" dxfId="338" priority="509">
      <formula>IF(VLOOKUP($F178,PROFA,2,0)=4,1,0)</formula>
    </cfRule>
    <cfRule type="expression" dxfId="337" priority="510">
      <formula>IF(VLOOKUP($F178,PROFA,2,0)=5,1,0)</formula>
    </cfRule>
    <cfRule type="expression" dxfId="336" priority="511">
      <formula>IF(VLOOKUP($F178,PROFA,2,0)=6,1,0)</formula>
    </cfRule>
    <cfRule type="expression" dxfId="335" priority="512">
      <formula>IF(VLOOKUP($F178,PROFA,2,0)=7,1,0)</formula>
    </cfRule>
    <cfRule type="expression" dxfId="334" priority="513">
      <formula>IF(VLOOKUP($F178,PROFA,2,0)=8,1,0)</formula>
    </cfRule>
  </conditionalFormatting>
  <conditionalFormatting sqref="F179">
    <cfRule type="expression" dxfId="333" priority="498">
      <formula>IF(VLOOKUP($F179,PROFA,2,0)=1,1,0)</formula>
    </cfRule>
    <cfRule type="expression" dxfId="332" priority="499">
      <formula>IF(VLOOKUP($F179,PROFA,2,0)=2,1,0)</formula>
    </cfRule>
    <cfRule type="expression" dxfId="331" priority="500">
      <formula>IF(VLOOKUP($F179,PROFA,2,0)=3,1,0)</formula>
    </cfRule>
    <cfRule type="expression" dxfId="330" priority="501">
      <formula>IF(VLOOKUP($F179,PROFA,2,0)=4,1,0)</formula>
    </cfRule>
    <cfRule type="expression" dxfId="329" priority="502">
      <formula>IF(VLOOKUP($F179,PROFA,2,0)=5,1,0)</formula>
    </cfRule>
    <cfRule type="expression" dxfId="328" priority="503">
      <formula>IF(VLOOKUP($F179,PROFA,2,0)=6,1,0)</formula>
    </cfRule>
    <cfRule type="expression" dxfId="327" priority="504">
      <formula>IF(VLOOKUP($F179,PROFA,2,0)=7,1,0)</formula>
    </cfRule>
    <cfRule type="expression" dxfId="326" priority="505">
      <formula>IF(VLOOKUP($F179,PROFA,2,0)=8,1,0)</formula>
    </cfRule>
  </conditionalFormatting>
  <conditionalFormatting sqref="F20">
    <cfRule type="expression" dxfId="325" priority="489">
      <formula>IF(VLOOKUP($F20,PROFA,2,0)=1,1,0)</formula>
    </cfRule>
    <cfRule type="expression" dxfId="324" priority="490">
      <formula>IF(VLOOKUP($F20,PROFA,2,0)=2,1,0)</formula>
    </cfRule>
    <cfRule type="expression" dxfId="323" priority="491">
      <formula>IF(VLOOKUP($F20,PROFA,2,0)=3,1,0)</formula>
    </cfRule>
    <cfRule type="expression" dxfId="322" priority="492">
      <formula>IF(VLOOKUP($F20,PROFA,2,0)=4,1,0)</formula>
    </cfRule>
    <cfRule type="expression" dxfId="321" priority="493">
      <formula>IF(VLOOKUP($F20,PROFA,2,0)=5,1,0)</formula>
    </cfRule>
    <cfRule type="expression" dxfId="320" priority="494">
      <formula>IF(VLOOKUP($F20,PROFA,2,0)=6,1,0)</formula>
    </cfRule>
    <cfRule type="expression" dxfId="319" priority="495">
      <formula>IF(VLOOKUP($F20,PROFA,2,0)=7,1,0)</formula>
    </cfRule>
    <cfRule type="expression" dxfId="318" priority="496">
      <formula>IF(VLOOKUP($F20,PROFA,2,0)=8,1,0)</formula>
    </cfRule>
    <cfRule type="expression" dxfId="317" priority="497">
      <formula>IF(VLOOKUP($F20,PROFA,2,0)=9,1,0)</formula>
    </cfRule>
  </conditionalFormatting>
  <conditionalFormatting sqref="F22">
    <cfRule type="expression" dxfId="316" priority="480">
      <formula>IF(VLOOKUP($F22,PROFA,2,0)=1,1,0)</formula>
    </cfRule>
    <cfRule type="expression" dxfId="315" priority="481">
      <formula>IF(VLOOKUP($F22,PROFA,2,0)=2,1,0)</formula>
    </cfRule>
    <cfRule type="expression" dxfId="314" priority="482">
      <formula>IF(VLOOKUP($F22,PROFA,2,0)=3,1,0)</formula>
    </cfRule>
    <cfRule type="expression" dxfId="313" priority="483">
      <formula>IF(VLOOKUP($F22,PROFA,2,0)=4,1,0)</formula>
    </cfRule>
    <cfRule type="expression" dxfId="312" priority="484">
      <formula>IF(VLOOKUP($F22,PROFA,2,0)=5,1,0)</formula>
    </cfRule>
    <cfRule type="expression" dxfId="311" priority="485">
      <formula>IF(VLOOKUP($F22,PROFA,2,0)=6,1,0)</formula>
    </cfRule>
    <cfRule type="expression" dxfId="310" priority="486">
      <formula>IF(VLOOKUP($F22,PROFA,2,0)=7,1,0)</formula>
    </cfRule>
    <cfRule type="expression" dxfId="309" priority="487">
      <formula>IF(VLOOKUP($F22,PROFA,2,0)=8,1,0)</formula>
    </cfRule>
    <cfRule type="expression" dxfId="308" priority="488">
      <formula>IF(VLOOKUP($F22,PROFA,2,0)=9,1,0)</formula>
    </cfRule>
  </conditionalFormatting>
  <conditionalFormatting sqref="F24">
    <cfRule type="expression" dxfId="307" priority="471">
      <formula>IF(VLOOKUP($F24,PROFA,2,0)=1,1,0)</formula>
    </cfRule>
    <cfRule type="expression" dxfId="306" priority="472">
      <formula>IF(VLOOKUP($F24,PROFA,2,0)=2,1,0)</formula>
    </cfRule>
    <cfRule type="expression" dxfId="305" priority="473">
      <formula>IF(VLOOKUP($F24,PROFA,2,0)=3,1,0)</formula>
    </cfRule>
    <cfRule type="expression" dxfId="304" priority="474">
      <formula>IF(VLOOKUP($F24,PROFA,2,0)=4,1,0)</formula>
    </cfRule>
    <cfRule type="expression" dxfId="303" priority="475">
      <formula>IF(VLOOKUP($F24,PROFA,2,0)=5,1,0)</formula>
    </cfRule>
    <cfRule type="expression" dxfId="302" priority="476">
      <formula>IF(VLOOKUP($F24,PROFA,2,0)=6,1,0)</formula>
    </cfRule>
    <cfRule type="expression" dxfId="301" priority="477">
      <formula>IF(VLOOKUP($F24,PROFA,2,0)=7,1,0)</formula>
    </cfRule>
    <cfRule type="expression" dxfId="300" priority="478">
      <formula>IF(VLOOKUP($F24,PROFA,2,0)=8,1,0)</formula>
    </cfRule>
    <cfRule type="expression" dxfId="299" priority="479">
      <formula>IF(VLOOKUP($F24,PROFA,2,0)=9,1,0)</formula>
    </cfRule>
  </conditionalFormatting>
  <conditionalFormatting sqref="F27">
    <cfRule type="expression" dxfId="298" priority="462">
      <formula>IF(VLOOKUP($F27,PROFA,2,0)=1,1,0)</formula>
    </cfRule>
    <cfRule type="expression" dxfId="297" priority="463">
      <formula>IF(VLOOKUP($F27,PROFA,2,0)=2,1,0)</formula>
    </cfRule>
    <cfRule type="expression" dxfId="296" priority="464">
      <formula>IF(VLOOKUP($F27,PROFA,2,0)=3,1,0)</formula>
    </cfRule>
    <cfRule type="expression" dxfId="295" priority="465">
      <formula>IF(VLOOKUP($F27,PROFA,2,0)=4,1,0)</formula>
    </cfRule>
    <cfRule type="expression" dxfId="294" priority="466">
      <formula>IF(VLOOKUP($F27,PROFA,2,0)=5,1,0)</formula>
    </cfRule>
    <cfRule type="expression" dxfId="293" priority="467">
      <formula>IF(VLOOKUP($F27,PROFA,2,0)=6,1,0)</formula>
    </cfRule>
    <cfRule type="expression" dxfId="292" priority="468">
      <formula>IF(VLOOKUP($F27,PROFA,2,0)=7,1,0)</formula>
    </cfRule>
    <cfRule type="expression" dxfId="291" priority="469">
      <formula>IF(VLOOKUP($F27,PROFA,2,0)=8,1,0)</formula>
    </cfRule>
    <cfRule type="expression" dxfId="290" priority="470">
      <formula>IF(VLOOKUP($F27,PROFA,2,0)=9,1,0)</formula>
    </cfRule>
  </conditionalFormatting>
  <conditionalFormatting sqref="F34">
    <cfRule type="expression" dxfId="289" priority="453">
      <formula>IF(VLOOKUP($F34,PROFA,2,0)=1,1,0)</formula>
    </cfRule>
    <cfRule type="expression" dxfId="288" priority="454">
      <formula>IF(VLOOKUP($F34,PROFA,2,0)=2,1,0)</formula>
    </cfRule>
    <cfRule type="expression" dxfId="287" priority="455">
      <formula>IF(VLOOKUP($F34,PROFA,2,0)=3,1,0)</formula>
    </cfRule>
    <cfRule type="expression" dxfId="286" priority="456">
      <formula>IF(VLOOKUP($F34,PROFA,2,0)=4,1,0)</formula>
    </cfRule>
    <cfRule type="expression" dxfId="285" priority="457">
      <formula>IF(VLOOKUP($F34,PROFA,2,0)=5,1,0)</formula>
    </cfRule>
    <cfRule type="expression" dxfId="284" priority="458">
      <formula>IF(VLOOKUP($F34,PROFA,2,0)=6,1,0)</formula>
    </cfRule>
    <cfRule type="expression" dxfId="283" priority="459">
      <formula>IF(VLOOKUP($F34,PROFA,2,0)=7,1,0)</formula>
    </cfRule>
    <cfRule type="expression" dxfId="282" priority="460">
      <formula>IF(VLOOKUP($F34,PROFA,2,0)=8,1,0)</formula>
    </cfRule>
    <cfRule type="expression" dxfId="281" priority="461">
      <formula>IF(VLOOKUP($F34,PROFA,2,0)=9,1,0)</formula>
    </cfRule>
  </conditionalFormatting>
  <conditionalFormatting sqref="F42">
    <cfRule type="expression" dxfId="280" priority="444">
      <formula>IF(VLOOKUP($F42,PROFA,2,0)=1,1,0)</formula>
    </cfRule>
    <cfRule type="expression" dxfId="279" priority="445">
      <formula>IF(VLOOKUP($F42,PROFA,2,0)=2,1,0)</formula>
    </cfRule>
    <cfRule type="expression" dxfId="278" priority="446">
      <formula>IF(VLOOKUP($F42,PROFA,2,0)=3,1,0)</formula>
    </cfRule>
    <cfRule type="expression" dxfId="277" priority="447">
      <formula>IF(VLOOKUP($F42,PROFA,2,0)=4,1,0)</formula>
    </cfRule>
    <cfRule type="expression" dxfId="276" priority="448">
      <formula>IF(VLOOKUP($F42,PROFA,2,0)=5,1,0)</formula>
    </cfRule>
    <cfRule type="expression" dxfId="275" priority="449">
      <formula>IF(VLOOKUP($F42,PROFA,2,0)=6,1,0)</formula>
    </cfRule>
    <cfRule type="expression" dxfId="274" priority="450">
      <formula>IF(VLOOKUP($F42,PROFA,2,0)=7,1,0)</formula>
    </cfRule>
    <cfRule type="expression" dxfId="273" priority="451">
      <formula>IF(VLOOKUP($F42,PROFA,2,0)=8,1,0)</formula>
    </cfRule>
    <cfRule type="expression" dxfId="272" priority="452">
      <formula>IF(VLOOKUP($F42,PROFA,2,0)=9,1,0)</formula>
    </cfRule>
  </conditionalFormatting>
  <conditionalFormatting sqref="F48">
    <cfRule type="expression" dxfId="271" priority="435">
      <formula>IF(VLOOKUP($F48,PROFA,2,0)=1,1,0)</formula>
    </cfRule>
    <cfRule type="expression" dxfId="270" priority="436">
      <formula>IF(VLOOKUP($F48,PROFA,2,0)=2,1,0)</formula>
    </cfRule>
    <cfRule type="expression" dxfId="269" priority="437">
      <formula>IF(VLOOKUP($F48,PROFA,2,0)=3,1,0)</formula>
    </cfRule>
    <cfRule type="expression" dxfId="268" priority="438">
      <formula>IF(VLOOKUP($F48,PROFA,2,0)=4,1,0)</formula>
    </cfRule>
    <cfRule type="expression" dxfId="267" priority="439">
      <formula>IF(VLOOKUP($F48,PROFA,2,0)=5,1,0)</formula>
    </cfRule>
    <cfRule type="expression" dxfId="266" priority="440">
      <formula>IF(VLOOKUP($F48,PROFA,2,0)=6,1,0)</formula>
    </cfRule>
    <cfRule type="expression" dxfId="265" priority="441">
      <formula>IF(VLOOKUP($F48,PROFA,2,0)=7,1,0)</formula>
    </cfRule>
    <cfRule type="expression" dxfId="264" priority="442">
      <formula>IF(VLOOKUP($F48,PROFA,2,0)=8,1,0)</formula>
    </cfRule>
    <cfRule type="expression" dxfId="263" priority="443">
      <formula>IF(VLOOKUP($F48,PROFA,2,0)=9,1,0)</formula>
    </cfRule>
  </conditionalFormatting>
  <conditionalFormatting sqref="F64">
    <cfRule type="expression" dxfId="262" priority="426">
      <formula>IF(VLOOKUP($F64,PROFA,2,0)=1,1,0)</formula>
    </cfRule>
    <cfRule type="expression" dxfId="261" priority="427">
      <formula>IF(VLOOKUP($F64,PROFA,2,0)=2,1,0)</formula>
    </cfRule>
    <cfRule type="expression" dxfId="260" priority="428">
      <formula>IF(VLOOKUP($F64,PROFA,2,0)=3,1,0)</formula>
    </cfRule>
    <cfRule type="expression" dxfId="259" priority="429">
      <formula>IF(VLOOKUP($F64,PROFA,2,0)=4,1,0)</formula>
    </cfRule>
    <cfRule type="expression" dxfId="258" priority="430">
      <formula>IF(VLOOKUP($F64,PROFA,2,0)=5,1,0)</formula>
    </cfRule>
    <cfRule type="expression" dxfId="257" priority="431">
      <formula>IF(VLOOKUP($F64,PROFA,2,0)=6,1,0)</formula>
    </cfRule>
    <cfRule type="expression" dxfId="256" priority="432">
      <formula>IF(VLOOKUP($F64,PROFA,2,0)=7,1,0)</formula>
    </cfRule>
    <cfRule type="expression" dxfId="255" priority="433">
      <formula>IF(VLOOKUP($F64,PROFA,2,0)=8,1,0)</formula>
    </cfRule>
    <cfRule type="expression" dxfId="254" priority="434">
      <formula>IF(VLOOKUP($F64,PROFA,2,0)=9,1,0)</formula>
    </cfRule>
  </conditionalFormatting>
  <conditionalFormatting sqref="F71:F72">
    <cfRule type="expression" dxfId="253" priority="417">
      <formula>IF(VLOOKUP($F71,PROFA,2,0)=1,1,0)</formula>
    </cfRule>
    <cfRule type="expression" dxfId="252" priority="418">
      <formula>IF(VLOOKUP($F71,PROFA,2,0)=2,1,0)</formula>
    </cfRule>
    <cfRule type="expression" dxfId="251" priority="419">
      <formula>IF(VLOOKUP($F71,PROFA,2,0)=3,1,0)</formula>
    </cfRule>
    <cfRule type="expression" dxfId="250" priority="420">
      <formula>IF(VLOOKUP($F71,PROFA,2,0)=4,1,0)</formula>
    </cfRule>
    <cfRule type="expression" dxfId="249" priority="421">
      <formula>IF(VLOOKUP($F71,PROFA,2,0)=5,1,0)</formula>
    </cfRule>
    <cfRule type="expression" dxfId="248" priority="422">
      <formula>IF(VLOOKUP($F71,PROFA,2,0)=6,1,0)</formula>
    </cfRule>
    <cfRule type="expression" dxfId="247" priority="423">
      <formula>IF(VLOOKUP($F71,PROFA,2,0)=7,1,0)</formula>
    </cfRule>
    <cfRule type="expression" dxfId="246" priority="424">
      <formula>IF(VLOOKUP($F71,PROFA,2,0)=8,1,0)</formula>
    </cfRule>
    <cfRule type="expression" dxfId="245" priority="425">
      <formula>IF(VLOOKUP($F71,PROFA,2,0)=9,1,0)</formula>
    </cfRule>
  </conditionalFormatting>
  <conditionalFormatting sqref="F78">
    <cfRule type="expression" dxfId="244" priority="408">
      <formula>IF(VLOOKUP($F78,PROFA,2,0)=1,1,0)</formula>
    </cfRule>
    <cfRule type="expression" dxfId="243" priority="409">
      <formula>IF(VLOOKUP($F78,PROFA,2,0)=2,1,0)</formula>
    </cfRule>
    <cfRule type="expression" dxfId="242" priority="410">
      <formula>IF(VLOOKUP($F78,PROFA,2,0)=3,1,0)</formula>
    </cfRule>
    <cfRule type="expression" dxfId="241" priority="411">
      <formula>IF(VLOOKUP($F78,PROFA,2,0)=4,1,0)</formula>
    </cfRule>
    <cfRule type="expression" dxfId="240" priority="412">
      <formula>IF(VLOOKUP($F78,PROFA,2,0)=5,1,0)</formula>
    </cfRule>
    <cfRule type="expression" dxfId="239" priority="413">
      <formula>IF(VLOOKUP($F78,PROFA,2,0)=6,1,0)</formula>
    </cfRule>
    <cfRule type="expression" dxfId="238" priority="414">
      <formula>IF(VLOOKUP($F78,PROFA,2,0)=7,1,0)</formula>
    </cfRule>
    <cfRule type="expression" dxfId="237" priority="415">
      <formula>IF(VLOOKUP($F78,PROFA,2,0)=8,1,0)</formula>
    </cfRule>
    <cfRule type="expression" dxfId="236" priority="416">
      <formula>IF(VLOOKUP($F78,PROFA,2,0)=9,1,0)</formula>
    </cfRule>
  </conditionalFormatting>
  <conditionalFormatting sqref="F84">
    <cfRule type="expression" dxfId="235" priority="399">
      <formula>IF(VLOOKUP($F84,PROFA,2,0)=1,1,0)</formula>
    </cfRule>
    <cfRule type="expression" dxfId="234" priority="400">
      <formula>IF(VLOOKUP($F84,PROFA,2,0)=2,1,0)</formula>
    </cfRule>
    <cfRule type="expression" dxfId="233" priority="401">
      <formula>IF(VLOOKUP($F84,PROFA,2,0)=3,1,0)</formula>
    </cfRule>
    <cfRule type="expression" dxfId="232" priority="402">
      <formula>IF(VLOOKUP($F84,PROFA,2,0)=4,1,0)</formula>
    </cfRule>
    <cfRule type="expression" dxfId="231" priority="403">
      <formula>IF(VLOOKUP($F84,PROFA,2,0)=5,1,0)</formula>
    </cfRule>
    <cfRule type="expression" dxfId="230" priority="404">
      <formula>IF(VLOOKUP($F84,PROFA,2,0)=6,1,0)</formula>
    </cfRule>
    <cfRule type="expression" dxfId="229" priority="405">
      <formula>IF(VLOOKUP($F84,PROFA,2,0)=7,1,0)</formula>
    </cfRule>
    <cfRule type="expression" dxfId="228" priority="406">
      <formula>IF(VLOOKUP($F84,PROFA,2,0)=8,1,0)</formula>
    </cfRule>
    <cfRule type="expression" dxfId="227" priority="407">
      <formula>IF(VLOOKUP($F84,PROFA,2,0)=9,1,0)</formula>
    </cfRule>
  </conditionalFormatting>
  <conditionalFormatting sqref="F94">
    <cfRule type="expression" dxfId="226" priority="390">
      <formula>IF(VLOOKUP($F94,PROFA,2,0)=1,1,0)</formula>
    </cfRule>
    <cfRule type="expression" dxfId="225" priority="391">
      <formula>IF(VLOOKUP($F94,PROFA,2,0)=2,1,0)</formula>
    </cfRule>
    <cfRule type="expression" dxfId="224" priority="392">
      <formula>IF(VLOOKUP($F94,PROFA,2,0)=3,1,0)</formula>
    </cfRule>
    <cfRule type="expression" dxfId="223" priority="393">
      <formula>IF(VLOOKUP($F94,PROFA,2,0)=4,1,0)</formula>
    </cfRule>
    <cfRule type="expression" dxfId="222" priority="394">
      <formula>IF(VLOOKUP($F94,PROFA,2,0)=5,1,0)</formula>
    </cfRule>
    <cfRule type="expression" dxfId="221" priority="395">
      <formula>IF(VLOOKUP($F94,PROFA,2,0)=6,1,0)</formula>
    </cfRule>
    <cfRule type="expression" dxfId="220" priority="396">
      <formula>IF(VLOOKUP($F94,PROFA,2,0)=7,1,0)</formula>
    </cfRule>
    <cfRule type="expression" dxfId="219" priority="397">
      <formula>IF(VLOOKUP($F94,PROFA,2,0)=8,1,0)</formula>
    </cfRule>
    <cfRule type="expression" dxfId="218" priority="398">
      <formula>IF(VLOOKUP($F94,PROFA,2,0)=9,1,0)</formula>
    </cfRule>
  </conditionalFormatting>
  <conditionalFormatting sqref="F102">
    <cfRule type="expression" dxfId="217" priority="381">
      <formula>IF(VLOOKUP($F102,PROFA,2,0)=1,1,0)</formula>
    </cfRule>
    <cfRule type="expression" dxfId="216" priority="382">
      <formula>IF(VLOOKUP($F102,PROFA,2,0)=2,1,0)</formula>
    </cfRule>
    <cfRule type="expression" dxfId="215" priority="383">
      <formula>IF(VLOOKUP($F102,PROFA,2,0)=3,1,0)</formula>
    </cfRule>
    <cfRule type="expression" dxfId="214" priority="384">
      <formula>IF(VLOOKUP($F102,PROFA,2,0)=4,1,0)</formula>
    </cfRule>
    <cfRule type="expression" dxfId="213" priority="385">
      <formula>IF(VLOOKUP($F102,PROFA,2,0)=5,1,0)</formula>
    </cfRule>
    <cfRule type="expression" dxfId="212" priority="386">
      <formula>IF(VLOOKUP($F102,PROFA,2,0)=6,1,0)</formula>
    </cfRule>
    <cfRule type="expression" dxfId="211" priority="387">
      <formula>IF(VLOOKUP($F102,PROFA,2,0)=7,1,0)</formula>
    </cfRule>
    <cfRule type="expression" dxfId="210" priority="388">
      <formula>IF(VLOOKUP($F102,PROFA,2,0)=8,1,0)</formula>
    </cfRule>
    <cfRule type="expression" dxfId="209" priority="389">
      <formula>IF(VLOOKUP($F102,PROFA,2,0)=9,1,0)</formula>
    </cfRule>
  </conditionalFormatting>
  <conditionalFormatting sqref="F103">
    <cfRule type="expression" dxfId="208" priority="372">
      <formula>IF(VLOOKUP($F103,PROFA,2,0)=1,1,0)</formula>
    </cfRule>
    <cfRule type="expression" dxfId="207" priority="373">
      <formula>IF(VLOOKUP($F103,PROFA,2,0)=2,1,0)</formula>
    </cfRule>
    <cfRule type="expression" dxfId="206" priority="374">
      <formula>IF(VLOOKUP($F103,PROFA,2,0)=3,1,0)</formula>
    </cfRule>
    <cfRule type="expression" dxfId="205" priority="375">
      <formula>IF(VLOOKUP($F103,PROFA,2,0)=4,1,0)</formula>
    </cfRule>
    <cfRule type="expression" dxfId="204" priority="376">
      <formula>IF(VLOOKUP($F103,PROFA,2,0)=5,1,0)</formula>
    </cfRule>
    <cfRule type="expression" dxfId="203" priority="377">
      <formula>IF(VLOOKUP($F103,PROFA,2,0)=6,1,0)</formula>
    </cfRule>
    <cfRule type="expression" dxfId="202" priority="378">
      <formula>IF(VLOOKUP($F103,PROFA,2,0)=7,1,0)</formula>
    </cfRule>
    <cfRule type="expression" dxfId="201" priority="379">
      <formula>IF(VLOOKUP($F103,PROFA,2,0)=8,1,0)</formula>
    </cfRule>
    <cfRule type="expression" dxfId="200" priority="380">
      <formula>IF(VLOOKUP($F103,PROFA,2,0)=9,1,0)</formula>
    </cfRule>
  </conditionalFormatting>
  <conditionalFormatting sqref="F118">
    <cfRule type="expression" dxfId="199" priority="363">
      <formula>IF(VLOOKUP($F118,PROFA,2,0)=1,1,0)</formula>
    </cfRule>
    <cfRule type="expression" dxfId="198" priority="364">
      <formula>IF(VLOOKUP($F118,PROFA,2,0)=2,1,0)</formula>
    </cfRule>
    <cfRule type="expression" dxfId="197" priority="365">
      <formula>IF(VLOOKUP($F118,PROFA,2,0)=3,1,0)</formula>
    </cfRule>
    <cfRule type="expression" dxfId="196" priority="366">
      <formula>IF(VLOOKUP($F118,PROFA,2,0)=4,1,0)</formula>
    </cfRule>
    <cfRule type="expression" dxfId="195" priority="367">
      <formula>IF(VLOOKUP($F118,PROFA,2,0)=5,1,0)</formula>
    </cfRule>
    <cfRule type="expression" dxfId="194" priority="368">
      <formula>IF(VLOOKUP($F118,PROFA,2,0)=6,1,0)</formula>
    </cfRule>
    <cfRule type="expression" dxfId="193" priority="369">
      <formula>IF(VLOOKUP($F118,PROFA,2,0)=7,1,0)</formula>
    </cfRule>
    <cfRule type="expression" dxfId="192" priority="370">
      <formula>IF(VLOOKUP($F118,PROFA,2,0)=8,1,0)</formula>
    </cfRule>
    <cfRule type="expression" dxfId="191" priority="371">
      <formula>IF(VLOOKUP($F118,PROFA,2,0)=9,1,0)</formula>
    </cfRule>
  </conditionalFormatting>
  <conditionalFormatting sqref="F119">
    <cfRule type="expression" dxfId="190" priority="354">
      <formula>IF(VLOOKUP($F119,PROFA,2,0)=1,1,0)</formula>
    </cfRule>
    <cfRule type="expression" dxfId="189" priority="355">
      <formula>IF(VLOOKUP($F119,PROFA,2,0)=2,1,0)</formula>
    </cfRule>
    <cfRule type="expression" dxfId="188" priority="356">
      <formula>IF(VLOOKUP($F119,PROFA,2,0)=3,1,0)</formula>
    </cfRule>
    <cfRule type="expression" dxfId="187" priority="357">
      <formula>IF(VLOOKUP($F119,PROFA,2,0)=4,1,0)</formula>
    </cfRule>
    <cfRule type="expression" dxfId="186" priority="358">
      <formula>IF(VLOOKUP($F119,PROFA,2,0)=5,1,0)</formula>
    </cfRule>
    <cfRule type="expression" dxfId="185" priority="359">
      <formula>IF(VLOOKUP($F119,PROFA,2,0)=6,1,0)</formula>
    </cfRule>
    <cfRule type="expression" dxfId="184" priority="360">
      <formula>IF(VLOOKUP($F119,PROFA,2,0)=7,1,0)</formula>
    </cfRule>
    <cfRule type="expression" dxfId="183" priority="361">
      <formula>IF(VLOOKUP($F119,PROFA,2,0)=8,1,0)</formula>
    </cfRule>
    <cfRule type="expression" dxfId="182" priority="362">
      <formula>IF(VLOOKUP($F119,PROFA,2,0)=9,1,0)</formula>
    </cfRule>
  </conditionalFormatting>
  <conditionalFormatting sqref="F120:F124">
    <cfRule type="expression" dxfId="181" priority="345">
      <formula>IF(VLOOKUP($F120,PROFA,2,0)=1,1,0)</formula>
    </cfRule>
    <cfRule type="expression" dxfId="180" priority="346">
      <formula>IF(VLOOKUP($F120,PROFA,2,0)=2,1,0)</formula>
    </cfRule>
    <cfRule type="expression" dxfId="179" priority="347">
      <formula>IF(VLOOKUP($F120,PROFA,2,0)=3,1,0)</formula>
    </cfRule>
    <cfRule type="expression" dxfId="178" priority="348">
      <formula>IF(VLOOKUP($F120,PROFA,2,0)=4,1,0)</formula>
    </cfRule>
    <cfRule type="expression" dxfId="177" priority="349">
      <formula>IF(VLOOKUP($F120,PROFA,2,0)=5,1,0)</formula>
    </cfRule>
    <cfRule type="expression" dxfId="176" priority="350">
      <formula>IF(VLOOKUP($F120,PROFA,2,0)=6,1,0)</formula>
    </cfRule>
    <cfRule type="expression" dxfId="175" priority="351">
      <formula>IF(VLOOKUP($F120,PROFA,2,0)=7,1,0)</formula>
    </cfRule>
    <cfRule type="expression" dxfId="174" priority="352">
      <formula>IF(VLOOKUP($F120,PROFA,2,0)=8,1,0)</formula>
    </cfRule>
    <cfRule type="expression" dxfId="173" priority="353">
      <formula>IF(VLOOKUP($F120,PROFA,2,0)=9,1,0)</formula>
    </cfRule>
  </conditionalFormatting>
  <conditionalFormatting sqref="F144">
    <cfRule type="expression" dxfId="172" priority="318">
      <formula>IF(VLOOKUP($F144,PROFA,2,0)=1,1,0)</formula>
    </cfRule>
    <cfRule type="expression" dxfId="171" priority="319">
      <formula>IF(VLOOKUP($F144,PROFA,2,0)=2,1,0)</formula>
    </cfRule>
    <cfRule type="expression" dxfId="170" priority="320">
      <formula>IF(VLOOKUP($F144,PROFA,2,0)=3,1,0)</formula>
    </cfRule>
    <cfRule type="expression" dxfId="169" priority="321">
      <formula>IF(VLOOKUP($F144,PROFA,2,0)=4,1,0)</formula>
    </cfRule>
    <cfRule type="expression" dxfId="168" priority="322">
      <formula>IF(VLOOKUP($F144,PROFA,2,0)=5,1,0)</formula>
    </cfRule>
    <cfRule type="expression" dxfId="167" priority="323">
      <formula>IF(VLOOKUP($F144,PROFA,2,0)=6,1,0)</formula>
    </cfRule>
    <cfRule type="expression" dxfId="166" priority="324">
      <formula>IF(VLOOKUP($F144,PROFA,2,0)=7,1,0)</formula>
    </cfRule>
    <cfRule type="expression" dxfId="165" priority="325">
      <formula>IF(VLOOKUP($F144,PROFA,2,0)=8,1,0)</formula>
    </cfRule>
    <cfRule type="expression" dxfId="164" priority="326">
      <formula>IF(VLOOKUP($F144,PROFA,2,0)=9,1,0)</formula>
    </cfRule>
  </conditionalFormatting>
  <conditionalFormatting sqref="F145">
    <cfRule type="expression" dxfId="163" priority="309">
      <formula>IF(VLOOKUP($F145,PROFA,2,0)=1,1,0)</formula>
    </cfRule>
    <cfRule type="expression" dxfId="162" priority="310">
      <formula>IF(VLOOKUP($F145,PROFA,2,0)=2,1,0)</formula>
    </cfRule>
    <cfRule type="expression" dxfId="161" priority="311">
      <formula>IF(VLOOKUP($F145,PROFA,2,0)=3,1,0)</formula>
    </cfRule>
    <cfRule type="expression" dxfId="160" priority="312">
      <formula>IF(VLOOKUP($F145,PROFA,2,0)=4,1,0)</formula>
    </cfRule>
    <cfRule type="expression" dxfId="159" priority="313">
      <formula>IF(VLOOKUP($F145,PROFA,2,0)=5,1,0)</formula>
    </cfRule>
    <cfRule type="expression" dxfId="158" priority="314">
      <formula>IF(VLOOKUP($F145,PROFA,2,0)=6,1,0)</formula>
    </cfRule>
    <cfRule type="expression" dxfId="157" priority="315">
      <formula>IF(VLOOKUP($F145,PROFA,2,0)=7,1,0)</formula>
    </cfRule>
    <cfRule type="expression" dxfId="156" priority="316">
      <formula>IF(VLOOKUP($F145,PROFA,2,0)=8,1,0)</formula>
    </cfRule>
    <cfRule type="expression" dxfId="155" priority="317">
      <formula>IF(VLOOKUP($F145,PROFA,2,0)=9,1,0)</formula>
    </cfRule>
  </conditionalFormatting>
  <conditionalFormatting sqref="F152">
    <cfRule type="expression" dxfId="154" priority="300">
      <formula>IF(VLOOKUP($F152,PROFA,2,0)=1,1,0)</formula>
    </cfRule>
    <cfRule type="expression" dxfId="153" priority="301">
      <formula>IF(VLOOKUP($F152,PROFA,2,0)=2,1,0)</formula>
    </cfRule>
    <cfRule type="expression" dxfId="152" priority="302">
      <formula>IF(VLOOKUP($F152,PROFA,2,0)=3,1,0)</formula>
    </cfRule>
    <cfRule type="expression" dxfId="151" priority="303">
      <formula>IF(VLOOKUP($F152,PROFA,2,0)=4,1,0)</formula>
    </cfRule>
    <cfRule type="expression" dxfId="150" priority="304">
      <formula>IF(VLOOKUP($F152,PROFA,2,0)=5,1,0)</formula>
    </cfRule>
    <cfRule type="expression" dxfId="149" priority="305">
      <formula>IF(VLOOKUP($F152,PROFA,2,0)=6,1,0)</formula>
    </cfRule>
    <cfRule type="expression" dxfId="148" priority="306">
      <formula>IF(VLOOKUP($F152,PROFA,2,0)=7,1,0)</formula>
    </cfRule>
    <cfRule type="expression" dxfId="147" priority="307">
      <formula>IF(VLOOKUP($F152,PROFA,2,0)=8,1,0)</formula>
    </cfRule>
    <cfRule type="expression" dxfId="146" priority="308">
      <formula>IF(VLOOKUP($F152,PROFA,2,0)=9,1,0)</formula>
    </cfRule>
  </conditionalFormatting>
  <conditionalFormatting sqref="F171">
    <cfRule type="expression" dxfId="145" priority="291">
      <formula>IF(VLOOKUP($F171,PROFA,2,0)=1,1,0)</formula>
    </cfRule>
    <cfRule type="expression" dxfId="144" priority="292">
      <formula>IF(VLOOKUP($F171,PROFA,2,0)=2,1,0)</formula>
    </cfRule>
    <cfRule type="expression" dxfId="143" priority="293">
      <formula>IF(VLOOKUP($F171,PROFA,2,0)=3,1,0)</formula>
    </cfRule>
    <cfRule type="expression" dxfId="142" priority="294">
      <formula>IF(VLOOKUP($F171,PROFA,2,0)=4,1,0)</formula>
    </cfRule>
    <cfRule type="expression" dxfId="141" priority="295">
      <formula>IF(VLOOKUP($F171,PROFA,2,0)=5,1,0)</formula>
    </cfRule>
    <cfRule type="expression" dxfId="140" priority="296">
      <formula>IF(VLOOKUP($F171,PROFA,2,0)=6,1,0)</formula>
    </cfRule>
    <cfRule type="expression" dxfId="139" priority="297">
      <formula>IF(VLOOKUP($F171,PROFA,2,0)=7,1,0)</formula>
    </cfRule>
    <cfRule type="expression" dxfId="138" priority="298">
      <formula>IF(VLOOKUP($F171,PROFA,2,0)=8,1,0)</formula>
    </cfRule>
    <cfRule type="expression" dxfId="137" priority="299">
      <formula>IF(VLOOKUP($F171,PROFA,2,0)=9,1,0)</formula>
    </cfRule>
  </conditionalFormatting>
  <conditionalFormatting sqref="F172">
    <cfRule type="expression" dxfId="136" priority="282">
      <formula>IF(VLOOKUP($F172,PROFA,2,0)=1,1,0)</formula>
    </cfRule>
    <cfRule type="expression" dxfId="135" priority="283">
      <formula>IF(VLOOKUP($F172,PROFA,2,0)=2,1,0)</formula>
    </cfRule>
    <cfRule type="expression" dxfId="134" priority="284">
      <formula>IF(VLOOKUP($F172,PROFA,2,0)=3,1,0)</formula>
    </cfRule>
    <cfRule type="expression" dxfId="133" priority="285">
      <formula>IF(VLOOKUP($F172,PROFA,2,0)=4,1,0)</formula>
    </cfRule>
    <cfRule type="expression" dxfId="132" priority="286">
      <formula>IF(VLOOKUP($F172,PROFA,2,0)=5,1,0)</formula>
    </cfRule>
    <cfRule type="expression" dxfId="131" priority="287">
      <formula>IF(VLOOKUP($F172,PROFA,2,0)=6,1,0)</formula>
    </cfRule>
    <cfRule type="expression" dxfId="130" priority="288">
      <formula>IF(VLOOKUP($F172,PROFA,2,0)=7,1,0)</formula>
    </cfRule>
    <cfRule type="expression" dxfId="129" priority="289">
      <formula>IF(VLOOKUP($F172,PROFA,2,0)=8,1,0)</formula>
    </cfRule>
    <cfRule type="expression" dxfId="128" priority="290">
      <formula>IF(VLOOKUP($F172,PROFA,2,0)=9,1,0)</formula>
    </cfRule>
  </conditionalFormatting>
  <conditionalFormatting sqref="F181">
    <cfRule type="expression" dxfId="127" priority="264">
      <formula>IF(VLOOKUP($F181,PROFA,2,0)=1,1,0)</formula>
    </cfRule>
    <cfRule type="expression" dxfId="126" priority="265">
      <formula>IF(VLOOKUP($F181,PROFA,2,0)=2,1,0)</formula>
    </cfRule>
    <cfRule type="expression" dxfId="125" priority="266">
      <formula>IF(VLOOKUP($F181,PROFA,2,0)=3,1,0)</formula>
    </cfRule>
    <cfRule type="expression" dxfId="124" priority="267">
      <formula>IF(VLOOKUP($F181,PROFA,2,0)=4,1,0)</formula>
    </cfRule>
    <cfRule type="expression" dxfId="123" priority="268">
      <formula>IF(VLOOKUP($F181,PROFA,2,0)=5,1,0)</formula>
    </cfRule>
    <cfRule type="expression" dxfId="122" priority="269">
      <formula>IF(VLOOKUP($F181,PROFA,2,0)=6,1,0)</formula>
    </cfRule>
    <cfRule type="expression" dxfId="121" priority="270">
      <formula>IF(VLOOKUP($F181,PROFA,2,0)=7,1,0)</formula>
    </cfRule>
    <cfRule type="expression" dxfId="120" priority="271">
      <formula>IF(VLOOKUP($F181,PROFA,2,0)=8,1,0)</formula>
    </cfRule>
    <cfRule type="expression" dxfId="119" priority="272">
      <formula>IF(VLOOKUP($F181,PROFA,2,0)=9,1,0)</formula>
    </cfRule>
  </conditionalFormatting>
  <conditionalFormatting sqref="F182">
    <cfRule type="expression" dxfId="118" priority="255">
      <formula>IF(VLOOKUP($F182,PROFA,2,0)=1,1,0)</formula>
    </cfRule>
    <cfRule type="expression" dxfId="117" priority="256">
      <formula>IF(VLOOKUP($F182,PROFA,2,0)=2,1,0)</formula>
    </cfRule>
    <cfRule type="expression" dxfId="116" priority="257">
      <formula>IF(VLOOKUP($F182,PROFA,2,0)=3,1,0)</formula>
    </cfRule>
    <cfRule type="expression" dxfId="115" priority="258">
      <formula>IF(VLOOKUP($F182,PROFA,2,0)=4,1,0)</formula>
    </cfRule>
    <cfRule type="expression" dxfId="114" priority="259">
      <formula>IF(VLOOKUP($F182,PROFA,2,0)=5,1,0)</formula>
    </cfRule>
    <cfRule type="expression" dxfId="113" priority="260">
      <formula>IF(VLOOKUP($F182,PROFA,2,0)=6,1,0)</formula>
    </cfRule>
    <cfRule type="expression" dxfId="112" priority="261">
      <formula>IF(VLOOKUP($F182,PROFA,2,0)=7,1,0)</formula>
    </cfRule>
    <cfRule type="expression" dxfId="111" priority="262">
      <formula>IF(VLOOKUP($F182,PROFA,2,0)=8,1,0)</formula>
    </cfRule>
    <cfRule type="expression" dxfId="110" priority="263">
      <formula>IF(VLOOKUP($F182,PROFA,2,0)=9,1,0)</formula>
    </cfRule>
  </conditionalFormatting>
  <conditionalFormatting sqref="F207">
    <cfRule type="expression" dxfId="109" priority="102">
      <formula>IF(VLOOKUP($F207,PROFA,2,0)=1,1,0)</formula>
    </cfRule>
    <cfRule type="expression" dxfId="108" priority="103">
      <formula>IF(VLOOKUP($F207,PROFA,2,0)=2,1,0)</formula>
    </cfRule>
    <cfRule type="expression" dxfId="107" priority="104">
      <formula>IF(VLOOKUP($F207,PROFA,2,0)=3,1,0)</formula>
    </cfRule>
    <cfRule type="expression" dxfId="106" priority="105">
      <formula>IF(VLOOKUP($F207,PROFA,2,0)=4,1,0)</formula>
    </cfRule>
    <cfRule type="expression" dxfId="105" priority="106">
      <formula>IF(VLOOKUP($F207,PROFA,2,0)=5,1,0)</formula>
    </cfRule>
    <cfRule type="expression" dxfId="104" priority="107">
      <formula>IF(VLOOKUP($F207,PROFA,2,0)=6,1,0)</formula>
    </cfRule>
    <cfRule type="expression" dxfId="103" priority="108">
      <formula>IF(VLOOKUP($F207,PROFA,2,0)=7,1,0)</formula>
    </cfRule>
    <cfRule type="expression" dxfId="102" priority="109">
      <formula>IF(VLOOKUP($F207,PROFA,2,0)=8,1,0)</formula>
    </cfRule>
    <cfRule type="expression" dxfId="101" priority="110">
      <formula>IF(VLOOKUP($F207,PROFA,2,0)=9,1,0)</formula>
    </cfRule>
  </conditionalFormatting>
  <conditionalFormatting sqref="F160">
    <cfRule type="expression" dxfId="100" priority="94">
      <formula>IF(VLOOKUP($F160,PROFA,2,0)=1,1,0)</formula>
    </cfRule>
    <cfRule type="expression" dxfId="99" priority="95">
      <formula>IF(VLOOKUP($F160,PROFA,2,0)=2,1,0)</formula>
    </cfRule>
    <cfRule type="expression" dxfId="98" priority="96">
      <formula>IF(VLOOKUP($F160,PROFA,2,0)=3,1,0)</formula>
    </cfRule>
    <cfRule type="expression" dxfId="97" priority="97">
      <formula>IF(VLOOKUP($F160,PROFA,2,0)=4,1,0)</formula>
    </cfRule>
    <cfRule type="expression" dxfId="96" priority="98">
      <formula>IF(VLOOKUP($F160,PROFA,2,0)=5,1,0)</formula>
    </cfRule>
    <cfRule type="expression" dxfId="95" priority="99">
      <formula>IF(VLOOKUP($F160,PROFA,2,0)=6,1,0)</formula>
    </cfRule>
    <cfRule type="expression" dxfId="94" priority="100">
      <formula>IF(VLOOKUP($F160,PROFA,2,0)=7,1,0)</formula>
    </cfRule>
    <cfRule type="expression" dxfId="93" priority="101">
      <formula>IF(VLOOKUP($F160,PROFA,2,0)=8,1,0)</formula>
    </cfRule>
  </conditionalFormatting>
  <conditionalFormatting sqref="F199">
    <cfRule type="expression" dxfId="92" priority="86">
      <formula>IF(VLOOKUP($F199,PROFA,2,0)=1,1,0)</formula>
    </cfRule>
    <cfRule type="expression" dxfId="91" priority="87">
      <formula>IF(VLOOKUP($F199,PROFA,2,0)=2,1,0)</formula>
    </cfRule>
    <cfRule type="expression" dxfId="90" priority="88">
      <formula>IF(VLOOKUP($F199,PROFA,2,0)=3,1,0)</formula>
    </cfRule>
    <cfRule type="expression" dxfId="89" priority="89">
      <formula>IF(VLOOKUP($F199,PROFA,2,0)=4,1,0)</formula>
    </cfRule>
    <cfRule type="expression" dxfId="88" priority="90">
      <formula>IF(VLOOKUP($F199,PROFA,2,0)=5,1,0)</formula>
    </cfRule>
    <cfRule type="expression" dxfId="87" priority="91">
      <formula>IF(VLOOKUP($F199,PROFA,2,0)=6,1,0)</formula>
    </cfRule>
    <cfRule type="expression" dxfId="86" priority="92">
      <formula>IF(VLOOKUP($F199,PROFA,2,0)=7,1,0)</formula>
    </cfRule>
    <cfRule type="expression" dxfId="85" priority="93">
      <formula>IF(VLOOKUP($F199,PROFA,2,0)=8,1,0)</formula>
    </cfRule>
  </conditionalFormatting>
  <conditionalFormatting sqref="J220:U221">
    <cfRule type="expression" dxfId="84" priority="78" stopIfTrue="1">
      <formula>IF(AND(J$16&gt;=$H220,J$15&lt;=$I220,VLOOKUP($F220,PROFA,2,0)=1),1,0)</formula>
    </cfRule>
    <cfRule type="expression" dxfId="83" priority="79" stopIfTrue="1">
      <formula>IF(AND(J$16&gt;=$H220,J$15&lt;=$I220,VLOOKUP($F220,PROFA,2,0)=2),1,0)</formula>
    </cfRule>
    <cfRule type="expression" dxfId="82" priority="80" stopIfTrue="1">
      <formula>IF(AND(J$16&gt;=$H220,J$15&lt;=$I220,VLOOKUP($F220,PROFA,2,0)=3),1,0)</formula>
    </cfRule>
    <cfRule type="expression" dxfId="81" priority="81" stopIfTrue="1">
      <formula>IF(AND(J$16&gt;=$H220,J$15&lt;=$I220,VLOOKUP($F220,PROFA,2,0)=4),1,0)</formula>
    </cfRule>
    <cfRule type="expression" dxfId="80" priority="82" stopIfTrue="1">
      <formula>IF(AND(J$16&gt;=$H220,J$15&lt;=$I220,VLOOKUP($F220,PROFA,2,0)=5),1,0)</formula>
    </cfRule>
    <cfRule type="expression" dxfId="79" priority="83" stopIfTrue="1">
      <formula>IF(AND(J$16&gt;=$H220,J$15&lt;=$I220,VLOOKUP($F220,PROFA,2,0)=6),1,0)</formula>
    </cfRule>
    <cfRule type="expression" dxfId="78" priority="84" stopIfTrue="1">
      <formula>IF(AND(J$16&gt;=$H220,J$15&lt;=$I220,VLOOKUP($F220,PROFA,2,0)=7),1,0)</formula>
    </cfRule>
    <cfRule type="expression" dxfId="77" priority="85" stopIfTrue="1">
      <formula>IF(AND(J$16&gt;=$H220,J$15&lt;=$I220,VLOOKUP($F220,PROFA,2,0)=8),1,0)</formula>
    </cfRule>
  </conditionalFormatting>
  <conditionalFormatting sqref="F220:F221">
    <cfRule type="expression" dxfId="76" priority="69">
      <formula>IF(VLOOKUP($F220,PROFA,2,0)=1,1,0)</formula>
    </cfRule>
    <cfRule type="expression" dxfId="75" priority="70">
      <formula>IF(VLOOKUP($F220,PROFA,2,0)=2,1,0)</formula>
    </cfRule>
    <cfRule type="expression" dxfId="74" priority="71">
      <formula>IF(VLOOKUP($F220,PROFA,2,0)=3,1,0)</formula>
    </cfRule>
    <cfRule type="expression" dxfId="73" priority="72">
      <formula>IF(VLOOKUP($F220,PROFA,2,0)=4,1,0)</formula>
    </cfRule>
    <cfRule type="expression" dxfId="72" priority="73">
      <formula>IF(VLOOKUP($F220,PROFA,2,0)=5,1,0)</formula>
    </cfRule>
    <cfRule type="expression" dxfId="71" priority="74">
      <formula>IF(VLOOKUP($F220,PROFA,2,0)=6,1,0)</formula>
    </cfRule>
    <cfRule type="expression" dxfId="70" priority="75">
      <formula>IF(VLOOKUP($F220,PROFA,2,0)=7,1,0)</formula>
    </cfRule>
    <cfRule type="expression" dxfId="69" priority="76">
      <formula>IF(VLOOKUP($F220,PROFA,2,0)=8,1,0)</formula>
    </cfRule>
    <cfRule type="expression" dxfId="68" priority="77">
      <formula>IF(VLOOKUP($F220,PROFA,2,0)=9,1,0)</formula>
    </cfRule>
  </conditionalFormatting>
  <conditionalFormatting sqref="J223:U223">
    <cfRule type="expression" dxfId="67" priority="61" stopIfTrue="1">
      <formula>IF(AND(J$16&gt;=$H223,J$15&lt;=$I223,VLOOKUP($F223,PROFA,2,0)=1),1,0)</formula>
    </cfRule>
    <cfRule type="expression" dxfId="66" priority="62" stopIfTrue="1">
      <formula>IF(AND(J$16&gt;=$H223,J$15&lt;=$I223,VLOOKUP($F223,PROFA,2,0)=2),1,0)</formula>
    </cfRule>
    <cfRule type="expression" dxfId="65" priority="63" stopIfTrue="1">
      <formula>IF(AND(J$16&gt;=$H223,J$15&lt;=$I223,VLOOKUP($F223,PROFA,2,0)=3),1,0)</formula>
    </cfRule>
    <cfRule type="expression" dxfId="64" priority="64" stopIfTrue="1">
      <formula>IF(AND(J$16&gt;=$H223,J$15&lt;=$I223,VLOOKUP($F223,PROFA,2,0)=4),1,0)</formula>
    </cfRule>
    <cfRule type="expression" dxfId="63" priority="65" stopIfTrue="1">
      <formula>IF(AND(J$16&gt;=$H223,J$15&lt;=$I223,VLOOKUP($F223,PROFA,2,0)=5),1,0)</formula>
    </cfRule>
    <cfRule type="expression" dxfId="62" priority="66" stopIfTrue="1">
      <formula>IF(AND(J$16&gt;=$H223,J$15&lt;=$I223,VLOOKUP($F223,PROFA,2,0)=6),1,0)</formula>
    </cfRule>
    <cfRule type="expression" dxfId="61" priority="67" stopIfTrue="1">
      <formula>IF(AND(J$16&gt;=$H223,J$15&lt;=$I223,VLOOKUP($F223,PROFA,2,0)=7),1,0)</formula>
    </cfRule>
    <cfRule type="expression" dxfId="60" priority="68" stopIfTrue="1">
      <formula>IF(AND(J$16&gt;=$H223,J$15&lt;=$I223,VLOOKUP($F223,PROFA,2,0)=8),1,0)</formula>
    </cfRule>
  </conditionalFormatting>
  <conditionalFormatting sqref="F223">
    <cfRule type="expression" dxfId="59" priority="52">
      <formula>IF(VLOOKUP($F223,PROFA,2,0)=1,1,0)</formula>
    </cfRule>
    <cfRule type="expression" dxfId="58" priority="53">
      <formula>IF(VLOOKUP($F223,PROFA,2,0)=2,1,0)</formula>
    </cfRule>
    <cfRule type="expression" dxfId="57" priority="54">
      <formula>IF(VLOOKUP($F223,PROFA,2,0)=3,1,0)</formula>
    </cfRule>
    <cfRule type="expression" dxfId="56" priority="55">
      <formula>IF(VLOOKUP($F223,PROFA,2,0)=4,1,0)</formula>
    </cfRule>
    <cfRule type="expression" dxfId="55" priority="56">
      <formula>IF(VLOOKUP($F223,PROFA,2,0)=5,1,0)</formula>
    </cfRule>
    <cfRule type="expression" dxfId="54" priority="57">
      <formula>IF(VLOOKUP($F223,PROFA,2,0)=6,1,0)</formula>
    </cfRule>
    <cfRule type="expression" dxfId="53" priority="58">
      <formula>IF(VLOOKUP($F223,PROFA,2,0)=7,1,0)</formula>
    </cfRule>
    <cfRule type="expression" dxfId="52" priority="59">
      <formula>IF(VLOOKUP($F223,PROFA,2,0)=8,1,0)</formula>
    </cfRule>
    <cfRule type="expression" dxfId="51" priority="60">
      <formula>IF(VLOOKUP($F223,PROFA,2,0)=9,1,0)</formula>
    </cfRule>
  </conditionalFormatting>
  <conditionalFormatting sqref="J224:U224">
    <cfRule type="expression" dxfId="50" priority="44" stopIfTrue="1">
      <formula>IF(AND(J$16&gt;=$H224,J$15&lt;=$I224,VLOOKUP($F224,PROFA,2,0)=1),1,0)</formula>
    </cfRule>
    <cfRule type="expression" dxfId="49" priority="45" stopIfTrue="1">
      <formula>IF(AND(J$16&gt;=$H224,J$15&lt;=$I224,VLOOKUP($F224,PROFA,2,0)=2),1,0)</formula>
    </cfRule>
    <cfRule type="expression" dxfId="48" priority="46" stopIfTrue="1">
      <formula>IF(AND(J$16&gt;=$H224,J$15&lt;=$I224,VLOOKUP($F224,PROFA,2,0)=3),1,0)</formula>
    </cfRule>
    <cfRule type="expression" dxfId="47" priority="47" stopIfTrue="1">
      <formula>IF(AND(J$16&gt;=$H224,J$15&lt;=$I224,VLOOKUP($F224,PROFA,2,0)=4),1,0)</formula>
    </cfRule>
    <cfRule type="expression" dxfId="46" priority="48" stopIfTrue="1">
      <formula>IF(AND(J$16&gt;=$H224,J$15&lt;=$I224,VLOOKUP($F224,PROFA,2,0)=5),1,0)</formula>
    </cfRule>
    <cfRule type="expression" dxfId="45" priority="49" stopIfTrue="1">
      <formula>IF(AND(J$16&gt;=$H224,J$15&lt;=$I224,VLOOKUP($F224,PROFA,2,0)=6),1,0)</formula>
    </cfRule>
    <cfRule type="expression" dxfId="44" priority="50" stopIfTrue="1">
      <formula>IF(AND(J$16&gt;=$H224,J$15&lt;=$I224,VLOOKUP($F224,PROFA,2,0)=7),1,0)</formula>
    </cfRule>
    <cfRule type="expression" dxfId="43" priority="51" stopIfTrue="1">
      <formula>IF(AND(J$16&gt;=$H224,J$15&lt;=$I224,VLOOKUP($F224,PROFA,2,0)=8),1,0)</formula>
    </cfRule>
  </conditionalFormatting>
  <conditionalFormatting sqref="F224">
    <cfRule type="expression" dxfId="42" priority="35">
      <formula>IF(VLOOKUP($F224,PROFA,2,0)=1,1,0)</formula>
    </cfRule>
    <cfRule type="expression" dxfId="41" priority="36">
      <formula>IF(VLOOKUP($F224,PROFA,2,0)=2,1,0)</formula>
    </cfRule>
    <cfRule type="expression" dxfId="40" priority="37">
      <formula>IF(VLOOKUP($F224,PROFA,2,0)=3,1,0)</formula>
    </cfRule>
    <cfRule type="expression" dxfId="39" priority="38">
      <formula>IF(VLOOKUP($F224,PROFA,2,0)=4,1,0)</formula>
    </cfRule>
    <cfRule type="expression" dxfId="38" priority="39">
      <formula>IF(VLOOKUP($F224,PROFA,2,0)=5,1,0)</formula>
    </cfRule>
    <cfRule type="expression" dxfId="37" priority="40">
      <formula>IF(VLOOKUP($F224,PROFA,2,0)=6,1,0)</formula>
    </cfRule>
    <cfRule type="expression" dxfId="36" priority="41">
      <formula>IF(VLOOKUP($F224,PROFA,2,0)=7,1,0)</formula>
    </cfRule>
    <cfRule type="expression" dxfId="35" priority="42">
      <formula>IF(VLOOKUP($F224,PROFA,2,0)=8,1,0)</formula>
    </cfRule>
    <cfRule type="expression" dxfId="34" priority="43">
      <formula>IF(VLOOKUP($F224,PROFA,2,0)=9,1,0)</formula>
    </cfRule>
  </conditionalFormatting>
  <conditionalFormatting sqref="F226">
    <cfRule type="expression" dxfId="33" priority="26">
      <formula>IF(VLOOKUP($F226,PROFA,2,0)=1,1,0)</formula>
    </cfRule>
    <cfRule type="expression" dxfId="32" priority="27">
      <formula>IF(VLOOKUP($F226,PROFA,2,0)=2,1,0)</formula>
    </cfRule>
    <cfRule type="expression" dxfId="31" priority="28">
      <formula>IF(VLOOKUP($F226,PROFA,2,0)=3,1,0)</formula>
    </cfRule>
    <cfRule type="expression" dxfId="30" priority="29">
      <formula>IF(VLOOKUP($F226,PROFA,2,0)=4,1,0)</formula>
    </cfRule>
    <cfRule type="expression" dxfId="29" priority="30">
      <formula>IF(VLOOKUP($F226,PROFA,2,0)=5,1,0)</formula>
    </cfRule>
    <cfRule type="expression" dxfId="28" priority="31">
      <formula>IF(VLOOKUP($F226,PROFA,2,0)=6,1,0)</formula>
    </cfRule>
    <cfRule type="expression" dxfId="27" priority="32">
      <formula>IF(VLOOKUP($F226,PROFA,2,0)=7,1,0)</formula>
    </cfRule>
    <cfRule type="expression" dxfId="26" priority="33">
      <formula>IF(VLOOKUP($F226,PROFA,2,0)=8,1,0)</formula>
    </cfRule>
    <cfRule type="expression" dxfId="25" priority="34">
      <formula>IF(VLOOKUP($F226,PROFA,2,0)=9,1,0)</formula>
    </cfRule>
  </conditionalFormatting>
  <conditionalFormatting sqref="J225:U225">
    <cfRule type="expression" dxfId="24" priority="18" stopIfTrue="1">
      <formula>IF(AND(J$16&gt;=$H225,J$15&lt;=$I225,VLOOKUP($F225,PROFA,2,0)=1),1,0)</formula>
    </cfRule>
    <cfRule type="expression" dxfId="23" priority="19" stopIfTrue="1">
      <formula>IF(AND(J$16&gt;=$H225,J$15&lt;=$I225,VLOOKUP($F225,PROFA,2,0)=2),1,0)</formula>
    </cfRule>
    <cfRule type="expression" dxfId="22" priority="20" stopIfTrue="1">
      <formula>IF(AND(J$16&gt;=$H225,J$15&lt;=$I225,VLOOKUP($F225,PROFA,2,0)=3),1,0)</formula>
    </cfRule>
    <cfRule type="expression" dxfId="21" priority="21" stopIfTrue="1">
      <formula>IF(AND(J$16&gt;=$H225,J$15&lt;=$I225,VLOOKUP($F225,PROFA,2,0)=4),1,0)</formula>
    </cfRule>
    <cfRule type="expression" dxfId="20" priority="22" stopIfTrue="1">
      <formula>IF(AND(J$16&gt;=$H225,J$15&lt;=$I225,VLOOKUP($F225,PROFA,2,0)=5),1,0)</formula>
    </cfRule>
    <cfRule type="expression" dxfId="19" priority="23" stopIfTrue="1">
      <formula>IF(AND(J$16&gt;=$H225,J$15&lt;=$I225,VLOOKUP($F225,PROFA,2,0)=6),1,0)</formula>
    </cfRule>
    <cfRule type="expression" dxfId="18" priority="24" stopIfTrue="1">
      <formula>IF(AND(J$16&gt;=$H225,J$15&lt;=$I225,VLOOKUP($F225,PROFA,2,0)=7),1,0)</formula>
    </cfRule>
    <cfRule type="expression" dxfId="17" priority="25" stopIfTrue="1">
      <formula>IF(AND(J$16&gt;=$H225,J$15&lt;=$I225,VLOOKUP($F225,PROFA,2,0)=8),1,0)</formula>
    </cfRule>
  </conditionalFormatting>
  <conditionalFormatting sqref="F225">
    <cfRule type="expression" dxfId="16" priority="9">
      <formula>IF(VLOOKUP($F225,PROFA,2,0)=1,1,0)</formula>
    </cfRule>
    <cfRule type="expression" dxfId="15" priority="10">
      <formula>IF(VLOOKUP($F225,PROFA,2,0)=2,1,0)</formula>
    </cfRule>
    <cfRule type="expression" dxfId="14" priority="11">
      <formula>IF(VLOOKUP($F225,PROFA,2,0)=3,1,0)</formula>
    </cfRule>
    <cfRule type="expression" dxfId="13" priority="12">
      <formula>IF(VLOOKUP($F225,PROFA,2,0)=4,1,0)</formula>
    </cfRule>
    <cfRule type="expression" dxfId="12" priority="13">
      <formula>IF(VLOOKUP($F225,PROFA,2,0)=5,1,0)</formula>
    </cfRule>
    <cfRule type="expression" dxfId="11" priority="14">
      <formula>IF(VLOOKUP($F225,PROFA,2,0)=6,1,0)</formula>
    </cfRule>
    <cfRule type="expression" dxfId="10" priority="15">
      <formula>IF(VLOOKUP($F225,PROFA,2,0)=7,1,0)</formula>
    </cfRule>
    <cfRule type="expression" dxfId="9" priority="16">
      <formula>IF(VLOOKUP($F225,PROFA,2,0)=8,1,0)</formula>
    </cfRule>
    <cfRule type="expression" dxfId="8" priority="17">
      <formula>IF(VLOOKUP($F225,PROFA,2,0)=9,1,0)</formula>
    </cfRule>
  </conditionalFormatting>
  <conditionalFormatting sqref="F125">
    <cfRule type="expression" dxfId="7" priority="1">
      <formula>IF(VLOOKUP($F125,PROFA,2,0)=1,1,0)</formula>
    </cfRule>
    <cfRule type="expression" dxfId="6" priority="2">
      <formula>IF(VLOOKUP($F125,PROFA,2,0)=2,1,0)</formula>
    </cfRule>
    <cfRule type="expression" dxfId="5" priority="3">
      <formula>IF(VLOOKUP($F125,PROFA,2,0)=3,1,0)</formula>
    </cfRule>
    <cfRule type="expression" dxfId="4" priority="4">
      <formula>IF(VLOOKUP($F125,PROFA,2,0)=4,1,0)</formula>
    </cfRule>
    <cfRule type="expression" dxfId="3" priority="5">
      <formula>IF(VLOOKUP($F125,PROFA,2,0)=5,1,0)</formula>
    </cfRule>
    <cfRule type="expression" dxfId="2" priority="6">
      <formula>IF(VLOOKUP($F125,PROFA,2,0)=6,1,0)</formula>
    </cfRule>
    <cfRule type="expression" dxfId="1" priority="7">
      <formula>IF(VLOOKUP($F125,PROFA,2,0)=7,1,0)</formula>
    </cfRule>
    <cfRule type="expression" dxfId="0" priority="8">
      <formula>IF(VLOOKUP($F125,PROFA,2,0)=8,1,0)</formula>
    </cfRule>
  </conditionalFormatting>
  <dataValidations count="9">
    <dataValidation type="list" allowBlank="1" showInputMessage="1" showErrorMessage="1" sqref="AA19:AA226">
      <formula1>INDIRECT(VLOOKUP($A19,ACTA,2,0))</formula1>
    </dataValidation>
    <dataValidation type="date" allowBlank="1" showInputMessage="1" showErrorMessage="1" sqref="X1047359:X1048576 H19:I21 X66:X72 X50:X52 X93:X139 X32:X48 X54:X55 X19:X27 X29 X143:X226 X74:X91">
      <formula1>43101</formula1>
      <formula2>44926</formula2>
    </dataValidation>
    <dataValidation type="list" allowBlank="1" showInputMessage="1" showErrorMessage="1" sqref="C55 C40:C41 C19:C38 C44:C52 C57:C226">
      <formula1>PROCESO</formula1>
    </dataValidation>
    <dataValidation type="date" allowBlank="1" showInputMessage="1" showErrorMessage="1" sqref="H164:I170 H211:I211 H181 H206:I207 X73 I150:I161 X53 X49 X56:X65 X28 AF18 X30:X31 H22:I54 H55:H161 I56:I148">
      <formula1>43101</formula1>
      <formula2>46022</formula2>
    </dataValidation>
    <dataValidation type="list" allowBlank="1" showInputMessage="1" showErrorMessage="1" sqref="A19:A226">
      <formula1>ACT</formula1>
    </dataValidation>
    <dataValidation type="list" allowBlank="1" showInputMessage="1" showErrorMessage="1" sqref="D19:D226">
      <formula1>"Misional,Apoyo,Estratégico,Seguimiento y Evaluación,Todos los Procesos"</formula1>
    </dataValidation>
    <dataValidation type="list" allowBlank="1" showInputMessage="1" showErrorMessage="1" sqref="E19:E226">
      <formula1>LIDER</formula1>
    </dataValidation>
    <dataValidation type="list" allowBlank="1" showInputMessage="1" showErrorMessage="1" sqref="F19:F226">
      <formula1>PROF</formula1>
    </dataValidation>
    <dataValidation type="decimal" allowBlank="1" showInputMessage="1" showErrorMessage="1" sqref="AB72:AB73 W19:W226">
      <formula1>0</formula1>
      <formula2>1</formula2>
    </dataValidation>
  </dataValidations>
  <printOptions horizontalCentered="1"/>
  <pageMargins left="1.1811023622047245" right="0.39370078740157483" top="0.39370078740157483" bottom="0.39370078740157483" header="0.19685039370078741" footer="0.19685039370078741"/>
  <pageSetup paperSize="5" scale="75" pageOrder="overThenDown" orientation="landscape" r:id="rId1"/>
  <headerFooter>
    <oddFooter>&amp;R&amp;"Arial,Normal"&amp;6Página &amp;P de &amp;N</oddFooter>
  </headerFooter>
  <colBreaks count="1" manualBreakCount="1">
    <brk id="9" max="184"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topLeftCell="A7" zoomScale="160" zoomScaleNormal="160" workbookViewId="0">
      <selection activeCell="C9" sqref="C9"/>
    </sheetView>
  </sheetViews>
  <sheetFormatPr baseColWidth="10" defaultRowHeight="14.4" x14ac:dyDescent="0.3"/>
  <cols>
    <col min="1" max="7" width="11.44140625" customWidth="1"/>
  </cols>
  <sheetData>
    <row r="1" spans="1:13" x14ac:dyDescent="0.3">
      <c r="A1" t="s">
        <v>385</v>
      </c>
      <c r="E1" t="s">
        <v>386</v>
      </c>
      <c r="J1" t="s">
        <v>471</v>
      </c>
    </row>
    <row r="2" spans="1:13" x14ac:dyDescent="0.3">
      <c r="B2" t="s">
        <v>252</v>
      </c>
      <c r="C2" t="s">
        <v>270</v>
      </c>
      <c r="F2" t="s">
        <v>252</v>
      </c>
      <c r="G2" t="s">
        <v>270</v>
      </c>
      <c r="H2" t="s">
        <v>387</v>
      </c>
      <c r="K2" t="s">
        <v>252</v>
      </c>
      <c r="L2" t="s">
        <v>270</v>
      </c>
      <c r="M2" t="s">
        <v>387</v>
      </c>
    </row>
    <row r="3" spans="1:13" x14ac:dyDescent="0.3">
      <c r="A3" t="s">
        <v>265</v>
      </c>
      <c r="B3" s="183">
        <v>0.15</v>
      </c>
      <c r="C3" s="87">
        <v>0.15</v>
      </c>
      <c r="E3" t="s">
        <v>265</v>
      </c>
      <c r="F3" s="183">
        <v>0.13400000000000001</v>
      </c>
      <c r="G3" s="87">
        <f>+F3</f>
        <v>0.13400000000000001</v>
      </c>
      <c r="H3" s="183">
        <v>0.13400000000000001</v>
      </c>
      <c r="J3" t="s">
        <v>265</v>
      </c>
      <c r="K3" s="183">
        <v>0.13400000000000001</v>
      </c>
      <c r="L3" s="87">
        <f>+K3</f>
        <v>0.13400000000000001</v>
      </c>
      <c r="M3" s="183">
        <v>0.13400000000000001</v>
      </c>
    </row>
    <row r="4" spans="1:13" x14ac:dyDescent="0.3">
      <c r="A4" s="98" t="s">
        <v>266</v>
      </c>
      <c r="B4" s="183">
        <v>0.1</v>
      </c>
      <c r="C4" s="87">
        <f>+C3+B4</f>
        <v>0.25</v>
      </c>
      <c r="E4" s="98" t="s">
        <v>266</v>
      </c>
      <c r="F4" s="183">
        <v>0.13800000000000001</v>
      </c>
      <c r="G4" s="87">
        <f>+G3+F4</f>
        <v>0.27200000000000002</v>
      </c>
      <c r="J4" s="98" t="s">
        <v>266</v>
      </c>
      <c r="K4" s="183">
        <v>7.3999999999999996E-2</v>
      </c>
      <c r="L4" s="87">
        <f>+L3+K4</f>
        <v>0.20800000000000002</v>
      </c>
      <c r="M4" s="183">
        <v>7.3999999999999996E-2</v>
      </c>
    </row>
    <row r="5" spans="1:13" x14ac:dyDescent="0.3">
      <c r="A5" t="s">
        <v>267</v>
      </c>
      <c r="B5" s="183">
        <v>0.04</v>
      </c>
      <c r="C5" s="87">
        <f t="shared" ref="C5:C14" si="0">+C4+B5</f>
        <v>0.28999999999999998</v>
      </c>
      <c r="E5" t="s">
        <v>267</v>
      </c>
      <c r="F5" s="183">
        <v>5.0999999999999997E-2</v>
      </c>
      <c r="G5" s="87">
        <f t="shared" ref="G5:G14" si="1">+G4+F5</f>
        <v>0.32300000000000001</v>
      </c>
      <c r="J5" t="s">
        <v>267</v>
      </c>
      <c r="K5" s="183">
        <v>9.9750000000000005E-2</v>
      </c>
      <c r="L5" s="87">
        <f t="shared" ref="L5:L14" si="2">+L4+K5</f>
        <v>0.30775000000000002</v>
      </c>
      <c r="M5" s="183">
        <v>8.9899999999999994E-2</v>
      </c>
    </row>
    <row r="6" spans="1:13" x14ac:dyDescent="0.3">
      <c r="A6" s="98" t="s">
        <v>268</v>
      </c>
      <c r="B6" s="183">
        <v>0.1</v>
      </c>
      <c r="C6" s="87">
        <f t="shared" si="0"/>
        <v>0.39</v>
      </c>
      <c r="E6" s="98" t="s">
        <v>268</v>
      </c>
      <c r="F6" s="183">
        <v>7.6499999999999999E-2</v>
      </c>
      <c r="G6" s="87">
        <f t="shared" si="1"/>
        <v>0.39950000000000002</v>
      </c>
      <c r="J6" s="98" t="s">
        <v>268</v>
      </c>
      <c r="K6" s="183">
        <v>8.8749999999999996E-2</v>
      </c>
      <c r="L6" s="87">
        <f t="shared" si="2"/>
        <v>0.39650000000000002</v>
      </c>
    </row>
    <row r="7" spans="1:13" x14ac:dyDescent="0.3">
      <c r="A7" t="s">
        <v>269</v>
      </c>
      <c r="B7" s="183">
        <v>0.09</v>
      </c>
      <c r="C7" s="87">
        <f t="shared" si="0"/>
        <v>0.48</v>
      </c>
      <c r="E7" t="s">
        <v>269</v>
      </c>
      <c r="F7" s="183">
        <v>6.0999999999999999E-2</v>
      </c>
      <c r="G7" s="87">
        <f t="shared" si="1"/>
        <v>0.46050000000000002</v>
      </c>
      <c r="J7" t="s">
        <v>269</v>
      </c>
      <c r="K7" s="183">
        <v>6.0999999999999999E-2</v>
      </c>
      <c r="L7" s="87">
        <f t="shared" si="2"/>
        <v>0.45750000000000002</v>
      </c>
    </row>
    <row r="8" spans="1:13" x14ac:dyDescent="0.3">
      <c r="A8" s="98" t="s">
        <v>251</v>
      </c>
      <c r="B8" s="183">
        <v>0.05</v>
      </c>
      <c r="C8" s="87">
        <f t="shared" si="0"/>
        <v>0.53</v>
      </c>
      <c r="E8" s="98" t="s">
        <v>251</v>
      </c>
      <c r="F8" s="183">
        <v>4.9000000000000002E-2</v>
      </c>
      <c r="G8" s="87">
        <f t="shared" si="1"/>
        <v>0.50950000000000006</v>
      </c>
      <c r="J8" s="98" t="s">
        <v>251</v>
      </c>
      <c r="K8" s="183">
        <v>5.2749999999999998E-2</v>
      </c>
      <c r="L8" s="87">
        <f t="shared" si="2"/>
        <v>0.51024999999999998</v>
      </c>
    </row>
    <row r="9" spans="1:13" x14ac:dyDescent="0.3">
      <c r="A9" t="s">
        <v>245</v>
      </c>
      <c r="B9" s="183">
        <v>0.1</v>
      </c>
      <c r="C9" s="87">
        <f t="shared" si="0"/>
        <v>0.63</v>
      </c>
      <c r="E9" t="s">
        <v>245</v>
      </c>
      <c r="F9" s="183">
        <v>0.107</v>
      </c>
      <c r="G9" s="87">
        <f t="shared" si="1"/>
        <v>0.61650000000000005</v>
      </c>
      <c r="J9" t="s">
        <v>245</v>
      </c>
      <c r="K9" s="183">
        <v>0.125</v>
      </c>
      <c r="L9" s="87">
        <f t="shared" si="2"/>
        <v>0.63524999999999998</v>
      </c>
    </row>
    <row r="10" spans="1:13" x14ac:dyDescent="0.3">
      <c r="A10" t="s">
        <v>246</v>
      </c>
      <c r="B10" s="183">
        <v>0.08</v>
      </c>
      <c r="C10" s="87">
        <f t="shared" si="0"/>
        <v>0.71</v>
      </c>
      <c r="E10" t="s">
        <v>246</v>
      </c>
      <c r="F10" s="183">
        <v>0.05</v>
      </c>
      <c r="G10" s="87">
        <f t="shared" si="1"/>
        <v>0.66650000000000009</v>
      </c>
      <c r="J10" t="s">
        <v>246</v>
      </c>
      <c r="K10" s="183">
        <v>5.3499999999999999E-2</v>
      </c>
      <c r="L10" s="87">
        <f t="shared" si="2"/>
        <v>0.68874999999999997</v>
      </c>
    </row>
    <row r="11" spans="1:13" x14ac:dyDescent="0.3">
      <c r="A11" t="s">
        <v>247</v>
      </c>
      <c r="B11" s="183">
        <v>0.08</v>
      </c>
      <c r="C11" s="87">
        <f t="shared" si="0"/>
        <v>0.78999999999999992</v>
      </c>
      <c r="E11" t="s">
        <v>247</v>
      </c>
      <c r="F11" s="183">
        <v>0.09</v>
      </c>
      <c r="G11" s="87">
        <f t="shared" si="1"/>
        <v>0.75650000000000006</v>
      </c>
      <c r="J11" t="s">
        <v>247</v>
      </c>
      <c r="K11" s="183">
        <v>8.7499999999999994E-2</v>
      </c>
      <c r="L11" s="87">
        <f t="shared" si="2"/>
        <v>0.77625</v>
      </c>
    </row>
    <row r="12" spans="1:13" x14ac:dyDescent="0.3">
      <c r="A12" t="s">
        <v>248</v>
      </c>
      <c r="B12" s="183">
        <v>0.1</v>
      </c>
      <c r="C12" s="87">
        <f t="shared" si="0"/>
        <v>0.8899999999999999</v>
      </c>
      <c r="E12" t="s">
        <v>248</v>
      </c>
      <c r="F12" s="183">
        <v>7.1499999999999994E-2</v>
      </c>
      <c r="G12" s="87">
        <f t="shared" si="1"/>
        <v>0.82800000000000007</v>
      </c>
      <c r="J12" t="s">
        <v>248</v>
      </c>
      <c r="K12" s="183">
        <v>5.6500000000000002E-2</v>
      </c>
      <c r="L12" s="87">
        <f t="shared" si="2"/>
        <v>0.83274999999999999</v>
      </c>
    </row>
    <row r="13" spans="1:13" x14ac:dyDescent="0.3">
      <c r="A13" t="s">
        <v>249</v>
      </c>
      <c r="B13" s="183">
        <v>7.0000000000000007E-2</v>
      </c>
      <c r="C13" s="87">
        <f t="shared" si="0"/>
        <v>0.96</v>
      </c>
      <c r="E13" t="s">
        <v>249</v>
      </c>
      <c r="F13" s="183">
        <v>3.9E-2</v>
      </c>
      <c r="G13" s="87">
        <f t="shared" si="1"/>
        <v>0.8670000000000001</v>
      </c>
      <c r="J13" t="s">
        <v>249</v>
      </c>
      <c r="K13" s="183">
        <v>4.5249999999999999E-2</v>
      </c>
      <c r="L13" s="87">
        <f t="shared" si="2"/>
        <v>0.878</v>
      </c>
    </row>
    <row r="14" spans="1:13" x14ac:dyDescent="0.3">
      <c r="A14" t="s">
        <v>250</v>
      </c>
      <c r="B14" s="183">
        <v>0.04</v>
      </c>
      <c r="C14" s="87">
        <f t="shared" si="0"/>
        <v>1</v>
      </c>
      <c r="E14" t="s">
        <v>250</v>
      </c>
      <c r="F14" s="183">
        <v>0.13300000000000001</v>
      </c>
      <c r="G14" s="87">
        <f t="shared" si="1"/>
        <v>1</v>
      </c>
      <c r="J14" t="s">
        <v>250</v>
      </c>
      <c r="K14" s="183">
        <v>0.122</v>
      </c>
      <c r="L14" s="87">
        <f t="shared" si="2"/>
        <v>1</v>
      </c>
    </row>
    <row r="16" spans="1:13" x14ac:dyDescent="0.3">
      <c r="A16" t="s">
        <v>253</v>
      </c>
      <c r="B16" t="s">
        <v>360</v>
      </c>
    </row>
    <row r="17" spans="1:17" x14ac:dyDescent="0.3">
      <c r="B17" t="s">
        <v>359</v>
      </c>
    </row>
    <row r="19" spans="1:17" x14ac:dyDescent="0.3">
      <c r="A19" t="s">
        <v>388</v>
      </c>
    </row>
    <row r="20" spans="1:17" x14ac:dyDescent="0.3">
      <c r="A20" t="s">
        <v>375</v>
      </c>
    </row>
    <row r="21" spans="1:17" x14ac:dyDescent="0.3">
      <c r="A21" t="s">
        <v>389</v>
      </c>
    </row>
    <row r="22" spans="1:17" x14ac:dyDescent="0.3">
      <c r="H22" t="s">
        <v>491</v>
      </c>
    </row>
    <row r="23" spans="1:17" x14ac:dyDescent="0.3">
      <c r="C23" t="s">
        <v>252</v>
      </c>
      <c r="D23" t="s">
        <v>270</v>
      </c>
      <c r="E23" t="s">
        <v>387</v>
      </c>
      <c r="H23" t="s">
        <v>252</v>
      </c>
      <c r="I23" t="s">
        <v>270</v>
      </c>
      <c r="J23" t="s">
        <v>387</v>
      </c>
    </row>
    <row r="24" spans="1:17" x14ac:dyDescent="0.3">
      <c r="A24" t="s">
        <v>265</v>
      </c>
      <c r="B24">
        <v>12</v>
      </c>
      <c r="C24" s="183">
        <f>+B24/$B$36</f>
        <v>0.15</v>
      </c>
      <c r="D24" s="87">
        <f>+C24</f>
        <v>0.15</v>
      </c>
      <c r="E24" s="148">
        <f>12/12</f>
        <v>1</v>
      </c>
      <c r="F24" t="s">
        <v>265</v>
      </c>
      <c r="G24">
        <v>12</v>
      </c>
      <c r="H24" s="183">
        <f t="shared" ref="H24:H35" si="3">+G24/$G$36</f>
        <v>0.15189873417721519</v>
      </c>
      <c r="I24" s="87">
        <f>+H24</f>
        <v>0.15189873417721519</v>
      </c>
      <c r="J24" s="148">
        <f>12/12</f>
        <v>1</v>
      </c>
    </row>
    <row r="25" spans="1:17" x14ac:dyDescent="0.3">
      <c r="A25" s="98" t="s">
        <v>266</v>
      </c>
      <c r="B25">
        <v>19</v>
      </c>
      <c r="C25" s="183">
        <f t="shared" ref="C25:C36" si="4">+B25/$B$36</f>
        <v>0.23749999999999999</v>
      </c>
      <c r="D25" s="87">
        <f>+D24+C25</f>
        <v>0.38749999999999996</v>
      </c>
      <c r="F25" s="98" t="s">
        <v>266</v>
      </c>
      <c r="G25">
        <v>15</v>
      </c>
      <c r="H25" s="183">
        <f t="shared" si="3"/>
        <v>0.189873417721519</v>
      </c>
      <c r="I25" s="87">
        <f>+I24+H25</f>
        <v>0.34177215189873422</v>
      </c>
      <c r="J25" s="148">
        <f>15/15</f>
        <v>1</v>
      </c>
    </row>
    <row r="26" spans="1:17" x14ac:dyDescent="0.3">
      <c r="A26" t="s">
        <v>267</v>
      </c>
      <c r="B26">
        <v>4</v>
      </c>
      <c r="C26" s="183">
        <f t="shared" si="4"/>
        <v>0.05</v>
      </c>
      <c r="D26" s="87">
        <f t="shared" ref="D26:D35" si="5">+D25+C26</f>
        <v>0.43749999999999994</v>
      </c>
      <c r="E26" s="155"/>
      <c r="F26" t="s">
        <v>267</v>
      </c>
      <c r="G26">
        <v>7</v>
      </c>
      <c r="H26" s="183">
        <f t="shared" si="3"/>
        <v>8.8607594936708861E-2</v>
      </c>
      <c r="I26" s="87">
        <f t="shared" ref="I26:I35" si="6">+I25+H26</f>
        <v>0.43037974683544311</v>
      </c>
      <c r="J26" s="148"/>
      <c r="K26" s="155"/>
      <c r="L26" s="155"/>
      <c r="M26" s="155"/>
      <c r="N26" s="155"/>
      <c r="O26" s="155"/>
      <c r="P26" s="155"/>
      <c r="Q26" s="155"/>
    </row>
    <row r="27" spans="1:17" x14ac:dyDescent="0.3">
      <c r="A27" s="98" t="s">
        <v>268</v>
      </c>
      <c r="B27">
        <v>6</v>
      </c>
      <c r="C27" s="183">
        <f t="shared" si="4"/>
        <v>7.4999999999999997E-2</v>
      </c>
      <c r="D27" s="87">
        <f t="shared" si="5"/>
        <v>0.51249999999999996</v>
      </c>
      <c r="F27" s="98" t="s">
        <v>268</v>
      </c>
      <c r="G27">
        <v>6</v>
      </c>
      <c r="H27" s="183">
        <f t="shared" si="3"/>
        <v>7.5949367088607597E-2</v>
      </c>
      <c r="I27" s="87">
        <f t="shared" si="6"/>
        <v>0.50632911392405067</v>
      </c>
      <c r="J27" s="148"/>
    </row>
    <row r="28" spans="1:17" x14ac:dyDescent="0.3">
      <c r="A28" t="s">
        <v>269</v>
      </c>
      <c r="B28">
        <v>6</v>
      </c>
      <c r="C28" s="183">
        <f t="shared" si="4"/>
        <v>7.4999999999999997E-2</v>
      </c>
      <c r="D28" s="87">
        <f t="shared" si="5"/>
        <v>0.58749999999999991</v>
      </c>
      <c r="F28" t="s">
        <v>269</v>
      </c>
      <c r="G28">
        <v>6</v>
      </c>
      <c r="H28" s="183">
        <f t="shared" si="3"/>
        <v>7.5949367088607597E-2</v>
      </c>
      <c r="I28" s="87">
        <f t="shared" si="6"/>
        <v>0.58227848101265822</v>
      </c>
      <c r="J28" s="148"/>
    </row>
    <row r="29" spans="1:17" x14ac:dyDescent="0.3">
      <c r="A29" s="98" t="s">
        <v>251</v>
      </c>
      <c r="B29">
        <v>3</v>
      </c>
      <c r="C29" s="183">
        <f t="shared" si="4"/>
        <v>3.7499999999999999E-2</v>
      </c>
      <c r="D29" s="87">
        <f t="shared" si="5"/>
        <v>0.62499999999999989</v>
      </c>
      <c r="F29" s="98" t="s">
        <v>251</v>
      </c>
      <c r="G29">
        <v>3</v>
      </c>
      <c r="H29" s="183">
        <f t="shared" si="3"/>
        <v>3.7974683544303799E-2</v>
      </c>
      <c r="I29" s="87">
        <f t="shared" si="6"/>
        <v>0.620253164556962</v>
      </c>
      <c r="J29" s="148"/>
    </row>
    <row r="30" spans="1:17" x14ac:dyDescent="0.3">
      <c r="A30" t="s">
        <v>245</v>
      </c>
      <c r="B30">
        <v>8</v>
      </c>
      <c r="C30" s="183">
        <f t="shared" si="4"/>
        <v>0.1</v>
      </c>
      <c r="D30" s="87">
        <f t="shared" si="5"/>
        <v>0.72499999999999987</v>
      </c>
      <c r="F30" t="s">
        <v>245</v>
      </c>
      <c r="G30">
        <v>8</v>
      </c>
      <c r="H30" s="183">
        <f t="shared" si="3"/>
        <v>0.10126582278481013</v>
      </c>
      <c r="I30" s="87">
        <f t="shared" si="6"/>
        <v>0.72151898734177211</v>
      </c>
      <c r="J30" s="148"/>
    </row>
    <row r="31" spans="1:17" x14ac:dyDescent="0.3">
      <c r="A31" t="s">
        <v>246</v>
      </c>
      <c r="B31">
        <v>3</v>
      </c>
      <c r="C31" s="183">
        <f t="shared" si="4"/>
        <v>3.7499999999999999E-2</v>
      </c>
      <c r="D31" s="87">
        <f t="shared" si="5"/>
        <v>0.76249999999999984</v>
      </c>
      <c r="F31" t="s">
        <v>246</v>
      </c>
      <c r="G31">
        <v>3</v>
      </c>
      <c r="H31" s="183">
        <f t="shared" si="3"/>
        <v>3.7974683544303799E-2</v>
      </c>
      <c r="I31" s="87">
        <f t="shared" si="6"/>
        <v>0.75949367088607589</v>
      </c>
      <c r="J31" s="148"/>
    </row>
    <row r="32" spans="1:17" x14ac:dyDescent="0.3">
      <c r="A32" t="s">
        <v>247</v>
      </c>
      <c r="B32">
        <v>5</v>
      </c>
      <c r="C32" s="183">
        <f t="shared" si="4"/>
        <v>6.25E-2</v>
      </c>
      <c r="D32" s="87">
        <f t="shared" si="5"/>
        <v>0.82499999999999984</v>
      </c>
      <c r="F32" t="s">
        <v>247</v>
      </c>
      <c r="G32">
        <v>5</v>
      </c>
      <c r="H32" s="183">
        <f t="shared" si="3"/>
        <v>6.3291139240506333E-2</v>
      </c>
      <c r="I32" s="87">
        <f t="shared" si="6"/>
        <v>0.82278481012658222</v>
      </c>
      <c r="J32" s="148"/>
    </row>
    <row r="33" spans="1:10" x14ac:dyDescent="0.3">
      <c r="A33" t="s">
        <v>248</v>
      </c>
      <c r="B33">
        <v>5</v>
      </c>
      <c r="C33" s="183">
        <f t="shared" si="4"/>
        <v>6.25E-2</v>
      </c>
      <c r="D33" s="87">
        <f t="shared" si="5"/>
        <v>0.88749999999999984</v>
      </c>
      <c r="F33" t="s">
        <v>248</v>
      </c>
      <c r="G33">
        <v>5</v>
      </c>
      <c r="H33" s="183">
        <f t="shared" si="3"/>
        <v>6.3291139240506333E-2</v>
      </c>
      <c r="I33" s="87">
        <f t="shared" si="6"/>
        <v>0.88607594936708856</v>
      </c>
      <c r="J33" s="148"/>
    </row>
    <row r="34" spans="1:10" x14ac:dyDescent="0.3">
      <c r="A34" t="s">
        <v>249</v>
      </c>
      <c r="B34">
        <v>4</v>
      </c>
      <c r="C34" s="183">
        <f t="shared" si="4"/>
        <v>0.05</v>
      </c>
      <c r="D34" s="87">
        <f t="shared" si="5"/>
        <v>0.93749999999999989</v>
      </c>
      <c r="F34" t="s">
        <v>249</v>
      </c>
      <c r="G34">
        <v>4</v>
      </c>
      <c r="H34" s="183">
        <f t="shared" si="3"/>
        <v>5.0632911392405063E-2</v>
      </c>
      <c r="I34" s="87">
        <f t="shared" si="6"/>
        <v>0.93670886075949367</v>
      </c>
      <c r="J34" s="148"/>
    </row>
    <row r="35" spans="1:10" x14ac:dyDescent="0.3">
      <c r="A35" t="s">
        <v>250</v>
      </c>
      <c r="B35">
        <v>5</v>
      </c>
      <c r="C35" s="183">
        <f t="shared" si="4"/>
        <v>6.25E-2</v>
      </c>
      <c r="D35" s="87">
        <f t="shared" si="5"/>
        <v>0.99999999999999989</v>
      </c>
      <c r="F35" t="s">
        <v>250</v>
      </c>
      <c r="G35">
        <v>5</v>
      </c>
      <c r="H35" s="183">
        <f t="shared" si="3"/>
        <v>6.3291139240506333E-2</v>
      </c>
      <c r="I35" s="87">
        <f t="shared" si="6"/>
        <v>1</v>
      </c>
      <c r="J35" s="148"/>
    </row>
    <row r="36" spans="1:10" x14ac:dyDescent="0.3">
      <c r="B36">
        <f>SUM(B24:B35)</f>
        <v>80</v>
      </c>
      <c r="C36" s="183">
        <f t="shared" si="4"/>
        <v>1</v>
      </c>
      <c r="G36">
        <f>SUM(G24:G35)</f>
        <v>79</v>
      </c>
      <c r="H36" s="183">
        <f t="shared" ref="H36" si="7">+G36/$G$36</f>
        <v>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topLeftCell="A4" zoomScale="140" zoomScaleNormal="140" workbookViewId="0">
      <selection activeCell="B36" sqref="A36:XFD36"/>
    </sheetView>
  </sheetViews>
  <sheetFormatPr baseColWidth="10" defaultRowHeight="15" customHeight="1" x14ac:dyDescent="0.3"/>
  <cols>
    <col min="1" max="1" width="47.44140625" bestFit="1" customWidth="1"/>
    <col min="2" max="3" width="9.33203125" customWidth="1"/>
    <col min="4" max="15" width="4.44140625" customWidth="1"/>
  </cols>
  <sheetData>
    <row r="1" spans="1:15" ht="33.75" customHeight="1" x14ac:dyDescent="0.3">
      <c r="A1" s="213" t="s">
        <v>436</v>
      </c>
      <c r="B1" s="218" t="s">
        <v>437</v>
      </c>
      <c r="C1" s="218" t="s">
        <v>438</v>
      </c>
      <c r="D1" s="218" t="s">
        <v>477</v>
      </c>
      <c r="E1" s="218" t="s">
        <v>439</v>
      </c>
      <c r="F1" s="218" t="s">
        <v>440</v>
      </c>
      <c r="G1" s="218" t="s">
        <v>441</v>
      </c>
      <c r="H1" s="218" t="s">
        <v>442</v>
      </c>
      <c r="I1" s="218" t="s">
        <v>443</v>
      </c>
      <c r="J1" s="218" t="s">
        <v>444</v>
      </c>
      <c r="K1" s="218" t="s">
        <v>445</v>
      </c>
      <c r="L1" s="218" t="s">
        <v>446</v>
      </c>
      <c r="M1" s="218" t="s">
        <v>447</v>
      </c>
      <c r="N1" s="218" t="s">
        <v>448</v>
      </c>
      <c r="O1" s="225" t="s">
        <v>449</v>
      </c>
    </row>
    <row r="2" spans="1:15" ht="7.5" customHeight="1" x14ac:dyDescent="0.3">
      <c r="A2" s="306" t="s">
        <v>476</v>
      </c>
      <c r="B2" s="309" t="s">
        <v>478</v>
      </c>
      <c r="C2" s="309" t="s">
        <v>479</v>
      </c>
      <c r="D2" s="219"/>
      <c r="E2" s="219"/>
      <c r="F2" s="219"/>
      <c r="G2" s="219"/>
      <c r="H2" s="219"/>
      <c r="I2" s="219"/>
      <c r="J2" s="219"/>
      <c r="K2" s="219"/>
      <c r="L2" s="219"/>
      <c r="M2" s="219"/>
      <c r="N2" s="219"/>
      <c r="O2" s="221"/>
    </row>
    <row r="3" spans="1:15" ht="11.25" customHeight="1" x14ac:dyDescent="0.3">
      <c r="A3" s="307"/>
      <c r="B3" s="310"/>
      <c r="C3" s="310"/>
      <c r="D3" s="196"/>
      <c r="E3" s="196"/>
      <c r="F3" s="196"/>
      <c r="G3" s="194"/>
      <c r="H3" s="194"/>
      <c r="I3" s="194"/>
      <c r="J3" s="196"/>
      <c r="K3" s="194"/>
      <c r="L3" s="194"/>
      <c r="M3" s="194"/>
      <c r="N3" s="194"/>
      <c r="O3" s="222"/>
    </row>
    <row r="4" spans="1:15" ht="7.5" customHeight="1" x14ac:dyDescent="0.3">
      <c r="A4" s="308"/>
      <c r="B4" s="311"/>
      <c r="C4" s="311"/>
      <c r="D4" s="220"/>
      <c r="E4" s="220"/>
      <c r="F4" s="220"/>
      <c r="G4" s="220"/>
      <c r="H4" s="220"/>
      <c r="I4" s="220"/>
      <c r="J4" s="220"/>
      <c r="K4" s="220"/>
      <c r="L4" s="220"/>
      <c r="M4" s="220"/>
      <c r="N4" s="220"/>
      <c r="O4" s="223"/>
    </row>
    <row r="5" spans="1:15" ht="7.5" customHeight="1" x14ac:dyDescent="0.3">
      <c r="A5" s="306" t="s">
        <v>81</v>
      </c>
      <c r="B5" s="214"/>
      <c r="C5" s="214"/>
      <c r="D5" s="219"/>
      <c r="E5" s="219"/>
      <c r="F5" s="219"/>
      <c r="G5" s="219"/>
      <c r="H5" s="219"/>
      <c r="I5" s="219"/>
      <c r="J5" s="219"/>
      <c r="K5" s="219"/>
      <c r="L5" s="219"/>
      <c r="M5" s="219"/>
      <c r="N5" s="219"/>
      <c r="O5" s="221"/>
    </row>
    <row r="6" spans="1:15" ht="11.25" customHeight="1" x14ac:dyDescent="0.3">
      <c r="A6" s="307"/>
      <c r="B6" s="195">
        <v>44270</v>
      </c>
      <c r="C6" s="195">
        <v>44377</v>
      </c>
      <c r="D6" s="194"/>
      <c r="E6" s="194"/>
      <c r="F6" s="197"/>
      <c r="G6" s="197"/>
      <c r="H6" s="197"/>
      <c r="I6" s="197"/>
      <c r="J6" s="194"/>
      <c r="K6" s="194"/>
      <c r="L6" s="194"/>
      <c r="M6" s="194"/>
      <c r="N6" s="194"/>
      <c r="O6" s="222"/>
    </row>
    <row r="7" spans="1:15" ht="7.5" customHeight="1" x14ac:dyDescent="0.3">
      <c r="A7" s="308"/>
      <c r="B7" s="215"/>
      <c r="C7" s="215"/>
      <c r="D7" s="220"/>
      <c r="E7" s="220"/>
      <c r="F7" s="220"/>
      <c r="G7" s="220"/>
      <c r="H7" s="220"/>
      <c r="I7" s="220"/>
      <c r="J7" s="220"/>
      <c r="K7" s="220"/>
      <c r="L7" s="220"/>
      <c r="M7" s="220"/>
      <c r="N7" s="220"/>
      <c r="O7" s="223"/>
    </row>
    <row r="8" spans="1:15" ht="7.5" customHeight="1" x14ac:dyDescent="0.3">
      <c r="A8" s="306" t="s">
        <v>450</v>
      </c>
      <c r="B8" s="216"/>
      <c r="C8" s="216"/>
      <c r="D8" s="219"/>
      <c r="E8" s="219"/>
      <c r="F8" s="219"/>
      <c r="G8" s="219"/>
      <c r="H8" s="219"/>
      <c r="I8" s="219"/>
      <c r="J8" s="219"/>
      <c r="K8" s="219"/>
      <c r="L8" s="219"/>
      <c r="M8" s="219"/>
      <c r="N8" s="219"/>
      <c r="O8" s="221"/>
    </row>
    <row r="9" spans="1:15" ht="11.25" customHeight="1" x14ac:dyDescent="0.3">
      <c r="A9" s="307"/>
      <c r="B9" s="195">
        <v>44281</v>
      </c>
      <c r="C9" s="195">
        <v>44319</v>
      </c>
      <c r="D9" s="194"/>
      <c r="E9" s="194"/>
      <c r="F9" s="226"/>
      <c r="G9" s="226"/>
      <c r="H9" s="226"/>
      <c r="I9" s="198"/>
      <c r="J9" s="198"/>
      <c r="K9" s="198"/>
      <c r="L9" s="198"/>
      <c r="M9" s="198"/>
      <c r="N9" s="198"/>
      <c r="O9" s="224"/>
    </row>
    <row r="10" spans="1:15" ht="7.5" customHeight="1" x14ac:dyDescent="0.3">
      <c r="A10" s="308"/>
      <c r="B10" s="215"/>
      <c r="C10" s="215"/>
      <c r="D10" s="220"/>
      <c r="E10" s="220"/>
      <c r="F10" s="220"/>
      <c r="G10" s="220"/>
      <c r="H10" s="220"/>
      <c r="I10" s="220"/>
      <c r="J10" s="220"/>
      <c r="K10" s="220"/>
      <c r="L10" s="220"/>
      <c r="M10" s="220"/>
      <c r="N10" s="220"/>
      <c r="O10" s="223"/>
    </row>
    <row r="11" spans="1:15" ht="7.5" customHeight="1" x14ac:dyDescent="0.3">
      <c r="A11" s="306" t="s">
        <v>451</v>
      </c>
      <c r="B11" s="216"/>
      <c r="C11" s="216"/>
      <c r="D11" s="219"/>
      <c r="E11" s="219"/>
      <c r="F11" s="219"/>
      <c r="G11" s="219"/>
      <c r="H11" s="219"/>
      <c r="I11" s="219"/>
      <c r="J11" s="219"/>
      <c r="K11" s="219"/>
      <c r="L11" s="219"/>
      <c r="M11" s="219"/>
      <c r="N11" s="219"/>
      <c r="O11" s="221"/>
    </row>
    <row r="12" spans="1:15" ht="11.25" customHeight="1" x14ac:dyDescent="0.3">
      <c r="A12" s="307"/>
      <c r="B12" s="195">
        <v>44274</v>
      </c>
      <c r="C12" s="195">
        <v>44302</v>
      </c>
      <c r="D12" s="194"/>
      <c r="E12" s="194"/>
      <c r="F12" s="199"/>
      <c r="G12" s="199"/>
      <c r="H12" s="194"/>
      <c r="I12" s="194"/>
      <c r="J12" s="194"/>
      <c r="K12" s="194"/>
      <c r="L12" s="194"/>
      <c r="M12" s="194"/>
      <c r="N12" s="194"/>
      <c r="O12" s="222"/>
    </row>
    <row r="13" spans="1:15" ht="7.5" customHeight="1" x14ac:dyDescent="0.3">
      <c r="A13" s="308"/>
      <c r="B13" s="215"/>
      <c r="C13" s="215"/>
      <c r="D13" s="220"/>
      <c r="E13" s="220"/>
      <c r="F13" s="220"/>
      <c r="G13" s="220"/>
      <c r="H13" s="220"/>
      <c r="I13" s="220"/>
      <c r="J13" s="220"/>
      <c r="K13" s="220"/>
      <c r="L13" s="220"/>
      <c r="M13" s="220"/>
      <c r="N13" s="220"/>
      <c r="O13" s="223"/>
    </row>
    <row r="14" spans="1:15" ht="7.5" customHeight="1" x14ac:dyDescent="0.3">
      <c r="A14" s="306" t="s">
        <v>82</v>
      </c>
      <c r="B14" s="309" t="s">
        <v>485</v>
      </c>
      <c r="C14" s="309" t="s">
        <v>486</v>
      </c>
      <c r="D14" s="219"/>
      <c r="E14" s="219"/>
      <c r="F14" s="219"/>
      <c r="G14" s="219"/>
      <c r="H14" s="219"/>
      <c r="I14" s="219"/>
      <c r="J14" s="219"/>
      <c r="K14" s="219"/>
      <c r="L14" s="219"/>
      <c r="M14" s="219"/>
      <c r="N14" s="219"/>
      <c r="O14" s="221"/>
    </row>
    <row r="15" spans="1:15" ht="11.25" customHeight="1" x14ac:dyDescent="0.3">
      <c r="A15" s="307"/>
      <c r="B15" s="310"/>
      <c r="C15" s="310"/>
      <c r="D15" s="194"/>
      <c r="E15" s="194"/>
      <c r="F15" s="227"/>
      <c r="G15" s="227"/>
      <c r="H15" s="227"/>
      <c r="I15" s="227"/>
      <c r="J15" s="194"/>
      <c r="K15" s="194"/>
      <c r="L15" s="194"/>
      <c r="M15" s="194"/>
      <c r="N15" s="194"/>
      <c r="O15" s="222"/>
    </row>
    <row r="16" spans="1:15" ht="7.5" customHeight="1" x14ac:dyDescent="0.3">
      <c r="A16" s="308"/>
      <c r="B16" s="311"/>
      <c r="C16" s="311"/>
      <c r="D16" s="220"/>
      <c r="E16" s="220"/>
      <c r="F16" s="220"/>
      <c r="G16" s="220"/>
      <c r="H16" s="220"/>
      <c r="I16" s="220"/>
      <c r="J16" s="220"/>
      <c r="K16" s="220"/>
      <c r="L16" s="220"/>
      <c r="M16" s="220"/>
      <c r="N16" s="220"/>
      <c r="O16" s="223"/>
    </row>
    <row r="17" spans="1:15" ht="7.5" customHeight="1" x14ac:dyDescent="0.3">
      <c r="A17" s="306" t="s">
        <v>452</v>
      </c>
      <c r="B17" s="216"/>
      <c r="C17" s="216"/>
      <c r="D17" s="219"/>
      <c r="E17" s="219"/>
      <c r="F17" s="219"/>
      <c r="G17" s="219"/>
      <c r="H17" s="219"/>
      <c r="I17" s="219"/>
      <c r="J17" s="219"/>
      <c r="K17" s="219"/>
      <c r="L17" s="219"/>
      <c r="M17" s="219"/>
      <c r="N17" s="219"/>
      <c r="O17" s="221"/>
    </row>
    <row r="18" spans="1:15" ht="11.25" customHeight="1" x14ac:dyDescent="0.3">
      <c r="A18" s="307"/>
      <c r="B18" s="195">
        <v>44286</v>
      </c>
      <c r="C18" s="195">
        <v>44406</v>
      </c>
      <c r="D18" s="194"/>
      <c r="E18" s="194"/>
      <c r="F18" s="200"/>
      <c r="G18" s="200"/>
      <c r="H18" s="200"/>
      <c r="I18" s="200"/>
      <c r="J18" s="200"/>
      <c r="K18" s="194"/>
      <c r="L18" s="194"/>
      <c r="M18" s="194"/>
      <c r="N18" s="194"/>
      <c r="O18" s="222"/>
    </row>
    <row r="19" spans="1:15" ht="7.5" customHeight="1" x14ac:dyDescent="0.3">
      <c r="A19" s="308"/>
      <c r="B19" s="215"/>
      <c r="C19" s="215"/>
      <c r="D19" s="220"/>
      <c r="E19" s="220"/>
      <c r="F19" s="220"/>
      <c r="G19" s="220"/>
      <c r="H19" s="220"/>
      <c r="I19" s="220"/>
      <c r="J19" s="220"/>
      <c r="K19" s="220"/>
      <c r="L19" s="220"/>
      <c r="M19" s="220"/>
      <c r="N19" s="220"/>
      <c r="O19" s="223"/>
    </row>
    <row r="20" spans="1:15" ht="7.5" customHeight="1" x14ac:dyDescent="0.3">
      <c r="A20" s="306" t="s">
        <v>83</v>
      </c>
      <c r="B20" s="309" t="s">
        <v>483</v>
      </c>
      <c r="C20" s="309" t="s">
        <v>484</v>
      </c>
      <c r="D20" s="219"/>
      <c r="E20" s="219"/>
      <c r="F20" s="219"/>
      <c r="G20" s="219"/>
      <c r="H20" s="219"/>
      <c r="I20" s="219"/>
      <c r="J20" s="219"/>
      <c r="K20" s="219"/>
      <c r="L20" s="219"/>
      <c r="M20" s="219"/>
      <c r="N20" s="219"/>
      <c r="O20" s="221"/>
    </row>
    <row r="21" spans="1:15" ht="11.25" customHeight="1" x14ac:dyDescent="0.3">
      <c r="A21" s="307"/>
      <c r="B21" s="310"/>
      <c r="C21" s="310"/>
      <c r="D21" s="194"/>
      <c r="E21" s="194"/>
      <c r="F21" s="194"/>
      <c r="G21" s="201"/>
      <c r="H21" s="194"/>
      <c r="I21" s="201"/>
      <c r="J21" s="201"/>
      <c r="K21" s="201"/>
      <c r="L21" s="201"/>
      <c r="M21" s="194"/>
      <c r="N21" s="194"/>
      <c r="O21" s="222"/>
    </row>
    <row r="22" spans="1:15" ht="7.5" customHeight="1" x14ac:dyDescent="0.3">
      <c r="A22" s="308"/>
      <c r="B22" s="311"/>
      <c r="C22" s="311"/>
      <c r="D22" s="220"/>
      <c r="E22" s="220"/>
      <c r="F22" s="220"/>
      <c r="G22" s="220"/>
      <c r="H22" s="220"/>
      <c r="I22" s="220"/>
      <c r="J22" s="220"/>
      <c r="K22" s="220"/>
      <c r="L22" s="220"/>
      <c r="M22" s="220"/>
      <c r="N22" s="220"/>
      <c r="O22" s="223"/>
    </row>
    <row r="23" spans="1:15" ht="7.5" customHeight="1" x14ac:dyDescent="0.3">
      <c r="A23" s="306" t="s">
        <v>80</v>
      </c>
      <c r="B23" s="309" t="s">
        <v>487</v>
      </c>
      <c r="C23" s="309" t="s">
        <v>488</v>
      </c>
      <c r="D23" s="219"/>
      <c r="E23" s="219"/>
      <c r="F23" s="219"/>
      <c r="G23" s="219"/>
      <c r="H23" s="219"/>
      <c r="I23" s="219"/>
      <c r="J23" s="219"/>
      <c r="K23" s="219"/>
      <c r="L23" s="219"/>
      <c r="M23" s="219"/>
      <c r="N23" s="219"/>
      <c r="O23" s="221"/>
    </row>
    <row r="24" spans="1:15" ht="11.25" customHeight="1" x14ac:dyDescent="0.3">
      <c r="A24" s="307"/>
      <c r="B24" s="310"/>
      <c r="C24" s="310"/>
      <c r="D24" s="194"/>
      <c r="E24" s="194"/>
      <c r="F24" s="194"/>
      <c r="G24" s="202"/>
      <c r="H24" s="194"/>
      <c r="I24" s="194"/>
      <c r="J24" s="202"/>
      <c r="K24" s="202"/>
      <c r="L24" s="202"/>
      <c r="M24" s="202"/>
      <c r="N24" s="202"/>
      <c r="O24" s="222"/>
    </row>
    <row r="25" spans="1:15" ht="7.5" customHeight="1" x14ac:dyDescent="0.3">
      <c r="A25" s="308"/>
      <c r="B25" s="311"/>
      <c r="C25" s="311"/>
      <c r="D25" s="220"/>
      <c r="E25" s="220"/>
      <c r="F25" s="220"/>
      <c r="G25" s="220"/>
      <c r="H25" s="220"/>
      <c r="I25" s="220"/>
      <c r="J25" s="220"/>
      <c r="K25" s="220"/>
      <c r="L25" s="220"/>
      <c r="M25" s="220"/>
      <c r="N25" s="220"/>
      <c r="O25" s="223"/>
    </row>
    <row r="26" spans="1:15" ht="7.5" customHeight="1" x14ac:dyDescent="0.3">
      <c r="A26" s="306" t="s">
        <v>480</v>
      </c>
      <c r="B26" s="309" t="s">
        <v>481</v>
      </c>
      <c r="C26" s="309" t="s">
        <v>482</v>
      </c>
      <c r="D26" s="219"/>
      <c r="E26" s="219"/>
      <c r="F26" s="219"/>
      <c r="G26" s="219"/>
      <c r="H26" s="219"/>
      <c r="I26" s="219"/>
      <c r="J26" s="219"/>
      <c r="K26" s="219"/>
      <c r="L26" s="219"/>
      <c r="M26" s="219"/>
      <c r="N26" s="219"/>
      <c r="O26" s="221"/>
    </row>
    <row r="27" spans="1:15" ht="11.25" customHeight="1" x14ac:dyDescent="0.3">
      <c r="A27" s="307"/>
      <c r="B27" s="310"/>
      <c r="C27" s="310"/>
      <c r="D27" s="194"/>
      <c r="E27" s="194"/>
      <c r="F27" s="194"/>
      <c r="G27" s="194"/>
      <c r="H27" s="228"/>
      <c r="I27" s="228"/>
      <c r="J27" s="194"/>
      <c r="K27" s="194"/>
      <c r="L27" s="194"/>
      <c r="M27" s="228"/>
      <c r="N27" s="228"/>
      <c r="O27" s="222"/>
    </row>
    <row r="28" spans="1:15" ht="7.5" customHeight="1" x14ac:dyDescent="0.3">
      <c r="A28" s="308"/>
      <c r="B28" s="311"/>
      <c r="C28" s="311"/>
      <c r="D28" s="220"/>
      <c r="E28" s="220"/>
      <c r="F28" s="220"/>
      <c r="G28" s="220"/>
      <c r="H28" s="220"/>
      <c r="I28" s="220"/>
      <c r="J28" s="220"/>
      <c r="K28" s="220"/>
      <c r="L28" s="220"/>
      <c r="M28" s="220"/>
      <c r="N28" s="220"/>
      <c r="O28" s="223"/>
    </row>
    <row r="29" spans="1:15" ht="7.5" customHeight="1" x14ac:dyDescent="0.3">
      <c r="A29" s="306" t="s">
        <v>453</v>
      </c>
      <c r="B29" s="216"/>
      <c r="C29" s="216"/>
      <c r="D29" s="219"/>
      <c r="E29" s="219"/>
      <c r="F29" s="219"/>
      <c r="G29" s="219"/>
      <c r="H29" s="219"/>
      <c r="I29" s="219"/>
      <c r="J29" s="219"/>
      <c r="K29" s="219"/>
      <c r="L29" s="219"/>
      <c r="M29" s="219"/>
      <c r="N29" s="219"/>
      <c r="O29" s="221"/>
    </row>
    <row r="30" spans="1:15" ht="11.25" customHeight="1" x14ac:dyDescent="0.3">
      <c r="A30" s="307"/>
      <c r="B30" s="195">
        <v>44407</v>
      </c>
      <c r="C30" s="195">
        <v>44495</v>
      </c>
      <c r="D30" s="194"/>
      <c r="E30" s="194"/>
      <c r="F30" s="194"/>
      <c r="G30" s="194"/>
      <c r="H30" s="194"/>
      <c r="I30" s="194"/>
      <c r="J30" s="203"/>
      <c r="K30" s="203"/>
      <c r="L30" s="203"/>
      <c r="M30" s="203"/>
      <c r="N30" s="194"/>
      <c r="O30" s="222"/>
    </row>
    <row r="31" spans="1:15" ht="7.5" customHeight="1" x14ac:dyDescent="0.3">
      <c r="A31" s="308"/>
      <c r="B31" s="215"/>
      <c r="C31" s="215"/>
      <c r="D31" s="220"/>
      <c r="E31" s="220"/>
      <c r="F31" s="220"/>
      <c r="G31" s="220"/>
      <c r="H31" s="220"/>
      <c r="I31" s="220"/>
      <c r="J31" s="220"/>
      <c r="K31" s="220"/>
      <c r="L31" s="220"/>
      <c r="M31" s="220"/>
      <c r="N31" s="220"/>
      <c r="O31" s="223"/>
    </row>
    <row r="32" spans="1:15" ht="7.5" customHeight="1" x14ac:dyDescent="0.3">
      <c r="A32" s="306" t="s">
        <v>454</v>
      </c>
      <c r="B32" s="216"/>
      <c r="C32" s="216"/>
      <c r="D32" s="219"/>
      <c r="E32" s="219"/>
      <c r="F32" s="219"/>
      <c r="G32" s="219"/>
      <c r="H32" s="219"/>
      <c r="I32" s="219"/>
      <c r="J32" s="219"/>
      <c r="K32" s="219"/>
      <c r="L32" s="219"/>
      <c r="M32" s="219"/>
      <c r="N32" s="219"/>
      <c r="O32" s="221"/>
    </row>
    <row r="33" spans="1:15" ht="11.25" customHeight="1" x14ac:dyDescent="0.3">
      <c r="A33" s="307"/>
      <c r="B33" s="195">
        <v>44454</v>
      </c>
      <c r="C33" s="195">
        <v>44484</v>
      </c>
      <c r="D33" s="194"/>
      <c r="E33" s="194"/>
      <c r="F33" s="194"/>
      <c r="G33" s="194"/>
      <c r="H33" s="194"/>
      <c r="I33" s="194"/>
      <c r="J33" s="194"/>
      <c r="K33" s="194"/>
      <c r="L33" s="229"/>
      <c r="M33" s="229"/>
      <c r="N33" s="194"/>
      <c r="O33" s="222"/>
    </row>
    <row r="34" spans="1:15" ht="7.5" customHeight="1" x14ac:dyDescent="0.3">
      <c r="A34" s="308"/>
      <c r="B34" s="215"/>
      <c r="C34" s="215"/>
      <c r="D34" s="220"/>
      <c r="E34" s="220"/>
      <c r="F34" s="220"/>
      <c r="G34" s="220"/>
      <c r="H34" s="220"/>
      <c r="I34" s="220"/>
      <c r="J34" s="220"/>
      <c r="K34" s="220"/>
      <c r="L34" s="220"/>
      <c r="M34" s="220"/>
      <c r="N34" s="220"/>
      <c r="O34" s="223"/>
    </row>
    <row r="35" spans="1:15" ht="7.5" customHeight="1" x14ac:dyDescent="0.3">
      <c r="A35" s="306" t="s">
        <v>455</v>
      </c>
      <c r="B35" s="216"/>
      <c r="C35" s="216"/>
      <c r="D35" s="219"/>
      <c r="E35" s="219"/>
      <c r="F35" s="219"/>
      <c r="G35" s="219"/>
      <c r="H35" s="219"/>
      <c r="I35" s="219"/>
      <c r="J35" s="219"/>
      <c r="K35" s="219"/>
      <c r="L35" s="219"/>
      <c r="M35" s="219"/>
      <c r="N35" s="219"/>
      <c r="O35" s="221"/>
    </row>
    <row r="36" spans="1:15" ht="11.25" customHeight="1" x14ac:dyDescent="0.3">
      <c r="A36" s="307"/>
      <c r="B36" s="195">
        <v>44496</v>
      </c>
      <c r="C36" s="195">
        <v>44561</v>
      </c>
      <c r="D36" s="194"/>
      <c r="E36" s="194"/>
      <c r="F36" s="194"/>
      <c r="G36" s="194"/>
      <c r="H36" s="194"/>
      <c r="I36" s="194"/>
      <c r="J36" s="194"/>
      <c r="K36" s="194"/>
      <c r="L36" s="194"/>
      <c r="M36" s="196"/>
      <c r="N36" s="196"/>
      <c r="O36" s="230"/>
    </row>
    <row r="37" spans="1:15" ht="7.5" customHeight="1" x14ac:dyDescent="0.3">
      <c r="A37" s="308"/>
      <c r="B37" s="217"/>
      <c r="C37" s="217"/>
      <c r="D37" s="220"/>
      <c r="E37" s="220"/>
      <c r="F37" s="220"/>
      <c r="G37" s="220"/>
      <c r="H37" s="220"/>
      <c r="I37" s="220"/>
      <c r="J37" s="220"/>
      <c r="K37" s="220"/>
      <c r="L37" s="220"/>
      <c r="M37" s="220"/>
      <c r="N37" s="220"/>
      <c r="O37" s="223"/>
    </row>
  </sheetData>
  <mergeCells count="22">
    <mergeCell ref="A29:A31"/>
    <mergeCell ref="A32:A34"/>
    <mergeCell ref="A35:A37"/>
    <mergeCell ref="A5:A7"/>
    <mergeCell ref="A8:A10"/>
    <mergeCell ref="A11:A13"/>
    <mergeCell ref="A20:A22"/>
    <mergeCell ref="A14:A16"/>
    <mergeCell ref="A17:A19"/>
    <mergeCell ref="A2:A4"/>
    <mergeCell ref="B2:B4"/>
    <mergeCell ref="C2:C4"/>
    <mergeCell ref="A26:A28"/>
    <mergeCell ref="B26:B28"/>
    <mergeCell ref="C26:C28"/>
    <mergeCell ref="A23:A25"/>
    <mergeCell ref="B20:B22"/>
    <mergeCell ref="C20:C22"/>
    <mergeCell ref="B14:B16"/>
    <mergeCell ref="C14:C16"/>
    <mergeCell ref="B23:B25"/>
    <mergeCell ref="C23:C25"/>
  </mergeCells>
  <dataValidations count="2">
    <dataValidation type="date" allowBlank="1" showInputMessage="1" showErrorMessage="1" sqref="D2 B6:C13 E6 B17:C19 D6:D27 B29:D36">
      <formula1>43101</formula1>
      <formula2>44926</formula2>
    </dataValidation>
    <dataValidation type="date" allowBlank="1" showInputMessage="1" showErrorMessage="1" sqref="D2 E6 B17:C19 B6:D13 D15:D20 D23:D27 B29:D36">
      <formula1>43101</formula1>
      <formula2>46022</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5"/>
  <sheetViews>
    <sheetView topLeftCell="A93" zoomScale="150" zoomScaleNormal="150" workbookViewId="0">
      <selection activeCell="A103" sqref="A103"/>
    </sheetView>
  </sheetViews>
  <sheetFormatPr baseColWidth="10" defaultRowHeight="14.4" x14ac:dyDescent="0.3"/>
  <cols>
    <col min="1" max="1" width="56" customWidth="1"/>
    <col min="2" max="3" width="34.33203125" customWidth="1"/>
  </cols>
  <sheetData>
    <row r="3" spans="1:5" x14ac:dyDescent="0.3">
      <c r="A3" s="26" t="s">
        <v>53</v>
      </c>
      <c r="B3" s="26" t="s">
        <v>6</v>
      </c>
      <c r="C3" s="26" t="s">
        <v>191</v>
      </c>
      <c r="D3" s="25"/>
      <c r="E3" s="25"/>
    </row>
    <row r="4" spans="1:5" x14ac:dyDescent="0.3">
      <c r="A4" s="131" t="s">
        <v>50</v>
      </c>
      <c r="B4" s="131" t="s">
        <v>61</v>
      </c>
      <c r="C4" s="131" t="s">
        <v>158</v>
      </c>
      <c r="D4" s="131"/>
      <c r="E4" s="132">
        <v>0.16</v>
      </c>
    </row>
    <row r="5" spans="1:5" x14ac:dyDescent="0.3">
      <c r="A5" s="28" t="s">
        <v>52</v>
      </c>
      <c r="B5" s="28" t="s">
        <v>62</v>
      </c>
      <c r="C5" s="28" t="s">
        <v>155</v>
      </c>
      <c r="D5" s="28"/>
      <c r="E5" s="29">
        <v>0.12</v>
      </c>
    </row>
    <row r="6" spans="1:5" x14ac:dyDescent="0.3">
      <c r="A6" s="28" t="s">
        <v>45</v>
      </c>
      <c r="B6" s="28" t="s">
        <v>63</v>
      </c>
      <c r="C6" s="28" t="s">
        <v>155</v>
      </c>
      <c r="D6" s="28"/>
      <c r="E6" s="29">
        <v>0.12</v>
      </c>
    </row>
    <row r="7" spans="1:5" x14ac:dyDescent="0.3">
      <c r="A7" s="30" t="s">
        <v>51</v>
      </c>
      <c r="B7" s="30" t="s">
        <v>64</v>
      </c>
      <c r="C7" s="30" t="s">
        <v>156</v>
      </c>
      <c r="D7" s="30"/>
      <c r="E7" s="31">
        <v>0.12</v>
      </c>
    </row>
    <row r="8" spans="1:5" x14ac:dyDescent="0.3">
      <c r="A8" s="131" t="s">
        <v>44</v>
      </c>
      <c r="B8" s="131" t="s">
        <v>65</v>
      </c>
      <c r="C8" s="131" t="s">
        <v>158</v>
      </c>
      <c r="D8" s="131"/>
      <c r="E8" s="132">
        <v>0.12</v>
      </c>
    </row>
    <row r="9" spans="1:5" x14ac:dyDescent="0.3">
      <c r="A9" s="133" t="s">
        <v>43</v>
      </c>
      <c r="B9" s="133" t="s">
        <v>66</v>
      </c>
      <c r="C9" s="133" t="s">
        <v>154</v>
      </c>
      <c r="D9" s="133"/>
      <c r="E9" s="134">
        <v>0.12</v>
      </c>
    </row>
    <row r="10" spans="1:5" x14ac:dyDescent="0.3">
      <c r="A10" s="32" t="s">
        <v>46</v>
      </c>
      <c r="B10" s="32" t="s">
        <v>67</v>
      </c>
      <c r="C10" s="32" t="s">
        <v>157</v>
      </c>
      <c r="D10" s="32"/>
      <c r="E10" s="33">
        <v>0.12</v>
      </c>
    </row>
    <row r="11" spans="1:5" x14ac:dyDescent="0.3">
      <c r="A11" s="131" t="s">
        <v>47</v>
      </c>
      <c r="B11" s="131" t="s">
        <v>68</v>
      </c>
      <c r="C11" s="131" t="s">
        <v>158</v>
      </c>
      <c r="D11" s="131"/>
      <c r="E11" s="132">
        <v>0.12</v>
      </c>
    </row>
    <row r="12" spans="1:5" x14ac:dyDescent="0.3">
      <c r="A12" s="25"/>
      <c r="B12" s="25"/>
      <c r="C12" s="25"/>
      <c r="D12" s="25"/>
      <c r="E12" s="27">
        <f>SUM(E4:E11)</f>
        <v>1</v>
      </c>
    </row>
    <row r="14" spans="1:5" x14ac:dyDescent="0.3">
      <c r="A14" s="5" t="s">
        <v>54</v>
      </c>
    </row>
    <row r="15" spans="1:5" ht="28.8" x14ac:dyDescent="0.3">
      <c r="A15" s="6" t="s">
        <v>165</v>
      </c>
    </row>
    <row r="16" spans="1:5" x14ac:dyDescent="0.3">
      <c r="A16" s="6"/>
    </row>
    <row r="18" spans="1:3" x14ac:dyDescent="0.3">
      <c r="A18" s="5" t="s">
        <v>48</v>
      </c>
      <c r="B18" t="s">
        <v>116</v>
      </c>
      <c r="C18" t="s">
        <v>117</v>
      </c>
    </row>
    <row r="19" spans="1:3" x14ac:dyDescent="0.3">
      <c r="A19" s="141" t="s">
        <v>260</v>
      </c>
      <c r="B19" s="141">
        <v>1</v>
      </c>
      <c r="C19" s="141" t="s">
        <v>261</v>
      </c>
    </row>
    <row r="20" spans="1:3" x14ac:dyDescent="0.3">
      <c r="A20" s="141" t="s">
        <v>203</v>
      </c>
      <c r="B20" s="141">
        <v>2</v>
      </c>
      <c r="C20" s="141" t="s">
        <v>162</v>
      </c>
    </row>
    <row r="21" spans="1:3" x14ac:dyDescent="0.3">
      <c r="A21" s="141" t="s">
        <v>263</v>
      </c>
      <c r="B21" s="141">
        <v>3</v>
      </c>
      <c r="C21" s="141" t="s">
        <v>262</v>
      </c>
    </row>
    <row r="22" spans="1:3" x14ac:dyDescent="0.3">
      <c r="A22" s="141" t="s">
        <v>160</v>
      </c>
      <c r="B22" s="141">
        <v>4</v>
      </c>
      <c r="C22" s="141" t="s">
        <v>163</v>
      </c>
    </row>
    <row r="23" spans="1:3" x14ac:dyDescent="0.3">
      <c r="A23" s="141" t="s">
        <v>206</v>
      </c>
      <c r="B23" s="141">
        <v>5</v>
      </c>
      <c r="C23" s="141" t="s">
        <v>164</v>
      </c>
    </row>
    <row r="24" spans="1:3" x14ac:dyDescent="0.3">
      <c r="A24" s="141" t="s">
        <v>159</v>
      </c>
      <c r="B24" s="141">
        <v>6</v>
      </c>
      <c r="C24" s="141" t="s">
        <v>264</v>
      </c>
    </row>
    <row r="25" spans="1:3" x14ac:dyDescent="0.3">
      <c r="A25" s="141" t="s">
        <v>239</v>
      </c>
      <c r="B25" s="141">
        <v>7</v>
      </c>
      <c r="C25" s="141" t="s">
        <v>161</v>
      </c>
    </row>
    <row r="26" spans="1:3" x14ac:dyDescent="0.3">
      <c r="A26" s="141" t="s">
        <v>240</v>
      </c>
      <c r="B26" s="141">
        <v>8</v>
      </c>
      <c r="C26" s="141" t="s">
        <v>236</v>
      </c>
    </row>
    <row r="27" spans="1:3" x14ac:dyDescent="0.3">
      <c r="A27" s="141" t="s">
        <v>42</v>
      </c>
      <c r="B27" s="141">
        <v>9</v>
      </c>
      <c r="C27" s="141" t="s">
        <v>204</v>
      </c>
    </row>
    <row r="29" spans="1:3" x14ac:dyDescent="0.3">
      <c r="A29" s="69" t="s">
        <v>146</v>
      </c>
      <c r="B29" s="69"/>
      <c r="C29" s="69"/>
    </row>
    <row r="30" spans="1:3" x14ac:dyDescent="0.3">
      <c r="A30" s="69" t="s">
        <v>69</v>
      </c>
      <c r="B30" s="69" t="s">
        <v>49</v>
      </c>
      <c r="C30" s="69"/>
    </row>
    <row r="33" spans="1:3" x14ac:dyDescent="0.3">
      <c r="A33" s="5" t="s">
        <v>50</v>
      </c>
      <c r="B33" s="5" t="str">
        <f>VLOOKUP(A33,ACTA,2,0)</f>
        <v>CRITERIO1</v>
      </c>
    </row>
    <row r="34" spans="1:3" x14ac:dyDescent="0.3">
      <c r="A34" t="s">
        <v>103</v>
      </c>
      <c r="B34" s="7">
        <f>C34</f>
        <v>0.06</v>
      </c>
      <c r="C34" s="7">
        <v>0.06</v>
      </c>
    </row>
    <row r="35" spans="1:3" x14ac:dyDescent="0.3">
      <c r="A35" t="s">
        <v>102</v>
      </c>
      <c r="B35" s="7">
        <f>B34+C35</f>
        <v>0.1</v>
      </c>
      <c r="C35" s="7">
        <v>0.04</v>
      </c>
    </row>
    <row r="36" spans="1:3" x14ac:dyDescent="0.3">
      <c r="A36" t="s">
        <v>101</v>
      </c>
      <c r="B36" s="7">
        <f t="shared" ref="B36:B47" si="0">B35+C36</f>
        <v>0.11</v>
      </c>
      <c r="C36" s="7">
        <v>0.01</v>
      </c>
    </row>
    <row r="37" spans="1:3" x14ac:dyDescent="0.3">
      <c r="A37" t="s">
        <v>109</v>
      </c>
      <c r="B37" s="7">
        <f t="shared" si="0"/>
        <v>0.12</v>
      </c>
      <c r="C37" s="7">
        <v>0.01</v>
      </c>
    </row>
    <row r="38" spans="1:3" x14ac:dyDescent="0.3">
      <c r="A38" t="s">
        <v>104</v>
      </c>
      <c r="B38" s="7">
        <f t="shared" si="0"/>
        <v>0.37</v>
      </c>
      <c r="C38" s="7">
        <v>0.25</v>
      </c>
    </row>
    <row r="39" spans="1:3" x14ac:dyDescent="0.3">
      <c r="A39" t="s">
        <v>105</v>
      </c>
      <c r="B39" s="7">
        <f t="shared" si="0"/>
        <v>0.62</v>
      </c>
      <c r="C39" s="7">
        <v>0.25</v>
      </c>
    </row>
    <row r="40" spans="1:3" x14ac:dyDescent="0.3">
      <c r="A40" t="s">
        <v>110</v>
      </c>
      <c r="B40" s="7">
        <f t="shared" si="0"/>
        <v>0.72</v>
      </c>
      <c r="C40" s="7">
        <v>0.1</v>
      </c>
    </row>
    <row r="41" spans="1:3" x14ac:dyDescent="0.3">
      <c r="A41" t="s">
        <v>107</v>
      </c>
      <c r="B41" s="7">
        <f t="shared" si="0"/>
        <v>0.77</v>
      </c>
      <c r="C41" s="7">
        <v>0.05</v>
      </c>
    </row>
    <row r="42" spans="1:3" x14ac:dyDescent="0.3">
      <c r="A42" t="s">
        <v>106</v>
      </c>
      <c r="B42" s="7">
        <f t="shared" si="0"/>
        <v>0.78</v>
      </c>
      <c r="C42" s="7">
        <v>0.01</v>
      </c>
    </row>
    <row r="43" spans="1:3" x14ac:dyDescent="0.3">
      <c r="A43" t="s">
        <v>108</v>
      </c>
      <c r="B43" s="7">
        <f t="shared" si="0"/>
        <v>0.83000000000000007</v>
      </c>
      <c r="C43" s="7">
        <v>0.05</v>
      </c>
    </row>
    <row r="44" spans="1:3" x14ac:dyDescent="0.3">
      <c r="A44" t="s">
        <v>111</v>
      </c>
      <c r="B44" s="7">
        <f t="shared" si="0"/>
        <v>0.88000000000000012</v>
      </c>
      <c r="C44" s="7">
        <v>0.05</v>
      </c>
    </row>
    <row r="45" spans="1:3" x14ac:dyDescent="0.3">
      <c r="A45" t="s">
        <v>112</v>
      </c>
      <c r="B45" s="7">
        <f t="shared" si="0"/>
        <v>0.94000000000000017</v>
      </c>
      <c r="C45" s="7">
        <v>0.06</v>
      </c>
    </row>
    <row r="46" spans="1:3" x14ac:dyDescent="0.3">
      <c r="A46" t="s">
        <v>113</v>
      </c>
      <c r="B46" s="7">
        <f t="shared" si="0"/>
        <v>0.95000000000000018</v>
      </c>
      <c r="C46" s="7">
        <v>0.01</v>
      </c>
    </row>
    <row r="47" spans="1:3" x14ac:dyDescent="0.3">
      <c r="A47" t="s">
        <v>177</v>
      </c>
      <c r="B47" s="7">
        <f t="shared" si="0"/>
        <v>1.0000000000000002</v>
      </c>
      <c r="C47" s="7">
        <v>0.05</v>
      </c>
    </row>
    <row r="48" spans="1:3" x14ac:dyDescent="0.3">
      <c r="C48" s="7">
        <f>SUM(C34:C47)</f>
        <v>1.0000000000000002</v>
      </c>
    </row>
    <row r="50" spans="1:3" x14ac:dyDescent="0.3">
      <c r="A50" s="5" t="s">
        <v>52</v>
      </c>
      <c r="B50" s="5" t="str">
        <f>VLOOKUP(A50,ACTA,2,0)</f>
        <v>CRITERIO2</v>
      </c>
    </row>
    <row r="51" spans="1:3" x14ac:dyDescent="0.3">
      <c r="A51" t="s">
        <v>167</v>
      </c>
      <c r="B51" s="7">
        <f>C51</f>
        <v>0.05</v>
      </c>
      <c r="C51" s="7">
        <v>0.05</v>
      </c>
    </row>
    <row r="52" spans="1:3" x14ac:dyDescent="0.3">
      <c r="A52" t="s">
        <v>166</v>
      </c>
      <c r="B52" s="7">
        <f>B51+C52</f>
        <v>0.55000000000000004</v>
      </c>
      <c r="C52" s="7">
        <v>0.5</v>
      </c>
    </row>
    <row r="53" spans="1:3" x14ac:dyDescent="0.3">
      <c r="A53" t="s">
        <v>168</v>
      </c>
      <c r="B53" s="7">
        <f>B52+C53</f>
        <v>0.95000000000000007</v>
      </c>
      <c r="C53" s="7">
        <v>0.4</v>
      </c>
    </row>
    <row r="54" spans="1:3" x14ac:dyDescent="0.3">
      <c r="A54" t="s">
        <v>169</v>
      </c>
      <c r="B54" s="7">
        <f>B53+C54</f>
        <v>1</v>
      </c>
      <c r="C54" s="7">
        <v>0.05</v>
      </c>
    </row>
    <row r="55" spans="1:3" x14ac:dyDescent="0.3">
      <c r="B55" s="7"/>
      <c r="C55" s="7">
        <f>SUM(C51:C54)</f>
        <v>1</v>
      </c>
    </row>
    <row r="56" spans="1:3" x14ac:dyDescent="0.3">
      <c r="B56" s="7"/>
    </row>
    <row r="59" spans="1:3" x14ac:dyDescent="0.3">
      <c r="A59" s="5" t="s">
        <v>45</v>
      </c>
      <c r="B59" s="5" t="str">
        <f>VLOOKUP(A59,ACTA,2,0)</f>
        <v>CRITERIO3</v>
      </c>
    </row>
    <row r="60" spans="1:3" x14ac:dyDescent="0.3">
      <c r="A60" t="s">
        <v>59</v>
      </c>
      <c r="B60" s="7">
        <f>C60</f>
        <v>0.1</v>
      </c>
      <c r="C60" s="7">
        <v>0.1</v>
      </c>
    </row>
    <row r="61" spans="1:3" x14ac:dyDescent="0.3">
      <c r="A61" t="s">
        <v>60</v>
      </c>
      <c r="B61" s="7">
        <f>B60+C61</f>
        <v>0.79999999999999993</v>
      </c>
      <c r="C61" s="7">
        <v>0.7</v>
      </c>
    </row>
    <row r="62" spans="1:3" x14ac:dyDescent="0.3">
      <c r="A62" t="s">
        <v>57</v>
      </c>
      <c r="B62" s="7">
        <f>B61+C62</f>
        <v>1</v>
      </c>
      <c r="C62" s="7">
        <v>0.2</v>
      </c>
    </row>
    <row r="63" spans="1:3" x14ac:dyDescent="0.3">
      <c r="B63" s="7"/>
      <c r="C63" s="7">
        <f>SUM(C60:C62)</f>
        <v>1</v>
      </c>
    </row>
    <row r="64" spans="1:3" x14ac:dyDescent="0.3">
      <c r="B64" s="7"/>
    </row>
    <row r="67" spans="1:3" x14ac:dyDescent="0.3">
      <c r="A67" s="5" t="s">
        <v>51</v>
      </c>
      <c r="B67" s="5" t="str">
        <f>VLOOKUP(A67,ACTA,2,0)</f>
        <v>CRITERIO4</v>
      </c>
    </row>
    <row r="68" spans="1:3" x14ac:dyDescent="0.3">
      <c r="A68" t="s">
        <v>170</v>
      </c>
      <c r="B68" s="7">
        <f>C68</f>
        <v>0.15</v>
      </c>
      <c r="C68" s="7">
        <v>0.15</v>
      </c>
    </row>
    <row r="69" spans="1:3" x14ac:dyDescent="0.3">
      <c r="A69" t="s">
        <v>171</v>
      </c>
      <c r="B69" s="7">
        <f>B68+C69</f>
        <v>0.3</v>
      </c>
      <c r="C69" s="7">
        <v>0.15</v>
      </c>
    </row>
    <row r="70" spans="1:3" x14ac:dyDescent="0.3">
      <c r="A70" t="s">
        <v>101</v>
      </c>
      <c r="B70" s="7">
        <f t="shared" ref="B70:B76" si="1">B69+C70</f>
        <v>0.31</v>
      </c>
      <c r="C70" s="7">
        <v>0.01</v>
      </c>
    </row>
    <row r="71" spans="1:3" x14ac:dyDescent="0.3">
      <c r="A71" t="s">
        <v>172</v>
      </c>
      <c r="B71" s="7">
        <f t="shared" si="1"/>
        <v>0.49</v>
      </c>
      <c r="C71" s="7">
        <v>0.18</v>
      </c>
    </row>
    <row r="72" spans="1:3" x14ac:dyDescent="0.3">
      <c r="A72" t="s">
        <v>105</v>
      </c>
      <c r="B72" s="7">
        <f t="shared" si="1"/>
        <v>0.66999999999999993</v>
      </c>
      <c r="C72" s="7">
        <v>0.18</v>
      </c>
    </row>
    <row r="73" spans="1:3" x14ac:dyDescent="0.3">
      <c r="A73" t="s">
        <v>173</v>
      </c>
      <c r="B73" s="7">
        <f t="shared" si="1"/>
        <v>0.84999999999999987</v>
      </c>
      <c r="C73" s="7">
        <v>0.18</v>
      </c>
    </row>
    <row r="74" spans="1:3" x14ac:dyDescent="0.3">
      <c r="A74" t="s">
        <v>174</v>
      </c>
      <c r="B74" s="7">
        <f t="shared" si="1"/>
        <v>0.93999999999999984</v>
      </c>
      <c r="C74" s="7">
        <v>0.09</v>
      </c>
    </row>
    <row r="75" spans="1:3" x14ac:dyDescent="0.3">
      <c r="A75" t="s">
        <v>175</v>
      </c>
      <c r="B75" s="7">
        <f t="shared" si="1"/>
        <v>0.94999999999999984</v>
      </c>
      <c r="C75" s="7">
        <v>0.01</v>
      </c>
    </row>
    <row r="76" spans="1:3" x14ac:dyDescent="0.3">
      <c r="A76" t="s">
        <v>176</v>
      </c>
      <c r="B76" s="7">
        <f t="shared" si="1"/>
        <v>0.99999999999999989</v>
      </c>
      <c r="C76" s="7">
        <v>0.05</v>
      </c>
    </row>
    <row r="77" spans="1:3" x14ac:dyDescent="0.3">
      <c r="B77" s="7"/>
      <c r="C77" s="7">
        <f>SUM(C68:C76)</f>
        <v>0.99999999999999989</v>
      </c>
    </row>
    <row r="78" spans="1:3" x14ac:dyDescent="0.3">
      <c r="B78" s="7"/>
    </row>
    <row r="81" spans="1:3" x14ac:dyDescent="0.3">
      <c r="A81" s="5" t="s">
        <v>44</v>
      </c>
      <c r="B81" s="5" t="str">
        <f>VLOOKUP(A81,ACTA,2,0)</f>
        <v>CRITERIO5</v>
      </c>
    </row>
    <row r="82" spans="1:3" x14ac:dyDescent="0.3">
      <c r="A82" t="s">
        <v>170</v>
      </c>
      <c r="B82" s="7">
        <f>C82</f>
        <v>0.15</v>
      </c>
      <c r="C82" s="7">
        <v>0.15</v>
      </c>
    </row>
    <row r="83" spans="1:3" x14ac:dyDescent="0.3">
      <c r="A83" t="s">
        <v>178</v>
      </c>
      <c r="B83" s="7">
        <f>B82+C83</f>
        <v>0.3</v>
      </c>
      <c r="C83" s="7">
        <v>0.15</v>
      </c>
    </row>
    <row r="84" spans="1:3" x14ac:dyDescent="0.3">
      <c r="A84" t="s">
        <v>101</v>
      </c>
      <c r="B84" s="7">
        <f t="shared" ref="B84:B90" si="2">B83+C84</f>
        <v>0.31</v>
      </c>
      <c r="C84" s="7">
        <v>0.01</v>
      </c>
    </row>
    <row r="85" spans="1:3" x14ac:dyDescent="0.3">
      <c r="A85" t="s">
        <v>172</v>
      </c>
      <c r="B85" s="7">
        <f t="shared" si="2"/>
        <v>0.49</v>
      </c>
      <c r="C85" s="7">
        <v>0.18</v>
      </c>
    </row>
    <row r="86" spans="1:3" x14ac:dyDescent="0.3">
      <c r="A86" t="s">
        <v>105</v>
      </c>
      <c r="B86" s="7">
        <f t="shared" si="2"/>
        <v>0.66999999999999993</v>
      </c>
      <c r="C86" s="7">
        <v>0.18</v>
      </c>
    </row>
    <row r="87" spans="1:3" x14ac:dyDescent="0.3">
      <c r="A87" t="s">
        <v>173</v>
      </c>
      <c r="B87" s="7">
        <f t="shared" si="2"/>
        <v>0.84999999999999987</v>
      </c>
      <c r="C87" s="7">
        <v>0.18</v>
      </c>
    </row>
    <row r="88" spans="1:3" x14ac:dyDescent="0.3">
      <c r="A88" t="s">
        <v>174</v>
      </c>
      <c r="B88" s="7">
        <f t="shared" si="2"/>
        <v>0.93999999999999984</v>
      </c>
      <c r="C88" s="7">
        <v>0.09</v>
      </c>
    </row>
    <row r="89" spans="1:3" x14ac:dyDescent="0.3">
      <c r="A89" t="s">
        <v>175</v>
      </c>
      <c r="B89" s="7">
        <f t="shared" si="2"/>
        <v>0.94999999999999984</v>
      </c>
      <c r="C89" s="7">
        <v>0.01</v>
      </c>
    </row>
    <row r="90" spans="1:3" x14ac:dyDescent="0.3">
      <c r="A90" t="s">
        <v>176</v>
      </c>
      <c r="B90" s="7">
        <f t="shared" si="2"/>
        <v>0.99999999999999989</v>
      </c>
      <c r="C90" s="7">
        <v>0.05</v>
      </c>
    </row>
    <row r="91" spans="1:3" x14ac:dyDescent="0.3">
      <c r="B91" s="7"/>
      <c r="C91" s="7">
        <f>SUM(C82:C90)</f>
        <v>0.99999999999999989</v>
      </c>
    </row>
    <row r="92" spans="1:3" x14ac:dyDescent="0.3">
      <c r="B92" s="7"/>
    </row>
    <row r="95" spans="1:3" x14ac:dyDescent="0.3">
      <c r="A95" s="5" t="s">
        <v>43</v>
      </c>
      <c r="B95" s="5" t="str">
        <f>VLOOKUP(A95,ACTA,2,0)</f>
        <v>CRITERIO6</v>
      </c>
    </row>
    <row r="96" spans="1:3" x14ac:dyDescent="0.3">
      <c r="A96" s="25" t="s">
        <v>179</v>
      </c>
      <c r="B96" s="7">
        <f>C96</f>
        <v>0.15</v>
      </c>
      <c r="C96" s="7">
        <v>0.15</v>
      </c>
    </row>
    <row r="97" spans="1:3" x14ac:dyDescent="0.3">
      <c r="A97" s="25" t="s">
        <v>180</v>
      </c>
      <c r="B97" s="7">
        <f>B96+C97</f>
        <v>0.3</v>
      </c>
      <c r="C97" s="7">
        <v>0.15</v>
      </c>
    </row>
    <row r="98" spans="1:3" x14ac:dyDescent="0.3">
      <c r="A98" s="25" t="s">
        <v>101</v>
      </c>
      <c r="B98" s="7">
        <f t="shared" ref="B98:B103" si="3">B97+C98</f>
        <v>0.31</v>
      </c>
      <c r="C98" s="7">
        <v>0.01</v>
      </c>
    </row>
    <row r="99" spans="1:3" x14ac:dyDescent="0.3">
      <c r="A99" s="25" t="s">
        <v>58</v>
      </c>
      <c r="B99" s="7">
        <f t="shared" si="3"/>
        <v>0.56000000000000005</v>
      </c>
      <c r="C99" s="7">
        <v>0.25</v>
      </c>
    </row>
    <row r="100" spans="1:3" x14ac:dyDescent="0.3">
      <c r="A100" s="25" t="s">
        <v>181</v>
      </c>
      <c r="B100" s="7">
        <f t="shared" si="3"/>
        <v>0.81</v>
      </c>
      <c r="C100" s="7">
        <v>0.25</v>
      </c>
    </row>
    <row r="101" spans="1:3" x14ac:dyDescent="0.3">
      <c r="A101" s="25" t="s">
        <v>174</v>
      </c>
      <c r="B101" s="7">
        <f t="shared" si="3"/>
        <v>0.9</v>
      </c>
      <c r="C101" s="7">
        <v>0.09</v>
      </c>
    </row>
    <row r="102" spans="1:3" x14ac:dyDescent="0.3">
      <c r="A102" s="25" t="s">
        <v>175</v>
      </c>
      <c r="B102" s="7">
        <f t="shared" si="3"/>
        <v>0.91</v>
      </c>
      <c r="C102" s="7">
        <v>0.01</v>
      </c>
    </row>
    <row r="103" spans="1:3" x14ac:dyDescent="0.3">
      <c r="A103" s="25" t="s">
        <v>182</v>
      </c>
      <c r="B103" s="7">
        <f t="shared" si="3"/>
        <v>1</v>
      </c>
      <c r="C103" s="7">
        <v>0.09</v>
      </c>
    </row>
    <row r="104" spans="1:3" x14ac:dyDescent="0.3">
      <c r="A104" s="25"/>
      <c r="B104" s="7"/>
      <c r="C104" s="7">
        <f>SUM(C96:C103)</f>
        <v>1</v>
      </c>
    </row>
    <row r="105" spans="1:3" x14ac:dyDescent="0.3">
      <c r="A105" s="25"/>
      <c r="B105" s="7"/>
    </row>
    <row r="108" spans="1:3" x14ac:dyDescent="0.3">
      <c r="A108" s="5" t="s">
        <v>46</v>
      </c>
      <c r="B108" s="5" t="str">
        <f>VLOOKUP(A108,ACTA,2,0)</f>
        <v>CRITERIO7</v>
      </c>
    </row>
    <row r="109" spans="1:3" x14ac:dyDescent="0.3">
      <c r="A109" t="s">
        <v>149</v>
      </c>
      <c r="B109" s="7">
        <f>C109</f>
        <v>0.1</v>
      </c>
      <c r="C109" s="7">
        <v>0.1</v>
      </c>
    </row>
    <row r="110" spans="1:3" x14ac:dyDescent="0.3">
      <c r="A110" t="s">
        <v>150</v>
      </c>
      <c r="B110" s="7">
        <f>B109+C110</f>
        <v>0.5</v>
      </c>
      <c r="C110" s="7">
        <v>0.4</v>
      </c>
    </row>
    <row r="111" spans="1:3" x14ac:dyDescent="0.3">
      <c r="A111" t="s">
        <v>151</v>
      </c>
      <c r="B111" s="7">
        <f>B110+C111</f>
        <v>0.8</v>
      </c>
      <c r="C111" s="7">
        <v>0.3</v>
      </c>
    </row>
    <row r="112" spans="1:3" x14ac:dyDescent="0.3">
      <c r="A112" t="s">
        <v>152</v>
      </c>
      <c r="B112" s="7">
        <f>B111+C112</f>
        <v>1</v>
      </c>
      <c r="C112" s="7">
        <v>0.2</v>
      </c>
    </row>
    <row r="113" spans="1:3" x14ac:dyDescent="0.3">
      <c r="B113" s="7"/>
      <c r="C113" s="7">
        <f>SUM(C109:C112)</f>
        <v>1</v>
      </c>
    </row>
    <row r="114" spans="1:3" x14ac:dyDescent="0.3">
      <c r="B114" s="7"/>
    </row>
    <row r="115" spans="1:3" x14ac:dyDescent="0.3">
      <c r="B115" s="7"/>
    </row>
    <row r="117" spans="1:3" x14ac:dyDescent="0.3">
      <c r="A117" s="5" t="s">
        <v>47</v>
      </c>
      <c r="B117" s="5" t="str">
        <f>VLOOKUP(A117,ACTA,2,0)</f>
        <v>CRITERIO8</v>
      </c>
    </row>
    <row r="118" spans="1:3" x14ac:dyDescent="0.3">
      <c r="A118" t="s">
        <v>170</v>
      </c>
      <c r="B118" s="7">
        <f>C118</f>
        <v>0.15</v>
      </c>
      <c r="C118" s="7">
        <v>0.15</v>
      </c>
    </row>
    <row r="119" spans="1:3" x14ac:dyDescent="0.3">
      <c r="A119" t="s">
        <v>183</v>
      </c>
      <c r="B119" s="7">
        <f>B118+C119</f>
        <v>0.3</v>
      </c>
      <c r="C119" s="7">
        <v>0.15</v>
      </c>
    </row>
    <row r="120" spans="1:3" x14ac:dyDescent="0.3">
      <c r="A120" t="s">
        <v>101</v>
      </c>
      <c r="B120" s="7">
        <f t="shared" ref="B120:B126" si="4">B119+C120</f>
        <v>0.31</v>
      </c>
      <c r="C120" s="7">
        <v>0.01</v>
      </c>
    </row>
    <row r="121" spans="1:3" x14ac:dyDescent="0.3">
      <c r="A121" t="s">
        <v>172</v>
      </c>
      <c r="B121" s="7">
        <f t="shared" si="4"/>
        <v>0.49</v>
      </c>
      <c r="C121" s="7">
        <v>0.18</v>
      </c>
    </row>
    <row r="122" spans="1:3" x14ac:dyDescent="0.3">
      <c r="A122" t="s">
        <v>105</v>
      </c>
      <c r="B122" s="7">
        <f t="shared" si="4"/>
        <v>0.66999999999999993</v>
      </c>
      <c r="C122" s="7">
        <v>0.18</v>
      </c>
    </row>
    <row r="123" spans="1:3" x14ac:dyDescent="0.3">
      <c r="A123" t="s">
        <v>173</v>
      </c>
      <c r="B123" s="7">
        <f t="shared" si="4"/>
        <v>0.84999999999999987</v>
      </c>
      <c r="C123" s="7">
        <v>0.18</v>
      </c>
    </row>
    <row r="124" spans="1:3" x14ac:dyDescent="0.3">
      <c r="A124" t="s">
        <v>174</v>
      </c>
      <c r="B124" s="7">
        <f t="shared" si="4"/>
        <v>0.93999999999999984</v>
      </c>
      <c r="C124" s="7">
        <v>0.09</v>
      </c>
    </row>
    <row r="125" spans="1:3" x14ac:dyDescent="0.3">
      <c r="A125" t="s">
        <v>175</v>
      </c>
      <c r="B125" s="7">
        <f t="shared" si="4"/>
        <v>0.94999999999999984</v>
      </c>
      <c r="C125" s="7">
        <v>0.01</v>
      </c>
    </row>
    <row r="126" spans="1:3" x14ac:dyDescent="0.3">
      <c r="A126" t="s">
        <v>176</v>
      </c>
      <c r="B126" s="7">
        <f t="shared" si="4"/>
        <v>0.99999999999999989</v>
      </c>
      <c r="C126" s="7">
        <v>0.05</v>
      </c>
    </row>
    <row r="127" spans="1:3" x14ac:dyDescent="0.3">
      <c r="B127" s="7"/>
      <c r="C127" s="7">
        <f>SUM(C118:C126)</f>
        <v>0.99999999999999989</v>
      </c>
    </row>
    <row r="128" spans="1:3" x14ac:dyDescent="0.3">
      <c r="B128" s="7"/>
    </row>
    <row r="138" spans="1:3" x14ac:dyDescent="0.3">
      <c r="A138" s="8" t="s">
        <v>70</v>
      </c>
      <c r="B138" s="8" t="s">
        <v>71</v>
      </c>
      <c r="C138" s="8" t="s">
        <v>72</v>
      </c>
    </row>
    <row r="139" spans="1:3" ht="22.5" customHeight="1" x14ac:dyDescent="0.3">
      <c r="A139" s="21" t="s">
        <v>73</v>
      </c>
      <c r="B139" s="21" t="s">
        <v>126</v>
      </c>
      <c r="C139" s="21" t="s">
        <v>74</v>
      </c>
    </row>
    <row r="140" spans="1:3" ht="22.5" customHeight="1" x14ac:dyDescent="0.3">
      <c r="A140" s="21" t="s">
        <v>127</v>
      </c>
      <c r="B140" s="21" t="s">
        <v>75</v>
      </c>
      <c r="C140" s="21" t="s">
        <v>128</v>
      </c>
    </row>
    <row r="141" spans="1:3" ht="22.5" customHeight="1" x14ac:dyDescent="0.3">
      <c r="A141" s="21" t="s">
        <v>129</v>
      </c>
      <c r="B141" s="21" t="s">
        <v>131</v>
      </c>
      <c r="C141" s="21" t="s">
        <v>130</v>
      </c>
    </row>
    <row r="142" spans="1:3" ht="22.5" customHeight="1" x14ac:dyDescent="0.3">
      <c r="A142" s="21" t="s">
        <v>76</v>
      </c>
      <c r="B142" s="21" t="s">
        <v>77</v>
      </c>
      <c r="C142" s="21" t="s">
        <v>78</v>
      </c>
    </row>
    <row r="143" spans="1:3" ht="22.5" customHeight="1" x14ac:dyDescent="0.3">
      <c r="A143" s="21" t="s">
        <v>79</v>
      </c>
      <c r="B143" s="21" t="s">
        <v>133</v>
      </c>
      <c r="C143" s="21" t="s">
        <v>132</v>
      </c>
    </row>
    <row r="144" spans="1:3" ht="22.5" customHeight="1" x14ac:dyDescent="0.3">
      <c r="A144" s="9" t="s">
        <v>80</v>
      </c>
      <c r="B144" s="10" t="s">
        <v>135</v>
      </c>
      <c r="C144" s="11" t="s">
        <v>134</v>
      </c>
    </row>
    <row r="145" spans="1:3" ht="22.5" customHeight="1" x14ac:dyDescent="0.3">
      <c r="A145" s="9" t="s">
        <v>81</v>
      </c>
      <c r="B145" s="10" t="s">
        <v>137</v>
      </c>
      <c r="C145" s="11" t="s">
        <v>136</v>
      </c>
    </row>
    <row r="146" spans="1:3" ht="22.5" customHeight="1" x14ac:dyDescent="0.3">
      <c r="A146" s="9" t="s">
        <v>82</v>
      </c>
      <c r="B146" s="10" t="s">
        <v>139</v>
      </c>
      <c r="C146" s="11" t="s">
        <v>138</v>
      </c>
    </row>
    <row r="147" spans="1:3" ht="22.5" customHeight="1" x14ac:dyDescent="0.3">
      <c r="A147" s="9" t="s">
        <v>83</v>
      </c>
      <c r="B147" s="10" t="s">
        <v>84</v>
      </c>
      <c r="C147" s="11" t="s">
        <v>85</v>
      </c>
    </row>
    <row r="148" spans="1:3" ht="22.5" customHeight="1" x14ac:dyDescent="0.3">
      <c r="A148" s="9" t="s">
        <v>140</v>
      </c>
      <c r="B148" s="12" t="s">
        <v>184</v>
      </c>
      <c r="C148" s="11" t="s">
        <v>86</v>
      </c>
    </row>
    <row r="149" spans="1:3" ht="22.5" customHeight="1" x14ac:dyDescent="0.3">
      <c r="A149" s="13" t="s">
        <v>87</v>
      </c>
      <c r="B149" s="14" t="s">
        <v>77</v>
      </c>
      <c r="C149" s="14" t="s">
        <v>78</v>
      </c>
    </row>
    <row r="150" spans="1:3" ht="22.5" customHeight="1" x14ac:dyDescent="0.3">
      <c r="A150" s="13" t="s">
        <v>88</v>
      </c>
      <c r="B150" s="15" t="s">
        <v>77</v>
      </c>
      <c r="C150" s="14" t="s">
        <v>78</v>
      </c>
    </row>
    <row r="151" spans="1:3" ht="22.5" customHeight="1" x14ac:dyDescent="0.3">
      <c r="A151" s="13" t="s">
        <v>89</v>
      </c>
      <c r="B151" s="16" t="s">
        <v>143</v>
      </c>
      <c r="C151" s="14" t="s">
        <v>142</v>
      </c>
    </row>
    <row r="152" spans="1:3" ht="22.5" customHeight="1" x14ac:dyDescent="0.3">
      <c r="A152" s="13" t="s">
        <v>141</v>
      </c>
      <c r="B152" s="14" t="s">
        <v>184</v>
      </c>
      <c r="C152" s="14" t="s">
        <v>86</v>
      </c>
    </row>
    <row r="153" spans="1:3" ht="22.5" customHeight="1" x14ac:dyDescent="0.3">
      <c r="A153" s="17" t="s">
        <v>90</v>
      </c>
      <c r="B153" s="18" t="s">
        <v>145</v>
      </c>
      <c r="C153" s="19" t="s">
        <v>144</v>
      </c>
    </row>
    <row r="154" spans="1:3" ht="22.5" customHeight="1" x14ac:dyDescent="0.3">
      <c r="A154" s="17" t="s">
        <v>91</v>
      </c>
      <c r="B154" s="20" t="s">
        <v>184</v>
      </c>
      <c r="C154" s="19" t="s">
        <v>86</v>
      </c>
    </row>
    <row r="155" spans="1:3" ht="22.5" customHeight="1" x14ac:dyDescent="0.3">
      <c r="A155" s="13" t="s">
        <v>98</v>
      </c>
      <c r="B155" s="13" t="s">
        <v>99</v>
      </c>
      <c r="C155" s="13" t="s">
        <v>185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25</vt:i4>
      </vt:variant>
    </vt:vector>
  </HeadingPairs>
  <TitlesOfParts>
    <vt:vector size="30" baseType="lpstr">
      <vt:lpstr>Dinámicas</vt:lpstr>
      <vt:lpstr>PAA 2021 Versión 2</vt:lpstr>
      <vt:lpstr>Para seg PI 7696 - Indicador</vt:lpstr>
      <vt:lpstr>PARA PRESENTACIÓN</vt:lpstr>
      <vt:lpstr>Listas Desplegables</vt:lpstr>
      <vt:lpstr>ACT</vt:lpstr>
      <vt:lpstr>ACTA</vt:lpstr>
      <vt:lpstr>'PAA 2021 Versión 2'!Área_de_impresión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Ivonne Andrea Torres Cruz</cp:lastModifiedBy>
  <cp:lastPrinted>2020-08-27T19:31:24Z</cp:lastPrinted>
  <dcterms:created xsi:type="dcterms:W3CDTF">2018-02-07T23:53:02Z</dcterms:created>
  <dcterms:modified xsi:type="dcterms:W3CDTF">2021-04-06T01:33:36Z</dcterms:modified>
</cp:coreProperties>
</file>